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<sst xmlns="http://schemas.openxmlformats.org/spreadsheetml/2006/main" count="1258" uniqueCount="468">
  <si>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</si>
  <si>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</si>
  <si>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</si>
  <si>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</si>
  <si>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</si>
  <si>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</si>
  <si>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</si>
  <si>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</si>
  <si>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</si>
  <si>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</si>
  <si>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</si>
  <si>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</si>
  <si>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</si>
  <si>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</si>
  <si>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</si>
  <si>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</si>
  <si>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</si>
  <si>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</si>
  <si>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</si>
  <si>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</si>
  <si>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</si>
  <si>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</si>
  <si>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</si>
  <si>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</si>
  <si>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</si>
  <si>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</si>
  <si>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</si>
  <si>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</si>
  <si>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</si>
  <si>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</si>
  <si>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</si>
  <si>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</si>
  <si>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</si>
  <si>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</si>
  <si>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</si>
  <si>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</si>
  <si>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</si>
  <si>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</si>
  <si>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</si>
  <si>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</si>
  <si>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</si>
  <si>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</si>
  <si>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</si>
  <si>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</si>
  <si>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</si>
  <si>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</si>
  <si>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</si>
  <si>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</si>
  <si>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</si>
  <si>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</si>
  <si>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</si>
  <si>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</si>
  <si>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</si>
  <si>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</si>
  <si>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</si>
  <si>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</si>
  <si>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</si>
  <si>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</si>
  <si>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</si>
  <si>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</si>
  <si>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</si>
  <si>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</si>
  <si>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</si>
  <si>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</si>
  <si>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</si>
  <si>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</si>
  <si>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</si>
  <si>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</si>
  <si>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</si>
  <si>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</si>
  <si>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</si>
  <si>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</si>
  <si>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</si>
  <si>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</si>
  <si>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</si>
  <si>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</si>
  <si>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</si>
  <si>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</si>
  <si>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</si>
  <si>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</si>
  <si>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</si>
  <si>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</si>
  <si>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</si>
  <si>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</si>
  <si>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</si>
  <si>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</si>
  <si>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</si>
  <si>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</si>
  <si>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</si>
  <si>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</si>
  <si>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</si>
  <si>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</si>
  <si>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</si>
  <si>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</si>
  <si>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</si>
  <si>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</si>
  <si>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</si>
  <si>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</si>
  <si>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</si>
  <si>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</si>
  <si>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</si>
  <si>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</si>
  <si>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</si>
  <si>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</si>
  <si>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</si>
  <si>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</si>
  <si>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</si>
  <si>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</si>
  <si>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</si>
  <si>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</si>
  <si>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</si>
  <si>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</si>
  <si>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</si>
  <si>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</si>
  <si>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</si>
  <si>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</si>
  <si>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</si>
  <si>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</si>
  <si>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</si>
  <si>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</si>
  <si>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</si>
  <si>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</si>
  <si>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</si>
  <si>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</si>
  <si>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</si>
  <si>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</si>
  <si>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</si>
  <si>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</si>
  <si>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</si>
  <si>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</si>
  <si>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</si>
  <si>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</si>
  <si>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</si>
  <si>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</si>
  <si>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</si>
  <si>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</si>
  <si>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</si>
  <si>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</si>
  <si>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</si>
  <si>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</si>
  <si>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</si>
  <si>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</si>
  <si>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</si>
  <si>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</si>
  <si>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</si>
  <si>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</si>
  <si>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</si>
  <si>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</si>
  <si>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</si>
  <si>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</si>
  <si>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</si>
  <si>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</si>
  <si>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</si>
  <si>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</si>
  <si>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</si>
  <si>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</si>
  <si>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</si>
  <si>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</si>
  <si>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</si>
  <si>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</si>
  <si>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</si>
  <si>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</si>
  <si>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</si>
  <si>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</si>
  <si>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</si>
  <si>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</si>
  <si>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</si>
  <si>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</si>
  <si>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</si>
  <si>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</si>
  <si>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</si>
  <si>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</si>
  <si>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</si>
  <si>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</si>
  <si>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</si>
  <si>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</si>
  <si>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</si>
  <si>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</si>
  <si>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</si>
  <si>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</si>
  <si>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</si>
  <si>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</si>
  <si>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</si>
  <si>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</si>
  <si>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</si>
  <si>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</si>
  <si>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</si>
  <si>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</si>
  <si>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</si>
  <si>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</si>
  <si>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</si>
  <si>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</si>
  <si>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</si>
  <si>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</si>
  <si>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</si>
  <si>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</si>
  <si>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</si>
  <si>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</si>
  <si>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</si>
  <si>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</si>
  <si>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</si>
  <si>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</si>
  <si>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</si>
  <si>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</si>
  <si>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</si>
  <si>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</si>
  <si>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</si>
  <si>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</si>
  <si>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</si>
  <si>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</si>
  <si>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</si>
  <si>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</si>
  <si>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</si>
  <si>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</si>
  <si>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</si>
  <si>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</si>
  <si>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</si>
  <si>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</si>
  <si>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</si>
  <si>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</si>
  <si>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</si>
  <si>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</si>
  <si>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</si>
  <si>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</si>
  <si>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</si>
  <si>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</si>
  <si>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</si>
  <si>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</si>
  <si>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</si>
  <si>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</si>
  <si>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</si>
  <si>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</si>
  <si>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</si>
  <si>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</si>
  <si>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</si>
  <si>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</si>
  <si>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</si>
  <si>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</si>
  <si>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</si>
  <si>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</si>
  <si>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</si>
  <si>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</si>
  <si>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</si>
  <si>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</si>
  <si>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</si>
  <si>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</si>
  <si>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</si>
  <si>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</si>
  <si>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</si>
  <si>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</si>
  <si>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</si>
  <si>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</si>
  <si>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</si>
  <si>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</si>
  <si>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</si>
  <si>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</si>
  <si>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</si>
  <si>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</si>
  <si>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</si>
  <si>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</si>
  <si>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</si>
  <si>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</si>
  <si>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</si>
  <si>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</si>
  <si>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</si>
  <si>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</si>
  <si>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</si>
  <si>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</si>
  <si>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</si>
  <si>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</si>
  <si>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</si>
  <si>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</si>
  <si>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</si>
  <si>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</si>
  <si>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</si>
  <si>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</si>
  <si>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</si>
  <si>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</si>
  <si>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</si>
  <si>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</si>
  <si>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</si>
  <si>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</si>
  <si>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</si>
  <si>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</si>
  <si>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</si>
  <si>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</si>
  <si>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</si>
  <si>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</si>
  <si>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</si>
  <si>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</si>
  <si>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</si>
  <si>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</si>
  <si>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</si>
  <si>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</si>
  <si>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</si>
  <si>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</si>
  <si>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</si>
  <si>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</si>
  <si>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</si>
  <si>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</si>
  <si>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</si>
  <si>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</si>
  <si>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</si>
  <si>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</si>
  <si>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</si>
  <si>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</si>
  <si>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</si>
  <si>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</si>
  <si>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</si>
  <si>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</si>
  <si>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</si>
  <si>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</si>
  <si>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</si>
  <si>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</si>
  <si>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</si>
  <si>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</si>
  <si>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</si>
  <si>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</si>
  <si>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</si>
  <si>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</si>
  <si>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</si>
  <si>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</si>
  <si>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</si>
  <si>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</si>
  <si>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</si>
  <si>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</si>
  <si>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</si>
  <si>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</si>
  <si>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</si>
  <si>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</si>
  <si>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</si>
  <si>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</si>
  <si>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</si>
  <si>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</si>
  <si>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</si>
  <si>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</si>
  <si>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</si>
  <si>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</si>
  <si>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</si>
  <si>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</si>
  <si>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</si>
  <si>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</si>
  <si>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</si>
  <si>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</si>
  <si>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</si>
  <si>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</si>
  <si>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</si>
  <si>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</si>
  <si>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</si>
  <si>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</si>
  <si>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</si>
  <si>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</si>
  <si>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</si>
  <si>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</si>
  <si>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</si>
  <si>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</si>
  <si>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</si>
  <si>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</si>
  <si>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</si>
  <si>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</si>
  <si>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</si>
  <si>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</si>
  <si>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</si>
  <si>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</si>
  <si>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</si>
  <si>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</si>
  <si>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</si>
  <si>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</si>
  <si>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</si>
  <si>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</si>
  <si>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</si>
  <si>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</si>
  <si>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</si>
  <si>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</si>
  <si>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</si>
  <si>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</si>
  <si>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</si>
  <si>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</si>
  <si>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</si>
  <si>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</si>
  <si>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</si>
  <si>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</si>
  <si>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</si>
  <si>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</si>
  <si>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</si>
  <si>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</si>
  <si>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</si>
  <si>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</si>
  <si>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</si>
  <si>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</si>
  <si>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</si>
  <si>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</si>
  <si>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</si>
  <si>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</si>
  <si>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</si>
  <si>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</si>
  <si>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</si>
  <si>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</si>
  <si>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</si>
  <si>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</si>
  <si>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</si>
  <si>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</si>
  <si>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</si>
  <si>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</si>
  <si>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</si>
  <si>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</si>
  <si>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</si>
  <si>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</si>
  <si>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</si>
  <si>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</si>
  <si>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</si>
  <si>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</si>
  <si>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</si>
  <si>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</si>
  <si>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</si>
  <si>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</si>
  <si>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</si>
  <si>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</si>
  <si>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</si>
  <si>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</si>
  <si>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</si>
  <si>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</si>
  <si>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</si>
  <si>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</si>
  <si>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</si>
  <si>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</si>
  <si>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</si>
  <si>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</si>
  <si>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</si>
  <si>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</si>
  <si>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</si>
  <si>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</si>
  <si>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</si>
  <si>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</si>
  <si>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</si>
  <si>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</si>
  <si>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</si>
  <si>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</si>
  <si>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</si>
  <si>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</si>
  <si>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</si>
  <si>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</si>
  <si>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</si>
  <si>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</si>
  <si>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</si>
  <si>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</si>
  <si>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</si>
  <si>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</si>
  <si>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</si>
  <si>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</si>
  <si>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</si>
  <si>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</si>
  <si>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</si>
  <si>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</si>
  <si>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</si>
  <si>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</si>
  <si>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</si>
  <si>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</si>
  <si>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</si>
  <si>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</si>
  <si>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</si>
  <si>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</si>
  <si>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</si>
  <si>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</si>
  <si>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</si>
  <si>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</si>
  <si>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</si>
  <si>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Solar Water Heater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</si>
</sst>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43599.32060810185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84917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43599.32060810185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Solar Water Heater</v>
      </c>
      <c r="J2" t="s">
        <v>55</v>
      </c>
    </row>
    <row r="3" ht="12.75">
      <c r="J3" s="35">
        <f>+Title_RESULTS!I4</f>
        <v>43599.32060810185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84917</v>
      </c>
      <c r="H5" t="s">
        <v>59</v>
      </c>
    </row>
    <row r="6" spans="3:7" ht="12.75">
      <c r="C6" t="s">
        <v>61</v>
      </c>
      <c r="G6" s="36">
        <f>+'Value of Defferal'!E3</f>
        <v>52024.333990099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5141.164525791225</v>
      </c>
      <c r="D19" s="5">
        <f>IF((Title_RESULTS!$H$8-Title_RESULTS!$H$7)&lt;=('Sheet3(F_21)'!A19-Title_RESULTS!$H$7),((Title_RESULTS!$C$8*Partcipation!$C$26*8760*Title_RESULTS!$H$21/100000)),0)</f>
        <v>67692.60656661991</v>
      </c>
      <c r="E19" s="5">
        <f>IF($G19=0,0,((Title_RESULTS!$H$14*((1+Title_RESULTS!$H$15/100)^($A19-Title_RESULTS!$H$7))*'EUE_Line Losses'!$B$25*Partcipation!$C$26))/1000)</f>
        <v>533.2948354922893</v>
      </c>
      <c r="F19" s="5">
        <f>IF($G19=0,0,(Title_RESULTS!$H$19/100*((1+Title_RESULTS!$H$20/100)^($A19-Title_RESULTS!$H$7))*$D19*1000)/1000)</f>
        <v>152.63720397692936</v>
      </c>
      <c r="G19" s="5">
        <f>(+Title_RESULTS!$H$22/100*((1+Title_RESULTS!$H$23/100)^(+'Sheet4(F_22)'!A19-Title_RESULTS!$H$7)))*'Sheet3(F_21)'!D19</f>
        <v>2900.1468715554784</v>
      </c>
      <c r="H19" s="5">
        <f>IF($G19=0,0,(($D19))*(Partcipation!$G19/100))</f>
        <v>2147.6343041480886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6579.6091326678325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5264.552474410214</v>
      </c>
      <c r="D20" s="5">
        <f>IF((Title_RESULTS!$H$8-Title_RESULTS!$H$7)&lt;=('Sheet3(F_21)'!A20-Title_RESULTS!$H$7),((Title_RESULTS!$C$8*Partcipation!$C$26*8760*Title_RESULTS!$H$21/100000)),0)</f>
        <v>67692.60656661991</v>
      </c>
      <c r="E20" s="5">
        <f>IF($G20=0,0,((Title_RESULTS!$H$14*((1+Title_RESULTS!$H$15/100)^($A20-Title_RESULTS!$H$7))*'EUE_Line Losses'!$B$25*Partcipation!$C$26))/1000)</f>
        <v>546.0939115441041</v>
      </c>
      <c r="F20" s="5">
        <f>IF($G20=0,0,(Title_RESULTS!$H$19/100*((1+Title_RESULTS!$H$20/100)^($A20-Title_RESULTS!$H$7))*$D20*1000)/1000)</f>
        <v>156.30049687237567</v>
      </c>
      <c r="G20" s="5">
        <f>(+Title_RESULTS!$H$22/100*((1+Title_RESULTS!$H$23/100)^(+'Sheet4(F_22)'!A20-Title_RESULTS!$H$7)))*'Sheet3(F_21)'!D20</f>
        <v>3031.8135395240975</v>
      </c>
      <c r="H20" s="5">
        <f>IF($G20=0,0,(($D20))*(Partcipation!$G20/100))</f>
        <v>2243.707442019192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6755.052980331599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5390.9017337960595</v>
      </c>
      <c r="D21" s="5">
        <f>IF((Title_RESULTS!$H$8-Title_RESULTS!$H$7)&lt;=('Sheet3(F_21)'!A21-Title_RESULTS!$H$7),((Title_RESULTS!$C$8*Partcipation!$C$26*8760*Title_RESULTS!$H$21/100000)),0)</f>
        <v>67692.60656661991</v>
      </c>
      <c r="E21" s="5">
        <f>IF($G21=0,0,((Title_RESULTS!$H$14*((1+Title_RESULTS!$H$15/100)^($A21-Title_RESULTS!$H$7))*'EUE_Line Losses'!$B$25*Partcipation!$C$26))/1000)</f>
        <v>559.2001654211628</v>
      </c>
      <c r="F21" s="5">
        <f>IF($G21=0,0,(Title_RESULTS!$H$19/100*((1+Title_RESULTS!$H$20/100)^($A21-Title_RESULTS!$H$7))*$D21*1000)/1000)</f>
        <v>160.0517087973127</v>
      </c>
      <c r="G21" s="5">
        <f>(+Title_RESULTS!$H$22/100*((1+Title_RESULTS!$H$23/100)^(+'Sheet4(F_22)'!A21-Title_RESULTS!$H$7)))*'Sheet3(F_21)'!D21</f>
        <v>3169.457874218492</v>
      </c>
      <c r="H21" s="5">
        <f>IF($G21=0,0,(($D21))*(Partcipation!$G21/100))</f>
        <v>2332.621783527173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6946.989698705855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5520.283375407164</v>
      </c>
      <c r="D22" s="5">
        <f>IF((Title_RESULTS!$H$8-Title_RESULTS!$H$7)&lt;=('Sheet3(F_21)'!A22-Title_RESULTS!$H$7),((Title_RESULTS!$C$8*Partcipation!$C$26*8760*Title_RESULTS!$H$21/100000)),0)</f>
        <v>67692.60656661991</v>
      </c>
      <c r="E22" s="5">
        <f>IF($G22=0,0,((Title_RESULTS!$H$14*((1+Title_RESULTS!$H$15/100)^($A22-Title_RESULTS!$H$7))*'EUE_Line Losses'!$B$25*Partcipation!$C$26))/1000)</f>
        <v>572.6209693912705</v>
      </c>
      <c r="F22" s="5">
        <f>IF($G22=0,0,(Title_RESULTS!$H$19/100*((1+Title_RESULTS!$H$20/100)^($A22-Title_RESULTS!$H$7))*$D22*1000)/1000)</f>
        <v>163.89294980844818</v>
      </c>
      <c r="G22" s="5">
        <f>(+Title_RESULTS!$H$22/100*((1+Title_RESULTS!$H$23/100)^(+'Sheet4(F_22)'!A22-Title_RESULTS!$H$7)))*'Sheet3(F_21)'!D22</f>
        <v>3313.351261708012</v>
      </c>
      <c r="H22" s="5">
        <f>IF($G22=0,0,(($D22))*(Partcipation!$G22/100))</f>
        <v>2408.199563071654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7161.948993243241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5652.770176416937</v>
      </c>
      <c r="D23" s="5">
        <f>IF((Title_RESULTS!$H$8-Title_RESULTS!$H$7)&lt;=('Sheet3(F_21)'!A23-Title_RESULTS!$H$7),((Title_RESULTS!$C$8*Partcipation!$C$26*8760*Title_RESULTS!$H$21/100000)),0)</f>
        <v>67692.60656661991</v>
      </c>
      <c r="E23" s="5">
        <f>IF($G23=0,0,((Title_RESULTS!$H$14*((1+Title_RESULTS!$H$15/100)^($A23-Title_RESULTS!$H$7))*'EUE_Line Losses'!$B$25*Partcipation!$C$26))/1000)</f>
        <v>586.3638726566611</v>
      </c>
      <c r="F23" s="5">
        <f>IF($G23=0,0,(Title_RESULTS!$H$19/100*((1+Title_RESULTS!$H$20/100)^($A23-Title_RESULTS!$H$7))*$D23*1000)/1000)</f>
        <v>167.82638060385094</v>
      </c>
      <c r="G23" s="5">
        <f>(+Title_RESULTS!$H$22/100*((1+Title_RESULTS!$H$23/100)^(+'Sheet4(F_22)'!A23-Title_RESULTS!$H$7)))*'Sheet3(F_21)'!D23</f>
        <v>3463.777408989556</v>
      </c>
      <c r="H23" s="5">
        <f>IF($G23=0,0,(($D23))*(Partcipation!$G23/100))</f>
        <v>2515.989778172281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7354.748060494723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5788.436660650944</v>
      </c>
      <c r="D24" s="5">
        <f>IF((Title_RESULTS!$H$8-Title_RESULTS!$H$7)&lt;=('Sheet3(F_21)'!A24-Title_RESULTS!$H$7),((Title_RESULTS!$C$8*Partcipation!$C$26*8760*Title_RESULTS!$H$21/100000)),0)</f>
        <v>67692.60656661991</v>
      </c>
      <c r="E24" s="5">
        <f>IF($G24=0,0,((Title_RESULTS!$H$14*((1+Title_RESULTS!$H$15/100)^($A24-Title_RESULTS!$H$7))*'EUE_Line Losses'!$B$25*Partcipation!$C$26))/1000)</f>
        <v>600.4366056004209</v>
      </c>
      <c r="F24" s="5">
        <f>IF($G24=0,0,(Title_RESULTS!$H$19/100*((1+Title_RESULTS!$H$20/100)^($A24-Title_RESULTS!$H$7))*$D24*1000)/1000)</f>
        <v>171.85421373834336</v>
      </c>
      <c r="G24" s="5">
        <f>(+Title_RESULTS!$H$22/100*((1+Title_RESULTS!$H$23/100)^(+'Sheet4(F_22)'!A24-Title_RESULTS!$H$7)))*'Sheet3(F_21)'!D24</f>
        <v>3621.0329033576822</v>
      </c>
      <c r="H24" s="5">
        <f>IF($G24=0,0,(($D24))*(Partcipation!$G24/100))</f>
        <v>2707.870204103211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7473.890179244178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5927.359140506566</v>
      </c>
      <c r="D25" s="5">
        <f>IF((Title_RESULTS!$H$8-Title_RESULTS!$H$7)&lt;=('Sheet3(F_21)'!A25-Title_RESULTS!$H$7),((Title_RESULTS!$C$8*Partcipation!$C$26*8760*Title_RESULTS!$H$21/100000)),0)</f>
        <v>67692.60656661991</v>
      </c>
      <c r="E25" s="5">
        <f>IF($G25=0,0,((Title_RESULTS!$H$14*((1+Title_RESULTS!$H$15/100)^($A25-Title_RESULTS!$H$7))*'EUE_Line Losses'!$B$25*Partcipation!$C$26))/1000)</f>
        <v>614.847084134831</v>
      </c>
      <c r="F25" s="5">
        <f>IF($G25=0,0,(Title_RESULTS!$H$19/100*((1+Title_RESULTS!$H$20/100)^($A25-Title_RESULTS!$H$7))*$D25*1000)/1000)</f>
        <v>175.97871486806358</v>
      </c>
      <c r="G25" s="5">
        <f>(+Title_RESULTS!$H$22/100*((1+Title_RESULTS!$H$23/100)^(+'Sheet4(F_22)'!A25-Title_RESULTS!$H$7)))*'Sheet3(F_21)'!D25</f>
        <v>3785.4277971701217</v>
      </c>
      <c r="H25" s="5">
        <f>IF($G25=0,0,(($D25))*(Partcipation!$G25/100))</f>
        <v>2826.7068577333966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7676.905878946188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6069.615759878723</v>
      </c>
      <c r="D26" s="5">
        <f>IF((Title_RESULTS!$H$8-Title_RESULTS!$H$7)&lt;=('Sheet3(F_21)'!A26-Title_RESULTS!$H$7),((Title_RESULTS!$C$8*Partcipation!$C$26*8760*Title_RESULTS!$H$21/100000)),0)</f>
        <v>67692.60656661991</v>
      </c>
      <c r="E26" s="5">
        <f>IF($G26=0,0,((Title_RESULTS!$H$14*((1+Title_RESULTS!$H$15/100)^($A26-Title_RESULTS!$H$7))*'EUE_Line Losses'!$B$25*Partcipation!$C$26))/1000)</f>
        <v>629.6034141540669</v>
      </c>
      <c r="F26" s="5">
        <f>IF($G26=0,0,(Title_RESULTS!$H$19/100*((1+Title_RESULTS!$H$20/100)^($A26-Title_RESULTS!$H$7))*$D26*1000)/1000)</f>
        <v>180.2022040248971</v>
      </c>
      <c r="G26" s="5">
        <f>(+Title_RESULTS!$H$22/100*((1+Title_RESULTS!$H$23/100)^(+'Sheet4(F_22)'!A26-Title_RESULTS!$H$7)))*'Sheet3(F_21)'!D26</f>
        <v>3957.2862191616455</v>
      </c>
      <c r="H26" s="5">
        <f>IF($G26=0,0,(($D26))*(Partcipation!$G26/100))</f>
        <v>3036.8807289657657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7799.826868253569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6215.2865381158135</v>
      </c>
      <c r="D27" s="5">
        <f>IF((Title_RESULTS!$H$8-Title_RESULTS!$H$7)&lt;=('Sheet3(F_21)'!A27-Title_RESULTS!$H$7),((Title_RESULTS!$C$8*Partcipation!$C$26*8760*Title_RESULTS!$H$21/100000)),0)</f>
        <v>67692.60656661991</v>
      </c>
      <c r="E27" s="5">
        <f>IF($G27=0,0,((Title_RESULTS!$H$14*((1+Title_RESULTS!$H$15/100)^($A27-Title_RESULTS!$H$7))*'EUE_Line Losses'!$B$25*Partcipation!$C$26))/1000)</f>
        <v>644.7138960937646</v>
      </c>
      <c r="F27" s="5">
        <f>IF($G27=0,0,(Title_RESULTS!$H$19/100*((1+Title_RESULTS!$H$20/100)^($A27-Title_RESULTS!$H$7))*$D27*1000)/1000)</f>
        <v>184.52705692149468</v>
      </c>
      <c r="G27" s="5">
        <f>(+Title_RESULTS!$H$22/100*((1+Title_RESULTS!$H$23/100)^(+'Sheet4(F_22)'!A27-Title_RESULTS!$H$7)))*'Sheet3(F_21)'!D27</f>
        <v>4136.947013511584</v>
      </c>
      <c r="H27" s="5">
        <f>IF($G27=0,0,(($D27))*(Partcipation!$G27/100))</f>
        <v>3112.3990141953564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8069.0754904473015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6364.4534150305935</v>
      </c>
      <c r="D28" s="5">
        <f>IF((Title_RESULTS!$H$8-Title_RESULTS!$H$7)&lt;=('Sheet3(F_21)'!A28-Title_RESULTS!$H$7),((Title_RESULTS!$C$8*Partcipation!$C$26*8760*Title_RESULTS!$H$21/100000)),0)</f>
        <v>67692.60656661991</v>
      </c>
      <c r="E28" s="5">
        <f>IF($G28=0,0,((Title_RESULTS!$H$14*((1+Title_RESULTS!$H$15/100)^($A28-Title_RESULTS!$H$7))*'EUE_Line Losses'!$B$25*Partcipation!$C$26))/1000)</f>
        <v>660.187029600015</v>
      </c>
      <c r="F28" s="5">
        <f>IF($G28=0,0,(Title_RESULTS!$H$19/100*((1+Title_RESULTS!$H$20/100)^($A28-Title_RESULTS!$H$7))*$D28*1000)/1000)</f>
        <v>188.95570628761052</v>
      </c>
      <c r="G28" s="5">
        <f>(+Title_RESULTS!$H$22/100*((1+Title_RESULTS!$H$23/100)^(+'Sheet4(F_22)'!A28-Title_RESULTS!$H$7)))*'Sheet3(F_21)'!D28</f>
        <v>4324.76440792501</v>
      </c>
      <c r="H28" s="5">
        <f>IF($G28=0,0,(($D28))*(Partcipation!$G28/100))</f>
        <v>3299.173803548175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8239.186755295053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6517.200296991328</v>
      </c>
      <c r="D29" s="5">
        <f>IF((Title_RESULTS!$H$8-Title_RESULTS!$H$7)&lt;=('Sheet3(F_21)'!A29-Title_RESULTS!$H$7),((Title_RESULTS!$C$8*Partcipation!$C$26*8760*Title_RESULTS!$H$21/100000)),0)</f>
        <v>67692.60656661991</v>
      </c>
      <c r="E29" s="5">
        <f>IF($G29=0,0,((Title_RESULTS!$H$14*((1+Title_RESULTS!$H$15/100)^($A29-Title_RESULTS!$H$7))*'EUE_Line Losses'!$B$25*Partcipation!$C$26))/1000)</f>
        <v>676.0315183104152</v>
      </c>
      <c r="F29" s="5">
        <f>IF($G29=0,0,(Title_RESULTS!$H$19/100*((1+Title_RESULTS!$H$20/100)^($A29-Title_RESULTS!$H$7))*$D29*1000)/1000)</f>
        <v>193.49064323851317</v>
      </c>
      <c r="G29" s="5">
        <f>(+Title_RESULTS!$H$22/100*((1+Title_RESULTS!$H$23/100)^(+'Sheet4(F_22)'!A29-Title_RESULTS!$H$7)))*'Sheet3(F_21)'!D29</f>
        <v>4521.108712044806</v>
      </c>
      <c r="H29" s="5">
        <f>IF($G29=0,0,(($D29))*(Partcipation!$G29/100))</f>
        <v>3374.4195742689576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8533.411596316106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6673.613104119119</v>
      </c>
      <c r="D30" s="5">
        <f>IF((Title_RESULTS!$H$8-Title_RESULTS!$H$7)&lt;=('Sheet3(F_21)'!A30-Title_RESULTS!$H$7),((Title_RESULTS!$C$8*Partcipation!$C$26*8760*Title_RESULTS!$H$21/100000)),0)</f>
        <v>67692.60656661991</v>
      </c>
      <c r="E30" s="5">
        <f>IF($G30=0,0,((Title_RESULTS!$H$14*((1+Title_RESULTS!$H$15/100)^($A30-Title_RESULTS!$H$7))*'EUE_Line Losses'!$B$25*Partcipation!$C$26))/1000)</f>
        <v>692.2562747498652</v>
      </c>
      <c r="F30" s="5">
        <f>IF($G30=0,0,(Title_RESULTS!$H$19/100*((1+Title_RESULTS!$H$20/100)^($A30-Title_RESULTS!$H$7))*$D30*1000)/1000)</f>
        <v>198.1344186762375</v>
      </c>
      <c r="G30" s="5">
        <f>(+Title_RESULTS!$H$22/100*((1+Title_RESULTS!$H$23/100)^(+'Sheet4(F_22)'!A30-Title_RESULTS!$H$7)))*'Sheet3(F_21)'!D30</f>
        <v>4726.367047571641</v>
      </c>
      <c r="H30" s="5">
        <f>IF($G30=0,0,(($D30))*(Partcipation!$G30/100))</f>
        <v>3592.1610770621032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8698.209768054761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70525.63720111469</v>
      </c>
      <c r="D32" s="9">
        <f t="shared" si="1"/>
        <v>812311.2787994392</v>
      </c>
      <c r="E32" s="9">
        <f t="shared" si="1"/>
        <v>7315.649577148866</v>
      </c>
      <c r="F32" s="9">
        <f t="shared" si="1"/>
        <v>2093.851697814077</v>
      </c>
      <c r="G32" s="9">
        <f t="shared" si="1"/>
        <v>44951.48105673813</v>
      </c>
      <c r="H32" s="9">
        <f t="shared" si="1"/>
        <v>33597.764130815354</v>
      </c>
      <c r="I32" s="9">
        <f t="shared" si="1"/>
        <v>0</v>
      </c>
      <c r="J32" s="9">
        <f t="shared" si="1"/>
        <v>91288.8554020004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39767.38064895652</v>
      </c>
      <c r="D34" s="5"/>
      <c r="E34" s="5">
        <f>NPV(Title_RESULTS!$C$37,E17:E31)+'Sheet3(F_21)'!E16</f>
        <v>4125.084621344741</v>
      </c>
      <c r="F34" s="5">
        <f>NPV(Title_RESULTS!$C$37,F17:F31)+'Sheet3(F_21)'!F16</f>
        <v>1180.6628170120268</v>
      </c>
      <c r="G34" s="5">
        <f>NPV(Title_RESULTS!$C$37,G17:G31)+'Sheet3(F_21)'!G16</f>
        <v>24924.367487050215</v>
      </c>
      <c r="H34" s="5">
        <f>NPV(Title_RESULTS!$C$37,H17:H31)+'Sheet3(F_21)'!H16</f>
        <v>18578.708906219737</v>
      </c>
      <c r="I34" s="5">
        <f>NPV(Title_RESULTS!$C$37,I17:I31)+'Sheet3(F_21)'!I16</f>
        <v>0</v>
      </c>
      <c r="J34" s="5">
        <f>NPV(Title_RESULTS!$C$37,J17:J31)+'Sheet3(F_21)'!J16</f>
        <v>51418.78666814377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Solar Water Heater</v>
      </c>
      <c r="F2" t="s">
        <v>55</v>
      </c>
    </row>
    <row r="3" spans="6:7" ht="12.75">
      <c r="F3" s="35">
        <f>+Title_RESULTS!I4</f>
        <v>43599.32060810185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217660.52742616035</v>
      </c>
      <c r="C16" s="5">
        <f>$B16*'Sheet2(F_12)'!$E16/100</f>
        <v>6313.6998657377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6313.6998657377</v>
      </c>
      <c r="G16" s="5">
        <f>+$F16*'Sheet2(F_12)'!$I16</f>
        <v>6313.6998657377</v>
      </c>
    </row>
    <row r="17" spans="1:7" ht="12.75">
      <c r="A17">
        <f>+A16+1</f>
        <v>2021</v>
      </c>
      <c r="B17" s="5">
        <f>(+Partcipation!$C16+(Partcipation!$C17-Partcipation!$C16)/2)*Title_RESULTS!$C$10/1000</f>
        <v>652981.582278481</v>
      </c>
      <c r="C17" s="5">
        <f>$B17*'Sheet2(F_12)'!$E17/100</f>
        <v>18787.035473753924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18787.035473753924</v>
      </c>
      <c r="G17" s="5">
        <f>+$F17*'Sheet2(F_12)'!$I17</f>
        <v>18787.035473753924</v>
      </c>
    </row>
    <row r="18" spans="1:7" ht="12.75">
      <c r="A18">
        <f>+A17+1</f>
        <v>2022</v>
      </c>
      <c r="B18" s="5">
        <f>(+Partcipation!$C17+(Partcipation!$C18-Partcipation!$C17)/2)*Title_RESULTS!$C$10/1000</f>
        <v>1088302.6371308016</v>
      </c>
      <c r="C18" s="5">
        <f>$B18*'Sheet2(F_12)'!$E18/100</f>
        <v>32315.796784257815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32315.796784257815</v>
      </c>
      <c r="G18" s="5">
        <f>+$F18*'Sheet2(F_12)'!$I18</f>
        <v>32315.796784257815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1305963.164556962</v>
      </c>
      <c r="C19" s="5">
        <f>$B19*'Sheet2(F_12)'!$E19/100</f>
        <v>40369.81606450977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40369.81606450977</v>
      </c>
      <c r="G19" s="5">
        <f>+$F19*'Sheet2(F_12)'!$I19</f>
        <v>40369.81606450977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1305963.164556962</v>
      </c>
      <c r="C20" s="5">
        <f>$B20*'Sheet2(F_12)'!$E20/100</f>
        <v>41956.19767293141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41956.19767293141</v>
      </c>
      <c r="G20" s="5">
        <f>+$F20*'Sheet2(F_12)'!$I20</f>
        <v>41956.19767293141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1305963.164556962</v>
      </c>
      <c r="C21" s="5">
        <f>$B21*'Sheet2(F_12)'!$E21/100</f>
        <v>45048.324743747944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45048.324743747944</v>
      </c>
      <c r="G21" s="5">
        <f>+$F21*'Sheet2(F_12)'!$I21</f>
        <v>45048.324743747944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1305963.164556962</v>
      </c>
      <c r="C22" s="5">
        <f>$B22*'Sheet2(F_12)'!$E22/100</f>
        <v>46493.232847730374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46493.232847730374</v>
      </c>
      <c r="G22" s="5">
        <f>+$F22*'Sheet2(F_12)'!$I22</f>
        <v>46493.232847730374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1305963.164556962</v>
      </c>
      <c r="C23" s="5">
        <f>$B23*'Sheet2(F_12)'!$E23/100</f>
        <v>49398.85180631659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49398.85180631659</v>
      </c>
      <c r="G23" s="5">
        <f>+$F23*'Sheet2(F_12)'!$I23</f>
        <v>49398.85180631659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1305963.164556962</v>
      </c>
      <c r="C24" s="5">
        <f>$B24*'Sheet2(F_12)'!$E24/100</f>
        <v>54739.64031136396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54739.64031136396</v>
      </c>
      <c r="G24" s="5">
        <f>+$F24*'Sheet2(F_12)'!$I24</f>
        <v>54739.64031136396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1305963.164556962</v>
      </c>
      <c r="C25" s="5">
        <f>$B25*'Sheet2(F_12)'!$E25/100</f>
        <v>58646.09471157735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58646.09471157735</v>
      </c>
      <c r="G25" s="5">
        <f>+$F25*'Sheet2(F_12)'!$I25</f>
        <v>58646.09471157735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1305963.164556962</v>
      </c>
      <c r="C26" s="5">
        <f>$B26*'Sheet2(F_12)'!$E26/100</f>
        <v>65504.43878705954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65504.43878705954</v>
      </c>
      <c r="G26" s="5">
        <f>+$F26*'Sheet2(F_12)'!$I26</f>
        <v>65504.43878705954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1305963.164556962</v>
      </c>
      <c r="C27" s="5">
        <f>$B27*'Sheet2(F_12)'!$E27/100</f>
        <v>65260.83789540586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65260.83789540586</v>
      </c>
      <c r="G27" s="5">
        <f>+$F27*'Sheet2(F_12)'!$I27</f>
        <v>65260.83789540586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1305963.164556962</v>
      </c>
      <c r="C28" s="5">
        <f>$B28*'Sheet2(F_12)'!$E28/100</f>
        <v>71324.06415926921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71324.06415926921</v>
      </c>
      <c r="G28" s="5">
        <f>+$F28*'Sheet2(F_12)'!$I28</f>
        <v>71324.06415926921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1305963.164556962</v>
      </c>
      <c r="C29" s="5">
        <f>$B29*'Sheet2(F_12)'!$E29/100</f>
        <v>76060.62650793788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76060.62650793788</v>
      </c>
      <c r="G29" s="5">
        <f>+$F29*'Sheet2(F_12)'!$I29</f>
        <v>76060.62650793788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1305963.164556962</v>
      </c>
      <c r="C30" s="5">
        <f>$B30*'Sheet2(F_12)'!$E30/100</f>
        <v>79602.1819435726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79602.1819435726</v>
      </c>
      <c r="G30" s="5">
        <f>+$F30*'Sheet2(F_12)'!$I30</f>
        <v>79602.1819435726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17630502.721518982</v>
      </c>
      <c r="C32" s="5">
        <f t="shared" si="2"/>
        <v>751820.8395751719</v>
      </c>
      <c r="D32" s="5">
        <f t="shared" si="2"/>
        <v>0</v>
      </c>
      <c r="E32" s="5">
        <f t="shared" si="2"/>
        <v>0</v>
      </c>
      <c r="F32" s="5">
        <f t="shared" si="2"/>
        <v>751820.8395751719</v>
      </c>
      <c r="G32" s="5">
        <f t="shared" si="2"/>
        <v>751820.8395751719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430628.4234449509</v>
      </c>
      <c r="D34" s="5"/>
      <c r="E34" s="5">
        <f>NPV(+Title_RESULTS!$C$37,E17:E31)+E16</f>
        <v>0</v>
      </c>
      <c r="F34" s="5">
        <f>NPV(+Title_RESULTS!$C$37,F17:F31)+F16</f>
        <v>430628.4234449509</v>
      </c>
      <c r="G34" s="5">
        <f>NPV(+Title_RESULTS!$C$37,G17:G31)+G16</f>
        <v>430628.4234449509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Solar Water Heater</v>
      </c>
      <c r="J2" t="s">
        <v>42</v>
      </c>
    </row>
    <row r="3" spans="9:10" ht="12.75">
      <c r="I3" s="4"/>
      <c r="J3" s="35">
        <f>+Title_RESULTS!I4</f>
        <v>43599.32060810185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Solar Water Heater</v>
      </c>
      <c r="H2" t="s">
        <v>108</v>
      </c>
    </row>
    <row r="3" ht="12.75">
      <c r="H3" s="35">
        <f>+Title_RESULTS!I4</f>
        <v>43599.32060810185</v>
      </c>
    </row>
    <row r="5" spans="3:6" ht="12.75">
      <c r="C5" t="s">
        <v>60</v>
      </c>
      <c r="F5" s="38">
        <f>+'Value of Defferal'!L4</f>
        <v>3034.7297792</v>
      </c>
    </row>
    <row r="6" spans="3:6" ht="12.75">
      <c r="C6" t="s">
        <v>62</v>
      </c>
      <c r="F6" s="38">
        <f>+'Value of Defferal'!L5</f>
        <v>7803.773337600001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6313.6998657377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299.89898744603965</v>
      </c>
      <c r="C17" s="5">
        <f>IF(+Title_RESULTS!$H$9&lt;='Sheet4(F_22)'!$A17,(+Title_RESULTS!$H$16*((1+Title_RESULTS!$H$18/100)^('Sheet4(F_22)'!$A17-Title_RESULTS!$H$7))*Title_RESULTS!$C$8*Partcipation!$C$26/1000),0)</f>
        <v>241.73553234649034</v>
      </c>
      <c r="D17" s="5">
        <f>(+B17+C17)*+Partcipation!$H17</f>
        <v>541.63451979253</v>
      </c>
      <c r="E17" s="5">
        <f>VLOOKUP(A17,'Value of Defferal'!$I24:$P$58,'Value of Defferal'!$K$13)</f>
        <v>771.1868576389662</v>
      </c>
      <c r="F17" s="5">
        <f>IF(+'Value of Defferal'!P24=0,0,Title_RESULTS!$H$17*Title_RESULTS!$C$7*Partcipation!$C$26*(1+Title_RESULTS!$H$18/100)^('Sheet4(F_22)'!A17-Title_RESULTS!$H$7))/1000</f>
        <v>1074.3570432</v>
      </c>
      <c r="G17" s="5">
        <f>(+E17+F17)*Partcipation!$H17</f>
        <v>1845.5439008389662</v>
      </c>
      <c r="H17" s="5">
        <f>+'Sheet5(p_5)'!$F17*'Sheet2(F_12)'!$I17</f>
        <v>18787.035473753924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307.0965631447446</v>
      </c>
      <c r="C18" s="5">
        <f>IF(+Title_RESULTS!$H$9&lt;='Sheet4(F_22)'!$A18,(+Title_RESULTS!$H$16*((1+Title_RESULTS!$H$18/100)^('Sheet4(F_22)'!$A18-Title_RESULTS!$H$7))*Title_RESULTS!$C$8*Partcipation!$C$26/1000),0)</f>
        <v>247.53718512280608</v>
      </c>
      <c r="D18" s="5">
        <f>(+B18+C18)*+Partcipation!$H18</f>
        <v>554.6337482675507</v>
      </c>
      <c r="E18" s="5">
        <f>VLOOKUP(A18,'Value of Defferal'!$I25:$P$58,'Value of Defferal'!$K$13)</f>
        <v>789.6953422223014</v>
      </c>
      <c r="F18" s="5">
        <f>IF(+'Value of Defferal'!P25=0,0,Title_RESULTS!$H$17*Title_RESULTS!$C$7*Partcipation!$C$26*(1+Title_RESULTS!$H$18/100)^('Sheet4(F_22)'!A18-Title_RESULTS!$H$7))/1000</f>
        <v>1100.1416122367998</v>
      </c>
      <c r="G18" s="5">
        <f>(+E18+F18)*Partcipation!$H18</f>
        <v>1889.8369544591012</v>
      </c>
      <c r="H18" s="5">
        <f>+'Sheet5(p_5)'!$F18*'Sheet2(F_12)'!$I18</f>
        <v>32315.796784257815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314.4668806602185</v>
      </c>
      <c r="C19" s="5">
        <f>IF(+Title_RESULTS!$H$9&lt;='Sheet4(F_22)'!$A19,(+Title_RESULTS!$H$16*((1+Title_RESULTS!$H$18/100)^('Sheet4(F_22)'!$A19-Title_RESULTS!$H$7))*Title_RESULTS!$C$8*Partcipation!$C$26/1000),0)</f>
        <v>253.47807756575347</v>
      </c>
      <c r="D19" s="5">
        <f>(+B19+C19)*+Partcipation!$H19</f>
        <v>567.944958225972</v>
      </c>
      <c r="E19" s="5">
        <f>VLOOKUP(A19,'Value of Defferal'!$I26:$P$58,'Value of Defferal'!$K$13)</f>
        <v>808.6480304356367</v>
      </c>
      <c r="F19" s="5">
        <f>IF(+'Value of Defferal'!P26=0,0,Title_RESULTS!$H$17*Title_RESULTS!$C$7*Partcipation!$C$26*(1+Title_RESULTS!$H$18/100)^('Sheet4(F_22)'!A19-Title_RESULTS!$H$7))/1000</f>
        <v>1126.5450109304832</v>
      </c>
      <c r="G19" s="5">
        <f>(+E19+F19)*Partcipation!$H19</f>
        <v>1935.1930413661198</v>
      </c>
      <c r="H19" s="5">
        <f>+'Sheet5(p_5)'!$F19*'Sheet2(F_12)'!$I19</f>
        <v>40369.81606450977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322.01408579606374</v>
      </c>
      <c r="C20" s="5">
        <f>IF(+Title_RESULTS!$H$9&lt;='Sheet4(F_22)'!$A20,(+Title_RESULTS!$H$16*((1+Title_RESULTS!$H$18/100)^('Sheet4(F_22)'!$A20-Title_RESULTS!$H$7))*Title_RESULTS!$C$8*Partcipation!$C$26/1000),0)</f>
        <v>259.56155142733155</v>
      </c>
      <c r="D20" s="5">
        <f>(+B20+C20)*+Partcipation!$H20</f>
        <v>581.5756372233952</v>
      </c>
      <c r="E20" s="5">
        <f>VLOOKUP(A20,'Value of Defferal'!$I27:$P$58,'Value of Defferal'!$K$13)</f>
        <v>828.0555831660919</v>
      </c>
      <c r="F20" s="5">
        <f>IF(+'Value of Defferal'!P27=0,0,Title_RESULTS!$H$17*Title_RESULTS!$C$7*Partcipation!$C$26*(1+Title_RESULTS!$H$18/100)^('Sheet4(F_22)'!A20-Title_RESULTS!$H$7))/1000</f>
        <v>1153.5820911928147</v>
      </c>
      <c r="G20" s="5">
        <f>(+E20+F20)*Partcipation!$H20</f>
        <v>1981.6376743589067</v>
      </c>
      <c r="H20" s="5">
        <f>+'Sheet5(p_5)'!$F20*'Sheet2(F_12)'!$I20</f>
        <v>41956.19767293141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329.74242385516925</v>
      </c>
      <c r="C21" s="5">
        <f>IF(+Title_RESULTS!$H$9&lt;='Sheet4(F_22)'!$A21,(+Title_RESULTS!$H$16*((1+Title_RESULTS!$H$18/100)^('Sheet4(F_22)'!$A21-Title_RESULTS!$H$7))*Title_RESULTS!$C$8*Partcipation!$C$26/1000),0)</f>
        <v>265.7910286615875</v>
      </c>
      <c r="D21" s="5">
        <f>(+B21+C21)*+Partcipation!$H21</f>
        <v>595.5334525167568</v>
      </c>
      <c r="E21" s="5">
        <f>VLOOKUP(A21,'Value of Defferal'!$I28:$P$58,'Value of Defferal'!$K$13)</f>
        <v>847.9289171620782</v>
      </c>
      <c r="F21" s="5">
        <f>IF(+'Value of Defferal'!P28=0,0,Title_RESULTS!$H$17*Title_RESULTS!$C$7*Partcipation!$C$26*(1+Title_RESULTS!$H$18/100)^('Sheet4(F_22)'!A21-Title_RESULTS!$H$7))/1000</f>
        <v>1181.2680613814425</v>
      </c>
      <c r="G21" s="5">
        <f>(+E21+F21)*Partcipation!$H21</f>
        <v>2029.1969785435208</v>
      </c>
      <c r="H21" s="5">
        <f>+'Sheet5(p_5)'!$F21*'Sheet2(F_12)'!$I21</f>
        <v>45048.324743747944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337.65624202769334</v>
      </c>
      <c r="C22" s="5">
        <f>IF(+Title_RESULTS!$H$9&lt;='Sheet4(F_22)'!$A22,(+Title_RESULTS!$H$16*((1+Title_RESULTS!$H$18/100)^('Sheet4(F_22)'!$A22-Title_RESULTS!$H$7))*Title_RESULTS!$C$8*Partcipation!$C$26/1000),0)</f>
        <v>272.17001334946553</v>
      </c>
      <c r="D22" s="5">
        <f>(+B22+C22)*+Partcipation!$H22</f>
        <v>609.8262553771589</v>
      </c>
      <c r="E22" s="5">
        <f>VLOOKUP(A22,'Value of Defferal'!$I29:$P$58,'Value of Defferal'!$K$13)</f>
        <v>868.2792111739681</v>
      </c>
      <c r="F22" s="5">
        <f>IF(+'Value of Defferal'!P29=0,0,Title_RESULTS!$H$17*Title_RESULTS!$C$7*Partcipation!$C$26*(1+Title_RESULTS!$H$18/100)^('Sheet4(F_22)'!A22-Title_RESULTS!$H$7))/1000</f>
        <v>1209.618494854597</v>
      </c>
      <c r="G22" s="5">
        <f>(+E22+F22)*Partcipation!$H22</f>
        <v>2077.897706028565</v>
      </c>
      <c r="H22" s="5">
        <f>+'Sheet5(p_5)'!$F22*'Sheet2(F_12)'!$I22</f>
        <v>46493.232847730374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345.759991836358</v>
      </c>
      <c r="C23" s="5">
        <f>IF(+Title_RESULTS!$H$9&lt;='Sheet4(F_22)'!$A23,(+Title_RESULTS!$H$16*((1+Title_RESULTS!$H$18/100)^('Sheet4(F_22)'!$A23-Title_RESULTS!$H$7))*Title_RESULTS!$C$8*Partcipation!$C$26/1000),0)</f>
        <v>278.70209366985284</v>
      </c>
      <c r="D23" s="5">
        <f>(+B23+C23)*+Partcipation!$H23</f>
        <v>624.4620855062108</v>
      </c>
      <c r="E23" s="5">
        <f>VLOOKUP(A23,'Value of Defferal'!$I30:$P$58,'Value of Defferal'!$K$13)</f>
        <v>889.1179122421432</v>
      </c>
      <c r="F23" s="5">
        <f>IF(+'Value of Defferal'!P30=0,0,Title_RESULTS!$H$17*Title_RESULTS!$C$7*Partcipation!$C$26*(1+Title_RESULTS!$H$18/100)^('Sheet4(F_22)'!A23-Title_RESULTS!$H$7))/1000</f>
        <v>1238.6493387311075</v>
      </c>
      <c r="G23" s="5">
        <f>(+E23+F23)*Partcipation!$H23</f>
        <v>2127.7672509732506</v>
      </c>
      <c r="H23" s="5">
        <f>+'Sheet5(p_5)'!$F23*'Sheet2(F_12)'!$I23</f>
        <v>49398.85180631659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354.05823164043056</v>
      </c>
      <c r="C24" s="5">
        <f>IF(+Title_RESULTS!$H$9&lt;='Sheet4(F_22)'!$A24,(+Title_RESULTS!$H$16*((1+Title_RESULTS!$H$18/100)^('Sheet4(F_22)'!$A24-Title_RESULTS!$H$7))*Title_RESULTS!$C$8*Partcipation!$C$26/1000),0)</f>
        <v>285.3909439179292</v>
      </c>
      <c r="D24" s="5">
        <f>(+B24+C24)*+Partcipation!$H24</f>
        <v>639.4491755583597</v>
      </c>
      <c r="E24" s="5">
        <f>VLOOKUP(A24,'Value of Defferal'!$I31:$P$58,'Value of Defferal'!$K$13)</f>
        <v>910.4567421359546</v>
      </c>
      <c r="F24" s="5">
        <f>IF(+'Value of Defferal'!P31=0,0,Title_RESULTS!$H$17*Title_RESULTS!$C$7*Partcipation!$C$26*(1+Title_RESULTS!$H$18/100)^('Sheet4(F_22)'!A24-Title_RESULTS!$H$7))/1000</f>
        <v>1268.3769228606538</v>
      </c>
      <c r="G24" s="5">
        <f>(+E24+F24)*Partcipation!$H24</f>
        <v>2178.8336649966086</v>
      </c>
      <c r="H24" s="5">
        <f>+'Sheet5(p_5)'!$F24*'Sheet2(F_12)'!$I24</f>
        <v>54739.64031136396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362.55562919980093</v>
      </c>
      <c r="C25" s="5">
        <f>IF(+Title_RESULTS!$H$9&lt;='Sheet4(F_22)'!$A25,(+Title_RESULTS!$H$16*((1+Title_RESULTS!$H$18/100)^('Sheet4(F_22)'!$A25-Title_RESULTS!$H$7))*Title_RESULTS!$C$8*Partcipation!$C$26/1000),0)</f>
        <v>292.24032657195954</v>
      </c>
      <c r="D25" s="5">
        <f>(+B25+C25)*+Partcipation!$H25</f>
        <v>654.7959557717604</v>
      </c>
      <c r="E25" s="5">
        <f>VLOOKUP(A25,'Value of Defferal'!$I32:$P$58,'Value of Defferal'!$K$13)</f>
        <v>932.3077039472176</v>
      </c>
      <c r="F25" s="5">
        <f>IF(+'Value of Defferal'!P32=0,0,Title_RESULTS!$H$17*Title_RESULTS!$C$7*Partcipation!$C$26*(1+Title_RESULTS!$H$18/100)^('Sheet4(F_22)'!A25-Title_RESULTS!$H$7))/1000</f>
        <v>1298.8179690093095</v>
      </c>
      <c r="G25" s="5">
        <f>(+E25+F25)*Partcipation!$H25</f>
        <v>2231.125672956527</v>
      </c>
      <c r="H25" s="5">
        <f>+'Sheet5(p_5)'!$F25*'Sheet2(F_12)'!$I25</f>
        <v>58646.09471157735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371.25696430059617</v>
      </c>
      <c r="C26" s="5">
        <f>IF(+Title_RESULTS!$H$9&lt;='Sheet4(F_22)'!$A26,(+Title_RESULTS!$H$16*((1+Title_RESULTS!$H$18/100)^('Sheet4(F_22)'!$A26-Title_RESULTS!$H$7))*Title_RESULTS!$C$8*Partcipation!$C$26/1000),0)</f>
        <v>299.25409440968656</v>
      </c>
      <c r="D26" s="5">
        <f>(+B26+C26)*+Partcipation!$H26</f>
        <v>670.5110587102827</v>
      </c>
      <c r="E26" s="5">
        <f>VLOOKUP(A26,'Value of Defferal'!$I33:$P$58,'Value of Defferal'!$K$13)</f>
        <v>954.683088841951</v>
      </c>
      <c r="F26" s="5">
        <f>IF(+'Value of Defferal'!P33=0,0,Title_RESULTS!$H$17*Title_RESULTS!$C$7*Partcipation!$C$26*(1+Title_RESULTS!$H$18/100)^('Sheet4(F_22)'!A26-Title_RESULTS!$H$7))/1000</f>
        <v>1329.989600265533</v>
      </c>
      <c r="G26" s="5">
        <f>(+E26+F26)*Partcipation!$H26</f>
        <v>2284.672689107484</v>
      </c>
      <c r="H26" s="5">
        <f>+'Sheet5(p_5)'!$F26*'Sheet2(F_12)'!$I26</f>
        <v>65504.43878705954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380.16713144381055</v>
      </c>
      <c r="C27" s="5">
        <f>IF(+Title_RESULTS!$H$9&lt;='Sheet4(F_22)'!$A27,(+Title_RESULTS!$H$16*((1+Title_RESULTS!$H$18/100)^('Sheet4(F_22)'!$A27-Title_RESULTS!$H$7))*Title_RESULTS!$C$8*Partcipation!$C$26/1000),0)</f>
        <v>306.43619267551907</v>
      </c>
      <c r="D27" s="5">
        <f>(+B27+C27)*+Partcipation!$H27</f>
        <v>686.6033241193296</v>
      </c>
      <c r="E27" s="5">
        <f>VLOOKUP(A27,'Value of Defferal'!$I34:$P$58,'Value of Defferal'!$K$13)</f>
        <v>977.5954829741578</v>
      </c>
      <c r="F27" s="5">
        <f>IF(+'Value of Defferal'!P34=0,0,Title_RESULTS!$H$17*Title_RESULTS!$C$7*Partcipation!$C$26*(1+Title_RESULTS!$H$18/100)^('Sheet4(F_22)'!A27-Title_RESULTS!$H$7))/1000</f>
        <v>1361.909350671906</v>
      </c>
      <c r="G27" s="5">
        <f>(+E27+F27)*Partcipation!$H27</f>
        <v>2339.5048336460636</v>
      </c>
      <c r="H27" s="5">
        <f>+'Sheet5(p_5)'!$F27*'Sheet2(F_12)'!$I27</f>
        <v>65260.83789540586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389.29114259846193</v>
      </c>
      <c r="C28" s="5">
        <f>IF(+Title_RESULTS!$H$9&lt;='Sheet4(F_22)'!$A28,(+Title_RESULTS!$H$16*((1+Title_RESULTS!$H$18/100)^('Sheet4(F_22)'!$A28-Title_RESULTS!$H$7))*Title_RESULTS!$C$8*Partcipation!$C$26/1000),0)</f>
        <v>313.79066129973154</v>
      </c>
      <c r="D28" s="5">
        <f>(+B28+C28)*+Partcipation!$H28</f>
        <v>703.0818038981935</v>
      </c>
      <c r="E28" s="5">
        <f>VLOOKUP(A28,'Value of Defferal'!$I35:$P$58,'Value of Defferal'!$K$13)</f>
        <v>1001.0577745655376</v>
      </c>
      <c r="F28" s="5">
        <f>IF(+'Value of Defferal'!P35=0,0,Title_RESULTS!$H$17*Title_RESULTS!$C$7*Partcipation!$C$26*(1+Title_RESULTS!$H$18/100)^('Sheet4(F_22)'!A28-Title_RESULTS!$H$7))/1000</f>
        <v>1394.5951750880315</v>
      </c>
      <c r="G28" s="5">
        <f>(+E28+F28)*Partcipation!$H28</f>
        <v>2395.652949653569</v>
      </c>
      <c r="H28" s="5">
        <f>+'Sheet5(p_5)'!$F28*'Sheet2(F_12)'!$I28</f>
        <v>71324.06415926921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398.63413002082507</v>
      </c>
      <c r="C29" s="5">
        <f>IF(+Title_RESULTS!$H$9&lt;='Sheet4(F_22)'!$A29,(+Title_RESULTS!$H$16*((1+Title_RESULTS!$H$18/100)^('Sheet4(F_22)'!$A29-Title_RESULTS!$H$7))*Title_RESULTS!$C$8*Partcipation!$C$26/1000),0)</f>
        <v>321.32163717092504</v>
      </c>
      <c r="D29" s="5">
        <f>(+B29+C29)*+Partcipation!$H29</f>
        <v>719.95576719175</v>
      </c>
      <c r="E29" s="5">
        <f>VLOOKUP(A29,'Value of Defferal'!$I36:$P$58,'Value of Defferal'!$K$13)</f>
        <v>1025.0831611551105</v>
      </c>
      <c r="F29" s="5">
        <f>IF(+'Value of Defferal'!P36=0,0,Title_RESULTS!$H$17*Title_RESULTS!$C$7*Partcipation!$C$26*(1+Title_RESULTS!$H$18/100)^('Sheet4(F_22)'!A29-Title_RESULTS!$H$7))/1000</f>
        <v>1428.0654592901442</v>
      </c>
      <c r="G29" s="5">
        <f>(+E29+F29)*Partcipation!$H29</f>
        <v>2453.148620445255</v>
      </c>
      <c r="H29" s="5">
        <f>+'Sheet5(p_5)'!$F29*'Sheet2(F_12)'!$I29</f>
        <v>76060.62650793788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408.20134914132484</v>
      </c>
      <c r="C30" s="5">
        <f>IF(+Title_RESULTS!$H$9&lt;='Sheet4(F_22)'!$A30,(+Title_RESULTS!$H$16*((1+Title_RESULTS!$H$18/100)^('Sheet4(F_22)'!$A30-Title_RESULTS!$H$7))*Title_RESULTS!$C$8*Partcipation!$C$26/1000),0)</f>
        <v>329.03335646302725</v>
      </c>
      <c r="D30" s="5">
        <f>(+B30+C30)*+Partcipation!$H30</f>
        <v>737.234705604352</v>
      </c>
      <c r="E30" s="5">
        <f>VLOOKUP(A30,'Value of Defferal'!$I37:$P$58,'Value of Defferal'!$K$13)</f>
        <v>1049.6851570228332</v>
      </c>
      <c r="F30" s="5">
        <f>IF(+'Value of Defferal'!P37=0,0,Title_RESULTS!$H$17*Title_RESULTS!$C$7*Partcipation!$C$26*(1+Title_RESULTS!$H$18/100)^('Sheet4(F_22)'!A30-Title_RESULTS!$H$7))/1000</f>
        <v>1462.3390303131077</v>
      </c>
      <c r="G30" s="5">
        <f>(+E30+F30)*Partcipation!$H30</f>
        <v>2512.024187335941</v>
      </c>
      <c r="H30" s="5">
        <f>+'Sheet5(p_5)'!$F30*'Sheet2(F_12)'!$I30</f>
        <v>79602.1819435726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4920.799753111537</v>
      </c>
      <c r="C32" s="5">
        <f t="shared" si="1"/>
        <v>3966.4426946520657</v>
      </c>
      <c r="D32" s="5">
        <f t="shared" si="1"/>
        <v>8887.242447763603</v>
      </c>
      <c r="E32" s="5">
        <f t="shared" si="1"/>
        <v>12653.780964683949</v>
      </c>
      <c r="F32" s="5">
        <f t="shared" si="1"/>
        <v>17628.255160025932</v>
      </c>
      <c r="G32" s="5">
        <f t="shared" si="1"/>
        <v>30282.03612470988</v>
      </c>
      <c r="H32" s="5">
        <f t="shared" si="1"/>
        <v>751820.8395751719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2980.3296748887497</v>
      </c>
      <c r="C34" s="5">
        <f>NPV(Title_RESULTS!$C$37,'Sheet4(F_22)'!C17:C31)+'Sheet4(F_22)'!C16</f>
        <v>2402.3141480492795</v>
      </c>
      <c r="D34" s="5">
        <f>NPV(Title_RESULTS!$C$37,'Sheet4(F_22)'!D17:D31)+'Sheet4(F_22)'!D16</f>
        <v>5382.643822938028</v>
      </c>
      <c r="E34" s="5">
        <f>NPV(Title_RESULTS!$C$37,'Sheet4(F_22)'!E17:E31)+'Sheet4(F_22)'!E16</f>
        <v>7663.8840840340035</v>
      </c>
      <c r="F34" s="5">
        <f>NPV(Title_RESULTS!$C$37,'Sheet4(F_22)'!F17:F31)+'Sheet4(F_22)'!F16</f>
        <v>10676.722200840419</v>
      </c>
      <c r="G34" s="5">
        <f>NPV(Title_RESULTS!$C$37,'Sheet4(F_22)'!G17:G31)+'Sheet4(F_22)'!G16</f>
        <v>18340.60628487442</v>
      </c>
      <c r="H34" s="5">
        <f>NPV(Title_RESULTS!$C$37,'Sheet4(F_22)'!H17:H31)+'Sheet4(F_22)'!H16</f>
        <v>430628.4234449509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Solar Water Heater</v>
      </c>
      <c r="P2" t="s">
        <v>121</v>
      </c>
    </row>
    <row r="3" ht="12.75">
      <c r="P3" s="35">
        <f>+Title_RESULTS!I4</f>
        <v>43599.32060810185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126934.18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126934.18</v>
      </c>
      <c r="H16" s="5">
        <f>IF(Partcipation!$B17&lt;Partcipation!$B16,0,IF(Partcipation!$B16=0,0,(Partcipation!$B16-Partcipation!$B15)*(+Title_RESULTS!$C$29*(1+Title_RESULTS!$C$30/100)^(+'Sheet8(F_24)'!$A16-Title_RESULTS!$H$7))/1000))</f>
        <v>169175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169175</v>
      </c>
      <c r="K16" s="5">
        <f>(+Partcipation!$B15+(Partcipation!$B16-Partcipation!$B15)/2)*(+Title_RESULTS!$C$14)/1000</f>
        <v>206342.18</v>
      </c>
      <c r="L16" s="5">
        <f>($K16)*Partcipation!$E73*Title_RESULTS!$C$12/100</f>
        <v>5023.632592811777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5618.2619124</v>
      </c>
      <c r="N16" s="5">
        <f>'Sheet2(F_12)'!$I16*('Sheet6(p_6)'!$L16+'Sheet6(p_6)'!$M16)</f>
        <v>10641.894505211778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126934.18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126934.18</v>
      </c>
      <c r="H17" s="5">
        <f>IF(Partcipation!$B18&lt;Partcipation!$B17,0,IF(Partcipation!$B17=0,0,(Partcipation!$B17-Partcipation!$B16)*(+Title_RESULTS!$C$29*(1+Title_RESULTS!$C$30/100)^(+'Sheet8(F_24)'!$A17-Title_RESULTS!$H$7))/1000))</f>
        <v>173066.025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173066.025</v>
      </c>
      <c r="K17" s="5">
        <f>(+Partcipation!$B16+(Partcipation!$B17-Partcipation!$B16)/2)*(+Title_RESULTS!$C$14)/1000</f>
        <v>619026.54</v>
      </c>
      <c r="L17" s="5">
        <f>($K17)*Partcipation!$E74*Title_RESULTS!$C$12/100</f>
        <v>15788.174307699948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17023.333594572003</v>
      </c>
      <c r="N17" s="5">
        <f>'Sheet2(F_12)'!$I17*('Sheet6(p_6)'!$L17+'Sheet6(p_6)'!$M17)</f>
        <v>32811.50790227195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126934.18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126934.18</v>
      </c>
      <c r="H18" s="5">
        <f>IF(Partcipation!$B19&lt;Partcipation!$B18,0,IF(Partcipation!$B18=0,0,(Partcipation!$B18-Partcipation!$B17)*(+Title_RESULTS!$C$29*(1+Title_RESULTS!$C$30/100)^(+'Sheet8(F_24)'!$A18-Title_RESULTS!$H$7))/1000))</f>
        <v>177046.54357499996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177046.54357499996</v>
      </c>
      <c r="K18" s="5">
        <f>(+Partcipation!$B17+(Partcipation!$B18-Partcipation!$B17)/2)*(+Title_RESULTS!$C$14)/1000</f>
        <v>1031710.9</v>
      </c>
      <c r="L18" s="5">
        <f>($K18)*Partcipation!$E75*Title_RESULTS!$C$12/100</f>
        <v>27282.896392325983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28655.9448841962</v>
      </c>
      <c r="N18" s="5">
        <f>'Sheet2(F_12)'!$I18*('Sheet6(p_6)'!$L18+'Sheet6(p_6)'!$M18)</f>
        <v>55938.84127652219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1238053.08</v>
      </c>
      <c r="L19" s="5">
        <f>($K19)*Partcipation!$E76*Title_RESULTS!$C$12/100</f>
        <v>32471.09747015324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34731.00519964579</v>
      </c>
      <c r="N19" s="5">
        <f>'Sheet2(F_12)'!$I19*('Sheet6(p_6)'!$L19+'Sheet6(p_6)'!$M19)</f>
        <v>67202.10266979903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1238053.08</v>
      </c>
      <c r="L20" s="5">
        <f>($K20)*Partcipation!$E77*Title_RESULTS!$C$12/100</f>
        <v>34312.8494665816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35078.315251642256</v>
      </c>
      <c r="N20" s="5">
        <f>'Sheet2(F_12)'!$I20*('Sheet6(p_6)'!$L20+'Sheet6(p_6)'!$M20)</f>
        <v>69391.16471822385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1238053.08</v>
      </c>
      <c r="L21" s="5">
        <f>($K21)*Partcipation!$E78*Title_RESULTS!$C$12/100</f>
        <v>36282.361627828126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35429.09840415868</v>
      </c>
      <c r="N21" s="5">
        <f>'Sheet2(F_12)'!$I21*('Sheet6(p_6)'!$L21+'Sheet6(p_6)'!$M21)</f>
        <v>71711.4600319868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1238053.08</v>
      </c>
      <c r="L22" s="5">
        <f>($K22)*Partcipation!$E79*Title_RESULTS!$C$12/100</f>
        <v>37922.83836609376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35783.389388200274</v>
      </c>
      <c r="N22" s="5">
        <f>'Sheet2(F_12)'!$I22*('Sheet6(p_6)'!$L22+'Sheet6(p_6)'!$M22)</f>
        <v>73706.22775429403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1238053.08</v>
      </c>
      <c r="L23" s="5">
        <f>($K23)*Partcipation!$E80*Title_RESULTS!$C$12/100</f>
        <v>40155.77179560714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36141.22328208226</v>
      </c>
      <c r="N23" s="5">
        <f>'Sheet2(F_12)'!$I23*('Sheet6(p_6)'!$L23+'Sheet6(p_6)'!$M23)</f>
        <v>76296.99507768941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1238053.08</v>
      </c>
      <c r="L24" s="5">
        <f>($K24)*Partcipation!$E81*Title_RESULTS!$C$12/100</f>
        <v>43958.32708086746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36502.6355149031</v>
      </c>
      <c r="N24" s="5">
        <f>'Sheet2(F_12)'!$I24*('Sheet6(p_6)'!$L24+'Sheet6(p_6)'!$M24)</f>
        <v>80460.96259577056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1238053.08</v>
      </c>
      <c r="L25" s="5">
        <f>($K25)*Partcipation!$E82*Title_RESULTS!$C$12/100</f>
        <v>46197.904863019314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36867.66187005213</v>
      </c>
      <c r="N25" s="5">
        <f>'Sheet2(F_12)'!$I25*('Sheet6(p_6)'!$L25+'Sheet6(p_6)'!$M25)</f>
        <v>83065.56673307144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1238053.08</v>
      </c>
      <c r="L26" s="5">
        <f>($K26)*Partcipation!$E83*Title_RESULTS!$C$12/100</f>
        <v>50335.01904891778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37236.33848875265</v>
      </c>
      <c r="N26" s="5">
        <f>'Sheet2(F_12)'!$I26*('Sheet6(p_6)'!$L26+'Sheet6(p_6)'!$M26)</f>
        <v>87571.35753767042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1238053.08</v>
      </c>
      <c r="L27" s="5">
        <f>($K27)*Partcipation!$E84*Title_RESULTS!$C$12/100</f>
        <v>52070.1719580183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37608.701873640166</v>
      </c>
      <c r="N27" s="5">
        <f>'Sheet2(F_12)'!$I27*('Sheet6(p_6)'!$L27+'Sheet6(p_6)'!$M27)</f>
        <v>89678.87383165846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1238053.08</v>
      </c>
      <c r="L28" s="5">
        <f>($K28)*Partcipation!$E85*Title_RESULTS!$C$12/100</f>
        <v>55785.43328857003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37984.78889237657</v>
      </c>
      <c r="N28" s="5">
        <f>'Sheet2(F_12)'!$I28*('Sheet6(p_6)'!$L28+'Sheet6(p_6)'!$M28)</f>
        <v>93770.2221809466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1238053.08</v>
      </c>
      <c r="L29" s="5">
        <f>($K29)*Partcipation!$E86*Title_RESULTS!$C$12/100</f>
        <v>56955.55416270815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38364.636781300345</v>
      </c>
      <c r="N29" s="5">
        <f>'Sheet2(F_12)'!$I29*('Sheet6(p_6)'!$L29+'Sheet6(p_6)'!$M29)</f>
        <v>95320.1909440085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1238053.08</v>
      </c>
      <c r="L30" s="5">
        <f>($K30)*Partcipation!$E87*Title_RESULTS!$C$12/100</f>
        <v>60717.170365289916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38748.28314911335</v>
      </c>
      <c r="N30" s="5">
        <f>'Sheet2(F_12)'!$I30*('Sheet6(p_6)'!$L30+'Sheet6(p_6)'!$M30)</f>
        <v>99465.45351440326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380802.54</v>
      </c>
      <c r="F32" s="5">
        <f t="shared" si="4"/>
        <v>0</v>
      </c>
      <c r="G32" s="5">
        <f t="shared" si="4"/>
        <v>380802.54</v>
      </c>
      <c r="H32" s="5">
        <f t="shared" si="4"/>
        <v>519287.568575</v>
      </c>
      <c r="I32" s="5">
        <f t="shared" si="4"/>
        <v>0</v>
      </c>
      <c r="J32" s="5">
        <f t="shared" si="4"/>
        <v>519287.568575</v>
      </c>
      <c r="K32" s="5">
        <f t="shared" si="4"/>
        <v>16713716.580000002</v>
      </c>
      <c r="L32" s="5">
        <f t="shared" si="4"/>
        <v>595259.2027864924</v>
      </c>
      <c r="M32" s="5">
        <f t="shared" si="4"/>
        <v>491773.61848703586</v>
      </c>
      <c r="N32" s="5">
        <f t="shared" si="4"/>
        <v>1087032.8212735285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356179.2543818767</v>
      </c>
      <c r="F34" s="5">
        <f>NPV(Title_RESULTS!$C$37,'Sheet6(p_6)'!F17:F31)+'Sheet6(p_6)'!F16</f>
        <v>0</v>
      </c>
      <c r="G34" s="5">
        <f>NPV(Title_RESULTS!$C$37,'Sheet6(p_6)'!G17:G31)+'Sheet6(p_6)'!G16</f>
        <v>356179.2543818767</v>
      </c>
      <c r="H34" s="5">
        <f>NPV(Title_RESULTS!$C$37,'Sheet6(p_6)'!H17:H31)+'Sheet6(p_6)'!H16</f>
        <v>485206.4394798578</v>
      </c>
      <c r="I34" s="5">
        <f>NPV(Title_RESULTS!$C$37,'Sheet6(p_6)'!I17:I31)+'Sheet6(p_6)'!I16</f>
        <v>0</v>
      </c>
      <c r="J34" s="5">
        <f>NPV(Title_RESULTS!$C$37,'Sheet6(p_6)'!J17:J31)+'Sheet6(p_6)'!J16</f>
        <v>485206.4394798578</v>
      </c>
      <c r="K34" s="5"/>
      <c r="L34" s="5">
        <f>NPV(Title_RESULTS!$C$37,'Sheet6(p_6)'!L17:L31)+'Sheet6(p_6)'!L16</f>
        <v>343494.2762444472</v>
      </c>
      <c r="M34" s="5">
        <f>NPV(Title_RESULTS!$C$37,'Sheet6(p_6)'!M17:M31)+'Sheet6(p_6)'!M16</f>
        <v>297668.22124998516</v>
      </c>
      <c r="N34" s="5">
        <f>NPV(Title_RESULTS!$C$37,'Sheet6(p_6)'!N17:N31)+'Sheet6(p_6)'!N16</f>
        <v>641162.4974944323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Solar Water Heater</v>
      </c>
      <c r="M2" t="s">
        <v>55</v>
      </c>
    </row>
    <row r="3" ht="12.75">
      <c r="M3" s="35">
        <f>+Title_RESULTS!I4</f>
        <v>43599.32060810185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169175</v>
      </c>
      <c r="E16" s="5">
        <f>IF(A16&gt;=(Title_RESULTS!$H$7+Title_RESULTS!$C$17),0,(+'f-11B'!$N15))</f>
        <v>0</v>
      </c>
      <c r="F16" s="5">
        <f>IF(A16&gt;=(Title_RESULTS!$H$7+Title_RESULTS!$C$17),0,(SUM(B16:E16)))</f>
        <v>169215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6313.6998657377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6313.6998657377</v>
      </c>
      <c r="L16" s="23">
        <f>IF(A16&gt;=(Title_RESULTS!$H$7+Title_RESULTS!$C$17),0,(+$K16-$F16))</f>
        <v>-162901.3001342623</v>
      </c>
      <c r="M16" s="23">
        <f>IF(A16&gt;=(Title_RESULTS!$H$7+Title_RESULTS!$C$17),0,(+$L16/(1+Title_RESULTS!$C$37)^('Sheet7(F_23)'!$A16-Title_RESULTS!$H$7)))</f>
        <v>-162901.3001342623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173066.025</v>
      </c>
      <c r="E17" s="5">
        <f>IF(A17&gt;=(Title_RESULTS!$H$7+Title_RESULTS!$C$17),0,(+'f-11B'!$N16))</f>
        <v>0</v>
      </c>
      <c r="F17" s="5">
        <f>IF(A17&gt;=(Title_RESULTS!$H$7+Title_RESULTS!$C$17),0,(SUM(B17:E17)))</f>
        <v>173106.985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2387.178420631496</v>
      </c>
      <c r="I17" s="5">
        <f>IF(A17&gt;=(Title_RESULTS!$H$7+Title_RESULTS!$C$17),0,(+'Sheet4(F_22)'!$H17))</f>
        <v>18787.035473753924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21174.21389438542</v>
      </c>
      <c r="L17" s="23">
        <f>IF(A17&gt;=(Title_RESULTS!$H$7+Title_RESULTS!$C$17),0,(+$K17-$F17))</f>
        <v>-151932.77110561458</v>
      </c>
      <c r="M17" s="23">
        <f>IF(A17&gt;=(Title_RESULTS!$H$7+Title_RESULTS!$C$17),0,(+M16+$L17/(1+Title_RESULTS!$C$37)^('Sheet7(F_23)'!$A17-Title_RESULTS!$H$7)))</f>
        <v>-304788.4603001332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177046.54357499996</v>
      </c>
      <c r="E18" s="5">
        <f>IF(A18&gt;=(Title_RESULTS!$H$7+Title_RESULTS!$C$17),0,(+'f-11B'!$N17))</f>
        <v>0</v>
      </c>
      <c r="F18" s="5">
        <f>IF(A18&gt;=(Title_RESULTS!$H$7+Title_RESULTS!$C$17),0,(SUM(B18:E18)))</f>
        <v>177088.48661499997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2444.470702726652</v>
      </c>
      <c r="I18" s="5">
        <f>IF(A18&gt;=(Title_RESULTS!$H$7+Title_RESULTS!$C$17),0,(+'Sheet4(F_22)'!$H18))</f>
        <v>32315.796784257815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34760.26748698446</v>
      </c>
      <c r="L18" s="23">
        <f>IF(A18&gt;=(Title_RESULTS!$H$7+Title_RESULTS!$C$17),0,(+$K18-$F18))</f>
        <v>-142328.2191280155</v>
      </c>
      <c r="M18" s="23">
        <f>IF(A18&gt;=(Title_RESULTS!$H$7+Title_RESULTS!$C$17),0,(+M17+$L18/(1+Title_RESULTS!$C$37)^('Sheet7(F_23)'!$A18-Title_RESULTS!$H$7)))</f>
        <v>-428917.7557246242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6579.6091326678325</v>
      </c>
      <c r="H19" s="5">
        <f>IF(A19&gt;=(Title_RESULTS!$H$7+Title_RESULTS!$C$17),0,(+'Sheet4(F_22)'!$D19+'Sheet4(F_22)'!$G19))</f>
        <v>2503.1379995920915</v>
      </c>
      <c r="I19" s="5">
        <f>IF(A19&gt;=(Title_RESULTS!$H$7+Title_RESULTS!$C$17),0,(+'Sheet4(F_22)'!$H19))</f>
        <v>40369.81606450977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49452.56319676969</v>
      </c>
      <c r="L19" s="23">
        <f>IF(A19&gt;=(Title_RESULTS!$H$7+Title_RESULTS!$C$17),0,(+$K19-$F19))</f>
        <v>49452.56319676969</v>
      </c>
      <c r="M19" s="23">
        <f>IF(A19&gt;=(Title_RESULTS!$H$7+Title_RESULTS!$C$17),0,(+M18+$L19/(1+Title_RESULTS!$C$37)^('Sheet7(F_23)'!$A19-Title_RESULTS!$H$7)))</f>
        <v>-388640.1432511271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6755.052980331599</v>
      </c>
      <c r="H20" s="5">
        <f>IF(A20&gt;=(Title_RESULTS!$H$7+Title_RESULTS!$C$17),0,(+'Sheet4(F_22)'!$D20+'Sheet4(F_22)'!$G20))</f>
        <v>2563.2133115823017</v>
      </c>
      <c r="I20" s="5">
        <f>IF(A20&gt;=(Title_RESULTS!$H$7+Title_RESULTS!$C$17),0,(+'Sheet4(F_22)'!$H20))</f>
        <v>41956.19767293141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51274.463964845316</v>
      </c>
      <c r="L20" s="23">
        <f>IF(A20&gt;=(Title_RESULTS!$H$7+Title_RESULTS!$C$17),0,(+$K20-$F20))</f>
        <v>51274.463964845316</v>
      </c>
      <c r="M20" s="23">
        <f>IF(A20&gt;=(Title_RESULTS!$H$7+Title_RESULTS!$C$17),0,(+M19+$L20/(1+Title_RESULTS!$C$37)^('Sheet7(F_23)'!$A20-Title_RESULTS!$H$7)))</f>
        <v>-349639.8674033484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6946.989698705855</v>
      </c>
      <c r="H21" s="5">
        <f>IF(A21&gt;=(Title_RESULTS!$H$7+Title_RESULTS!$C$17),0,(+'Sheet4(F_22)'!$D21+'Sheet4(F_22)'!$G21))</f>
        <v>2624.7304310602776</v>
      </c>
      <c r="I21" s="5">
        <f>IF(A21&gt;=(Title_RESULTS!$H$7+Title_RESULTS!$C$17),0,(+'Sheet4(F_22)'!$H21))</f>
        <v>45048.324743747944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54620.044873514074</v>
      </c>
      <c r="L21" s="23">
        <f>IF(A21&gt;=(Title_RESULTS!$H$7+Title_RESULTS!$C$17),0,(+$K21-$F21))</f>
        <v>54620.044873514074</v>
      </c>
      <c r="M21" s="23">
        <f>IF(A21&gt;=(Title_RESULTS!$H$7+Title_RESULTS!$C$17),0,(+M20+$L21/(1+Title_RESULTS!$C$37)^('Sheet7(F_23)'!$A21-Title_RESULTS!$H$7)))</f>
        <v>-310841.7868828927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7161.948993243241</v>
      </c>
      <c r="H22" s="5">
        <f>IF(A22&gt;=(Title_RESULTS!$H$7+Title_RESULTS!$C$17),0,(+'Sheet4(F_22)'!$D22+'Sheet4(F_22)'!$G22))</f>
        <v>2687.723961405724</v>
      </c>
      <c r="I22" s="5">
        <f>IF(A22&gt;=(Title_RESULTS!$H$7+Title_RESULTS!$C$17),0,(+'Sheet4(F_22)'!$H22))</f>
        <v>46493.232847730374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56342.90580237934</v>
      </c>
      <c r="L22" s="23">
        <f>IF(A22&gt;=(Title_RESULTS!$H$7+Title_RESULTS!$C$17),0,(+$K22-$F22))</f>
        <v>56342.90580237934</v>
      </c>
      <c r="M22" s="23">
        <f>IF(A22&gt;=(Title_RESULTS!$H$7+Title_RESULTS!$C$17),0,(+M21+$L22/(1+Title_RESULTS!$C$37)^('Sheet7(F_23)'!$A22-Title_RESULTS!$H$7)))</f>
        <v>-273466.1100300874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7354.748060494723</v>
      </c>
      <c r="H23" s="5">
        <f>IF(A23&gt;=(Title_RESULTS!$H$7+Title_RESULTS!$C$17),0,(+'Sheet4(F_22)'!$D23+'Sheet4(F_22)'!$G23))</f>
        <v>2752.2293364794614</v>
      </c>
      <c r="I23" s="5">
        <f>IF(A23&gt;=(Title_RESULTS!$H$7+Title_RESULTS!$C$17),0,(+'Sheet4(F_22)'!$H23))</f>
        <v>49398.85180631659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59505.82920329078</v>
      </c>
      <c r="L23" s="23">
        <f>IF(A23&gt;=(Title_RESULTS!$H$7+Title_RESULTS!$C$17),0,(+$K23-$F23))</f>
        <v>59505.82920329078</v>
      </c>
      <c r="M23" s="23">
        <f>IF(A23&gt;=(Title_RESULTS!$H$7+Title_RESULTS!$C$17),0,(+M22+$L23/(1+Title_RESULTS!$C$37)^('Sheet7(F_23)'!$A23-Title_RESULTS!$H$7)))</f>
        <v>-236602.23596340785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7473.890179244178</v>
      </c>
      <c r="H24" s="5">
        <f>IF(A24&gt;=(Title_RESULTS!$H$7+Title_RESULTS!$C$17),0,(+'Sheet4(F_22)'!$D24+'Sheet4(F_22)'!$G24))</f>
        <v>2818.282840554968</v>
      </c>
      <c r="I24" s="5">
        <f>IF(A24&gt;=(Title_RESULTS!$H$7+Title_RESULTS!$C$17),0,(+'Sheet4(F_22)'!$H24))</f>
        <v>54739.64031136396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65031.81333116311</v>
      </c>
      <c r="L24" s="23">
        <f>IF(A24&gt;=(Title_RESULTS!$H$7+Title_RESULTS!$C$17),0,(+$K24-$F24))</f>
        <v>65031.81333116311</v>
      </c>
      <c r="M24" s="23">
        <f>IF(A24&gt;=(Title_RESULTS!$H$7+Title_RESULTS!$C$17),0,(+M23+$L24/(1+Title_RESULTS!$C$37)^('Sheet7(F_23)'!$A24-Title_RESULTS!$H$7)))</f>
        <v>-198978.75592086918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7676.905878946188</v>
      </c>
      <c r="H25" s="5">
        <f>IF(A25&gt;=(Title_RESULTS!$H$7+Title_RESULTS!$C$17),0,(+'Sheet4(F_22)'!$D25+'Sheet4(F_22)'!$G25))</f>
        <v>2885.9216287282875</v>
      </c>
      <c r="I25" s="5">
        <f>IF(A25&gt;=(Title_RESULTS!$H$7+Title_RESULTS!$C$17),0,(+'Sheet4(F_22)'!$H25))</f>
        <v>58646.09471157735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69208.92221925184</v>
      </c>
      <c r="L25" s="23">
        <f>IF(A25&gt;=(Title_RESULTS!$H$7+Title_RESULTS!$C$17),0,(+$K25-$F25))</f>
        <v>69208.92221925184</v>
      </c>
      <c r="M25" s="23">
        <f>IF(A25&gt;=(Title_RESULTS!$H$7+Title_RESULTS!$C$17),0,(+M24+$L25/(1+Title_RESULTS!$C$37)^('Sheet7(F_23)'!$A25-Title_RESULTS!$H$7)))</f>
        <v>-161586.056072802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7799.826868253569</v>
      </c>
      <c r="H26" s="5">
        <f>IF(A26&gt;=(Title_RESULTS!$H$7+Title_RESULTS!$C$17),0,(+'Sheet4(F_22)'!$D26+'Sheet4(F_22)'!$G26))</f>
        <v>2955.1837478177667</v>
      </c>
      <c r="I26" s="5">
        <f>IF(A26&gt;=(Title_RESULTS!$H$7+Title_RESULTS!$C$17),0,(+'Sheet4(F_22)'!$H26))</f>
        <v>65504.43878705954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76259.44940313087</v>
      </c>
      <c r="L26" s="23">
        <f>IF(A26&gt;=(Title_RESULTS!$H$7+Title_RESULTS!$C$17),0,(+$K26-$F26))</f>
        <v>76259.44940313087</v>
      </c>
      <c r="M26" s="23">
        <f>IF(A26&gt;=(Title_RESULTS!$H$7+Title_RESULTS!$C$17),0,(+M25+$L26/(1+Title_RESULTS!$C$37)^('Sheet7(F_23)'!$A26-Title_RESULTS!$H$7)))</f>
        <v>-123108.27315073999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8069.0754904473015</v>
      </c>
      <c r="H27" s="5">
        <f>IF(A27&gt;=(Title_RESULTS!$H$7+Title_RESULTS!$C$17),0,(+'Sheet4(F_22)'!$D27+'Sheet4(F_22)'!$G27))</f>
        <v>3026.108157765393</v>
      </c>
      <c r="I27" s="5">
        <f>IF(A27&gt;=(Title_RESULTS!$H$7+Title_RESULTS!$C$17),0,(+'Sheet4(F_22)'!$H27))</f>
        <v>65260.83789540586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76356.02154361855</v>
      </c>
      <c r="L27" s="23">
        <f>IF(A27&gt;=(Title_RESULTS!$H$7+Title_RESULTS!$C$17),0,(+$K27-$F27))</f>
        <v>76356.02154361855</v>
      </c>
      <c r="M27" s="23">
        <f>IF(A27&gt;=(Title_RESULTS!$H$7+Title_RESULTS!$C$17),0,(+M26+$L27/(1+Title_RESULTS!$C$37)^('Sheet7(F_23)'!$A27-Title_RESULTS!$H$7)))</f>
        <v>-87129.0895867346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8239.186755295053</v>
      </c>
      <c r="H28" s="5">
        <f>IF(A28&gt;=(Title_RESULTS!$H$7+Title_RESULTS!$C$17),0,(+'Sheet4(F_22)'!$D28+'Sheet4(F_22)'!$G28))</f>
        <v>3098.7347535517624</v>
      </c>
      <c r="I28" s="5">
        <f>IF(A28&gt;=(Title_RESULTS!$H$7+Title_RESULTS!$C$17),0,(+'Sheet4(F_22)'!$H28))</f>
        <v>71324.06415926921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82661.98566811603</v>
      </c>
      <c r="L28" s="23">
        <f>IF(A28&gt;=(Title_RESULTS!$H$7+Title_RESULTS!$C$17),0,(+$K28-$F28))</f>
        <v>82661.98566811603</v>
      </c>
      <c r="M28" s="23">
        <f>IF(A28&gt;=(Title_RESULTS!$H$7+Title_RESULTS!$C$17),0,(+M27+$L28/(1+Title_RESULTS!$C$37)^('Sheet7(F_23)'!$A28-Title_RESULTS!$H$7)))</f>
        <v>-50753.88175936915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8533.411596316106</v>
      </c>
      <c r="H29" s="5">
        <f>IF(A29&gt;=(Title_RESULTS!$H$7+Title_RESULTS!$C$17),0,(+'Sheet4(F_22)'!$D29+'Sheet4(F_22)'!$G29))</f>
        <v>3173.104387637005</v>
      </c>
      <c r="I29" s="5">
        <f>IF(A29&gt;=(Title_RESULTS!$H$7+Title_RESULTS!$C$17),0,(+'Sheet4(F_22)'!$H29))</f>
        <v>76060.62650793788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87767.14249189099</v>
      </c>
      <c r="L29" s="23">
        <f>IF(A29&gt;=(Title_RESULTS!$H$7+Title_RESULTS!$C$17),0,(+$K29-$F29))</f>
        <v>87767.14249189099</v>
      </c>
      <c r="M29" s="23">
        <f>IF(A29&gt;=(Title_RESULTS!$H$7+Title_RESULTS!$C$17),0,(+M28+$L29/(1+Title_RESULTS!$C$37)^('Sheet7(F_23)'!$A29-Title_RESULTS!$H$7)))</f>
        <v>-14685.783328617901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8698.209768054761</v>
      </c>
      <c r="H30" s="5">
        <f>IF(A30&gt;=(Title_RESULTS!$H$7+Title_RESULTS!$C$17),0,(+'Sheet4(F_22)'!$D30+'Sheet4(F_22)'!$G30))</f>
        <v>3249.2588929402928</v>
      </c>
      <c r="I30" s="5">
        <f>IF(A30&gt;=(Title_RESULTS!$H$7+Title_RESULTS!$C$17),0,(+'Sheet4(F_22)'!$H30))</f>
        <v>79602.1819435726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91549.65060456767</v>
      </c>
      <c r="L30" s="23">
        <f>IF(A30&gt;=(Title_RESULTS!$H$7+Title_RESULTS!$C$17),0,(+$K30-$F30))</f>
        <v>91549.65060456767</v>
      </c>
      <c r="M30" s="23">
        <f>IF(A30&gt;=(Title_RESULTS!$H$7+Title_RESULTS!$C$17),0,(+M29+$L30/(1+Title_RESULTS!$C$37)^('Sheet7(F_23)'!$A30-Title_RESULTS!$H$7)))</f>
        <v>20449.189010605485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519287.568575</v>
      </c>
      <c r="E32" s="5">
        <f t="shared" si="1"/>
        <v>0</v>
      </c>
      <c r="F32" s="5">
        <f t="shared" si="1"/>
        <v>519410.47161499993</v>
      </c>
      <c r="G32" s="5">
        <f t="shared" si="1"/>
        <v>91288.8554020004</v>
      </c>
      <c r="H32" s="5">
        <f t="shared" si="1"/>
        <v>39169.27857247348</v>
      </c>
      <c r="I32" s="5">
        <f t="shared" si="1"/>
        <v>751820.8395751719</v>
      </c>
      <c r="J32" s="5">
        <f t="shared" si="1"/>
        <v>0</v>
      </c>
      <c r="K32" s="5">
        <f t="shared" si="1"/>
        <v>882278.9735496459</v>
      </c>
      <c r="L32" s="5">
        <f t="shared" si="1"/>
        <v>362868.5019346459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485206.4394798578</v>
      </c>
      <c r="E34" s="5">
        <f>NPV(Title_RESULTS!$C$37,'Sheet7(F_23)'!E17:E31)+'Sheet7(F_23)'!E16</f>
        <v>0</v>
      </c>
      <c r="F34" s="5">
        <f>NPV(Title_RESULTS!$C$37,'Sheet7(F_23)'!F17:F31)+'Sheet7(F_23)'!F16</f>
        <v>485321.27121030167</v>
      </c>
      <c r="G34" s="5">
        <f>NPV(Title_RESULTS!$C$37,'Sheet7(F_23)'!G17:G31)+'Sheet7(F_23)'!G16</f>
        <v>51418.78666814377</v>
      </c>
      <c r="H34" s="5">
        <f>NPV(Title_RESULTS!$C$37,'Sheet7(F_23)'!H17:H31)+'Sheet7(F_23)'!H16</f>
        <v>23723.25010781245</v>
      </c>
      <c r="I34" s="5">
        <f>NPV(Title_RESULTS!$C$37,'Sheet7(F_23)'!I17:I31)+'Sheet7(F_23)'!I16</f>
        <v>430628.4234449509</v>
      </c>
      <c r="J34" s="5">
        <f>NPV(Title_RESULTS!$C$37,'Sheet7(F_23)'!J17:J31)+'Sheet7(F_23)'!J16</f>
        <v>0</v>
      </c>
      <c r="K34" s="5">
        <f>NPV(Title_RESULTS!$C$37,'Sheet7(F_23)'!K17:K31)+'Sheet7(F_23)'!K16</f>
        <v>505770.4602209071</v>
      </c>
      <c r="L34" s="5">
        <f>NPV(Title_RESULTS!$C$37,'Sheet7(F_23)'!L17:L31)+'Sheet7(F_23)'!L16</f>
        <v>20449.18901060542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1.0421353652181964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Solar Water Heater</v>
      </c>
      <c r="L2" t="s">
        <v>55</v>
      </c>
    </row>
    <row r="3" ht="12.75">
      <c r="L3" s="35">
        <f>+Title_RESULTS!I4</f>
        <v>43599.32060810185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10641.894505211778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126934.18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137576.07450521179</v>
      </c>
      <c r="G16" s="5">
        <f>IF(A16&gt;=(Title_RESULTS!$H$7+Title_RESULTS!$C$17),0,(+'Sheet6(p_6)'!$H16))</f>
        <v>169175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169175</v>
      </c>
      <c r="K16" s="23">
        <f>IF(A16&gt;=(Title_RESULTS!$H$7+Title_RESULTS!$C$17),0,(+F16-J16))</f>
        <v>-31598.925494788215</v>
      </c>
      <c r="L16" s="23">
        <f>IF(A16&gt;=(Title_RESULTS!$H$7+Title_RESULTS!$C$17),0,(+$K16/((1+Title_RESULTS!$C$37)^('Sheet8(F_24)'!$A16-Title_RESULTS!$H$7))))</f>
        <v>-31598.925494788215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32811.50790227195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126934.18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159745.68790227195</v>
      </c>
      <c r="G17" s="5">
        <f>IF(A17&gt;=(Title_RESULTS!$H$7+Title_RESULTS!$C$17),0,(+'Sheet6(p_6)'!$H17))</f>
        <v>173066.025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173066.025</v>
      </c>
      <c r="K17" s="23">
        <f>IF(A17&gt;=(Title_RESULTS!$H$7+Title_RESULTS!$C$17),0,(+F17-J17))</f>
        <v>-13320.337097728043</v>
      </c>
      <c r="L17" s="23">
        <f>IF(A16&gt;=(Title_RESULTS!$H$7+Title_RESULTS!$C$17),0,(+$K17/((1+Title_RESULTS!$C$37)^('Sheet8(F_24)'!$A17-Title_RESULTS!$H$7))+L16))</f>
        <v>-44038.53802535232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55938.84127652219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126934.18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182873.0212765222</v>
      </c>
      <c r="G18" s="5">
        <f>IF(A18&gt;=(Title_RESULTS!$H$7+Title_RESULTS!$C$17),0,(+'Sheet6(p_6)'!$H18))</f>
        <v>177046.54357499996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177046.54357499996</v>
      </c>
      <c r="K18" s="23">
        <f>IF(A18&gt;=(Title_RESULTS!$H$7+Title_RESULTS!$C$17),0,(+F18-J18))</f>
        <v>5826.477701522235</v>
      </c>
      <c r="L18" s="23">
        <f>IF(A17&gt;=(Title_RESULTS!$H$7+Title_RESULTS!$C$17),0,(+$K18/((1+Title_RESULTS!$C$37)^('Sheet8(F_24)'!$A18-Title_RESULTS!$H$7))+L17))</f>
        <v>-38957.068051741844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67202.10266979903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67202.10266979903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67202.10266979903</v>
      </c>
      <c r="L19" s="23">
        <f>IF(A18&gt;=(Title_RESULTS!$H$7+Title_RESULTS!$C$17),0,(+$K19/((1+Title_RESULTS!$C$37)^('Sheet8(F_24)'!$A19-Title_RESULTS!$H$7))+L18))</f>
        <v>15777.005851936796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69391.16471822385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69391.16471822385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69391.16471822385</v>
      </c>
      <c r="L20" s="23">
        <f>IF(A19&gt;=(Title_RESULTS!$H$7+Title_RESULTS!$C$17),0,(+$K20/((1+Title_RESULTS!$C$37)^('Sheet8(F_24)'!$A20-Title_RESULTS!$H$7))+L19))</f>
        <v>68557.16884427643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71711.4600319868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71711.4600319868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71711.4600319868</v>
      </c>
      <c r="L21" s="23">
        <f>IF(A20&gt;=(Title_RESULTS!$H$7+Title_RESULTS!$C$17),0,(+$K21/((1+Title_RESULTS!$C$37)^('Sheet8(F_24)'!$A21-Title_RESULTS!$H$7))+L20))</f>
        <v>119495.7392354849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73706.22775429403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73706.22775429403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73706.22775429403</v>
      </c>
      <c r="L22" s="23">
        <f>IF(A21&gt;=(Title_RESULTS!$H$7+Title_RESULTS!$C$17),0,(+$K22/((1+Title_RESULTS!$C$37)^('Sheet8(F_24)'!$A22-Title_RESULTS!$H$7))+L21))</f>
        <v>168389.5637791851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76296.99507768941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76296.99507768941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76296.99507768941</v>
      </c>
      <c r="L23" s="23">
        <f>IF(A22&gt;=(Title_RESULTS!$H$7+Title_RESULTS!$C$17),0,(+$K23/((1+Title_RESULTS!$C$37)^('Sheet8(F_24)'!$A23-Title_RESULTS!$H$7))+L22))</f>
        <v>215655.56873814922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80460.96259577056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80460.96259577056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80460.96259577056</v>
      </c>
      <c r="L24" s="23">
        <f>IF(A23&gt;=(Title_RESULTS!$H$7+Title_RESULTS!$C$17),0,(+$K24/((1+Title_RESULTS!$C$37)^('Sheet8(F_24)'!$A24-Title_RESULTS!$H$7))+L23))</f>
        <v>262205.4228074157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83065.56673307144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83065.56673307144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83065.56673307144</v>
      </c>
      <c r="L25" s="23">
        <f>IF(A24&gt;=(Title_RESULTS!$H$7+Title_RESULTS!$C$17),0,(+$K25/((1+Title_RESULTS!$C$37)^('Sheet8(F_24)'!$A25-Title_RESULTS!$H$7))+L24))</f>
        <v>307084.6913317755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87571.35753767042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87571.35753767042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87571.35753767042</v>
      </c>
      <c r="L26" s="23">
        <f>IF(A25&gt;=(Title_RESULTS!$H$7+Title_RESULTS!$C$17),0,(+$K26/((1+Title_RESULTS!$C$37)^('Sheet8(F_24)'!$A26-Title_RESULTS!$H$7))+L25))</f>
        <v>351270.05736703594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89678.87383165846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89678.87383165846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89678.87383165846</v>
      </c>
      <c r="L27" s="23">
        <f>IF(A26&gt;=(Title_RESULTS!$H$7+Title_RESULTS!$C$17),0,(+$K27/((1+Title_RESULTS!$C$37)^('Sheet8(F_24)'!$A27-Title_RESULTS!$H$7))+L26))</f>
        <v>393527.00839950074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93770.2221809466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93770.2221809466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93770.2221809466</v>
      </c>
      <c r="L28" s="23">
        <f>IF(A27&gt;=(Title_RESULTS!$H$7+Title_RESULTS!$C$17),0,(+$K28/((1+Title_RESULTS!$C$37)^('Sheet8(F_24)'!$A28-Title_RESULTS!$H$7))+L27))</f>
        <v>434790.368967015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95320.1909440085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95320.1909440085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95320.1909440085</v>
      </c>
      <c r="L29" s="23">
        <f>IF(A28&gt;=(Title_RESULTS!$H$7+Title_RESULTS!$C$17),0,(+$K29/((1+Title_RESULTS!$C$37)^('Sheet8(F_24)'!$A29-Title_RESULTS!$H$7))+L28))</f>
        <v>473962.4091154584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99465.45351440326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99465.45351440326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99465.45351440326</v>
      </c>
      <c r="L30" s="23">
        <f>IF(A29&gt;=(Title_RESULTS!$H$7+Title_RESULTS!$C$17),0,(+$K30/((1+Title_RESULTS!$C$37)^('Sheet8(F_24)'!$A30-Title_RESULTS!$H$7))+L29))</f>
        <v>512135.3123964514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1087032.8212735285</v>
      </c>
      <c r="C32" s="5">
        <f t="shared" si="1"/>
        <v>0</v>
      </c>
      <c r="D32" s="5">
        <f t="shared" si="1"/>
        <v>380802.54</v>
      </c>
      <c r="E32" s="5">
        <f t="shared" si="1"/>
        <v>0</v>
      </c>
      <c r="F32" s="5">
        <f t="shared" si="1"/>
        <v>1467835.3612735283</v>
      </c>
      <c r="G32" s="5">
        <f t="shared" si="1"/>
        <v>519287.568575</v>
      </c>
      <c r="H32" s="5">
        <f t="shared" si="1"/>
        <v>0</v>
      </c>
      <c r="I32" s="5">
        <f t="shared" si="1"/>
        <v>0</v>
      </c>
      <c r="J32" s="5">
        <f t="shared" si="1"/>
        <v>519287.568575</v>
      </c>
      <c r="K32" s="5">
        <f t="shared" si="1"/>
        <v>948547.7926985284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641162.4974944323</v>
      </c>
      <c r="C34" s="5">
        <f>NPV(Title_RESULTS!$C$37,'Sheet8(F_24)'!C17:C31)+'Sheet8(F_24)'!C16</f>
        <v>0</v>
      </c>
      <c r="D34" s="5">
        <f>NPV(Title_RESULTS!$C$37,'Sheet8(F_24)'!D17:D31)+'Sheet8(F_24)'!D16</f>
        <v>356179.2543818767</v>
      </c>
      <c r="E34" s="5">
        <f>NPV(Title_RESULTS!$C$37,'Sheet8(F_24)'!E17:E31)+'Sheet8(F_24)'!E16</f>
        <v>0</v>
      </c>
      <c r="F34" s="5">
        <f>NPV(Title_RESULTS!$C$37,'Sheet8(F_24)'!F17:F31)+'Sheet8(F_24)'!F16</f>
        <v>997341.7518763092</v>
      </c>
      <c r="G34" s="5">
        <f>NPV(Title_RESULTS!$C$37,'Sheet8(F_24)'!G17:G31)+'Sheet8(F_24)'!G16</f>
        <v>485206.4394798578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485206.4394798578</v>
      </c>
      <c r="K34" s="5">
        <f>NPV(Title_RESULTS!$C$37,'Sheet8(F_24)'!K17:K31)+'Sheet8(F_24)'!K16</f>
        <v>512135.31239645137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2.0554998258997994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Solar Water Heater</v>
      </c>
      <c r="N2" t="s">
        <v>55</v>
      </c>
    </row>
    <row r="3" ht="12.75">
      <c r="N3" s="35">
        <f>+Title_RESULTS!I4</f>
        <v>43599.32060810185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126934.18</v>
      </c>
      <c r="E16" s="5">
        <f>+'Sheet6(p_6)'!M16</f>
        <v>5618.2619124</v>
      </c>
      <c r="F16">
        <f>IF(A16&gt;=(Title_RESULTS!$H$7+Title_RESULTS!$C$17),0,(+'f-11B'!$R15))</f>
        <v>0</v>
      </c>
      <c r="G16" s="5">
        <f>IF(A16&gt;=(Title_RESULTS!$H$7+Title_RESULTS!$C$17),0,(SUM(B16:F16)))</f>
        <v>132592.44191239998</v>
      </c>
      <c r="H16" s="5">
        <f>IF(A16&gt;=(Title_RESULTS!$H$7+Title_RESULTS!$C$17),0,(+'Sheet3(F_21)'!$J16+'Sheet4(F_22)'!$H16))</f>
        <v>6313.6998657377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6313.6998657377</v>
      </c>
      <c r="M16" s="23">
        <f>IF(A16&gt;=(Title_RESULTS!$H$7+Title_RESULTS!$C$17),0,(+L16-G16))</f>
        <v>-126278.74204666229</v>
      </c>
      <c r="N16" s="24">
        <f>IF(A16&gt;=(Title_RESULTS!$H$7+Title_RESULTS!$C$17),0,(+$M16/((1+Title_RESULTS!$C$37)^('Sheet9(F_25)'!$A16-Title_RESULTS!$H$7))))</f>
        <v>-126278.74204666229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126934.18</v>
      </c>
      <c r="E17" s="5">
        <f>+'Sheet6(p_6)'!M17</f>
        <v>17023.333594572003</v>
      </c>
      <c r="F17">
        <f>IF(A17&gt;=(Title_RESULTS!$H$7+Title_RESULTS!$C$17),0,(+'f-11B'!$R16))</f>
        <v>0</v>
      </c>
      <c r="G17" s="5">
        <f>IF(A17&gt;=(Title_RESULTS!$H$7+Title_RESULTS!$C$17),0,(SUM(B17:F17)))</f>
        <v>143998.473594572</v>
      </c>
      <c r="H17" s="5">
        <f>IF(A17&gt;=(Title_RESULTS!$H$7+Title_RESULTS!$C$17),0,(+'Sheet3(F_21)'!$J17+'Sheet4(F_22)'!$H17))</f>
        <v>18787.035473753924</v>
      </c>
      <c r="I17" s="5">
        <f>IF(A17&gt;=(Title_RESULTS!$H$7+Title_RESULTS!$C$17),0,(+'Sheet4(F_22)'!$D17+'Sheet4(F_22)'!$G17))</f>
        <v>2387.178420631496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21174.21389438542</v>
      </c>
      <c r="M17" s="23">
        <f>IF(A17&gt;=(Title_RESULTS!$H$7+Title_RESULTS!$C$17),0,(+L17-G17))</f>
        <v>-122824.25970018657</v>
      </c>
      <c r="N17" s="24">
        <f>(IF(A16&gt;=(Title_RESULTS!$H$7+Title_RESULTS!$C$17),0,(+$M17/((1+Title_RESULTS!$C$37)^('Sheet9(F_25)'!$A17-Title_RESULTS!$H$7))+N16)))</f>
        <v>-240982.01035090824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126934.18</v>
      </c>
      <c r="E18" s="5">
        <f>+'Sheet6(p_6)'!M18</f>
        <v>28655.9448841962</v>
      </c>
      <c r="F18">
        <f>IF(A18&gt;=(Title_RESULTS!$H$7+Title_RESULTS!$C$17),0,(+'f-11B'!$R17))</f>
        <v>0</v>
      </c>
      <c r="G18" s="5">
        <f>IF(A18&gt;=(Title_RESULTS!$H$7+Title_RESULTS!$C$17),0,(SUM(B18:F18)))</f>
        <v>155632.0679241962</v>
      </c>
      <c r="H18" s="5">
        <f>IF(A18&gt;=(Title_RESULTS!$H$7+Title_RESULTS!$C$17),0,(+'Sheet3(F_21)'!$J18+'Sheet4(F_22)'!$H18))</f>
        <v>32315.796784257815</v>
      </c>
      <c r="I18" s="5">
        <f>IF(A18&gt;=(Title_RESULTS!$H$7+Title_RESULTS!$C$17),0,(+'Sheet4(F_22)'!$D18+'Sheet4(F_22)'!$G18))</f>
        <v>2444.470702726652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34760.26748698446</v>
      </c>
      <c r="M18" s="23">
        <f>IF(A18&gt;=(Title_RESULTS!$H$7+Title_RESULTS!$C$17),0,(+L18-G18))</f>
        <v>-120871.80043721173</v>
      </c>
      <c r="N18" s="24">
        <f>(IF(A17&gt;=(Title_RESULTS!$H$7+Title_RESULTS!$C$17),0,(+$M18/((1+Title_RESULTS!$C$37)^('Sheet9(F_25)'!$A18-Title_RESULTS!$H$7))+N17)))</f>
        <v>-346398.43105006585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34731.00519964579</v>
      </c>
      <c r="F19">
        <f>IF(A19&gt;=(Title_RESULTS!$H$7+Title_RESULTS!$C$17),0,(+'f-11B'!$R18))</f>
        <v>0</v>
      </c>
      <c r="G19" s="5">
        <f>IF(A19&gt;=(Title_RESULTS!$H$7+Title_RESULTS!$C$17),0,(SUM(B19:F19)))</f>
        <v>34731.00519964579</v>
      </c>
      <c r="H19" s="5">
        <f>IF(A19&gt;=(Title_RESULTS!$H$7+Title_RESULTS!$C$17),0,(+'Sheet3(F_21)'!$J19+'Sheet4(F_22)'!$H19))</f>
        <v>46949.425197177596</v>
      </c>
      <c r="I19" s="5">
        <f>IF(A19&gt;=(Title_RESULTS!$H$7+Title_RESULTS!$C$17),0,(+'Sheet4(F_22)'!$D19+'Sheet4(F_22)'!$G19))</f>
        <v>2503.1379995920915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49452.56319676969</v>
      </c>
      <c r="M19" s="23">
        <f>IF(A19&gt;=(Title_RESULTS!$H$7+Title_RESULTS!$C$17),0,(+L19-G19))</f>
        <v>14721.557997123899</v>
      </c>
      <c r="N19" s="24">
        <f>(IF(A18&gt;=(Title_RESULTS!$H$7+Title_RESULTS!$C$17),0,(+$M19/((1+Title_RESULTS!$C$37)^('Sheet9(F_25)'!$A19-Title_RESULTS!$H$7))+N18)))</f>
        <v>-334408.16867165384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35078.315251642256</v>
      </c>
      <c r="F20">
        <f>IF(A20&gt;=(Title_RESULTS!$H$7+Title_RESULTS!$C$17),0,(+'f-11B'!$R19))</f>
        <v>0</v>
      </c>
      <c r="G20" s="5">
        <f>IF(A20&gt;=(Title_RESULTS!$H$7+Title_RESULTS!$C$17),0,(SUM(B20:F20)))</f>
        <v>35078.315251642256</v>
      </c>
      <c r="H20" s="5">
        <f>IF(A20&gt;=(Title_RESULTS!$H$7+Title_RESULTS!$C$17),0,(+'Sheet3(F_21)'!$J20+'Sheet4(F_22)'!$H20))</f>
        <v>48711.250653263014</v>
      </c>
      <c r="I20" s="5">
        <f>IF(A20&gt;=(Title_RESULTS!$H$7+Title_RESULTS!$C$17),0,(+'Sheet4(F_22)'!$D20+'Sheet4(F_22)'!$G20))</f>
        <v>2563.2133115823017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51274.463964845316</v>
      </c>
      <c r="M20" s="23">
        <f>IF(A20&gt;=(Title_RESULTS!$H$7+Title_RESULTS!$C$17),0,(+L20-G20))</f>
        <v>16196.14871320306</v>
      </c>
      <c r="N20" s="24">
        <f>(IF(A19&gt;=(Title_RESULTS!$H$7+Title_RESULTS!$C$17),0,(+$M20/((1+Title_RESULTS!$C$37)^('Sheet9(F_25)'!$A20-Title_RESULTS!$H$7))+N19)))</f>
        <v>-322089.0878145699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35429.09840415868</v>
      </c>
      <c r="F21">
        <f>IF(A21&gt;=(Title_RESULTS!$H$7+Title_RESULTS!$C$17),0,(+'f-11B'!$R20))</f>
        <v>0</v>
      </c>
      <c r="G21" s="5">
        <f>IF(A21&gt;=(Title_RESULTS!$H$7+Title_RESULTS!$C$17),0,(SUM(B21:F21)))</f>
        <v>35429.09840415868</v>
      </c>
      <c r="H21" s="5">
        <f>IF(A21&gt;=(Title_RESULTS!$H$7+Title_RESULTS!$C$17),0,(+'Sheet3(F_21)'!$J21+'Sheet4(F_22)'!$H21))</f>
        <v>51995.3144424538</v>
      </c>
      <c r="I21" s="5">
        <f>IF(A21&gt;=(Title_RESULTS!$H$7+Title_RESULTS!$C$17),0,(+'Sheet4(F_22)'!$D21+'Sheet4(F_22)'!$G21))</f>
        <v>2624.7304310602776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54620.044873514074</v>
      </c>
      <c r="M21" s="23">
        <f>IF(A21&gt;=(Title_RESULTS!$H$7+Title_RESULTS!$C$17),0,(+L21-G21))</f>
        <v>19190.946469355396</v>
      </c>
      <c r="N21" s="24">
        <f>(IF(A20&gt;=(Title_RESULTS!$H$7+Title_RESULTS!$C$17),0,(+$M21/((1+Title_RESULTS!$C$37)^('Sheet9(F_25)'!$A21-Title_RESULTS!$H$7))+N20)))</f>
        <v>-308457.24463124695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35783.389388200274</v>
      </c>
      <c r="F22">
        <f>IF(A22&gt;=(Title_RESULTS!$H$7+Title_RESULTS!$C$17),0,(+'f-11B'!$R21))</f>
        <v>0</v>
      </c>
      <c r="G22" s="5">
        <f>IF(A22&gt;=(Title_RESULTS!$H$7+Title_RESULTS!$C$17),0,(SUM(B22:F22)))</f>
        <v>35783.389388200274</v>
      </c>
      <c r="H22" s="5">
        <f>IF(A22&gt;=(Title_RESULTS!$H$7+Title_RESULTS!$C$17),0,(+'Sheet3(F_21)'!$J22+'Sheet4(F_22)'!$H22))</f>
        <v>53655.181840973615</v>
      </c>
      <c r="I22" s="5">
        <f>IF(A22&gt;=(Title_RESULTS!$H$7+Title_RESULTS!$C$17),0,(+'Sheet4(F_22)'!$D22+'Sheet4(F_22)'!$G22))</f>
        <v>2687.723961405724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56342.90580237934</v>
      </c>
      <c r="M22" s="23">
        <f>IF(A22&gt;=(Title_RESULTS!$H$7+Title_RESULTS!$C$17),0,(+L22-G22))</f>
        <v>20559.516414179066</v>
      </c>
      <c r="N22" s="24">
        <f>(IF(A21&gt;=(Title_RESULTS!$H$7+Title_RESULTS!$C$17),0,(+$M22/((1+Title_RESULTS!$C$37)^('Sheet9(F_25)'!$A22-Title_RESULTS!$H$7))+N21)))</f>
        <v>-294818.8667236266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36141.22328208226</v>
      </c>
      <c r="F23">
        <f>IF(A23&gt;=(Title_RESULTS!$H$7+Title_RESULTS!$C$17),0,(+'f-11B'!$R22))</f>
        <v>0</v>
      </c>
      <c r="G23" s="5">
        <f>IF(A23&gt;=(Title_RESULTS!$H$7+Title_RESULTS!$C$17),0,(SUM(B23:F23)))</f>
        <v>36141.22328208226</v>
      </c>
      <c r="H23" s="5">
        <f>IF(A23&gt;=(Title_RESULTS!$H$7+Title_RESULTS!$C$17),0,(+'Sheet3(F_21)'!$J23+'Sheet4(F_22)'!$H23))</f>
        <v>56753.59986681132</v>
      </c>
      <c r="I23" s="5">
        <f>IF(A23&gt;=(Title_RESULTS!$H$7+Title_RESULTS!$C$17),0,(+'Sheet4(F_22)'!$D23+'Sheet4(F_22)'!$G23))</f>
        <v>2752.2293364794614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59505.82920329078</v>
      </c>
      <c r="M23" s="23">
        <f>IF(A23&gt;=(Title_RESULTS!$H$7+Title_RESULTS!$C$17),0,(+L23-G23))</f>
        <v>23364.605921208517</v>
      </c>
      <c r="N23" s="24">
        <f>(IF(A22&gt;=(Title_RESULTS!$H$7+Title_RESULTS!$C$17),0,(+$M23/((1+Title_RESULTS!$C$37)^('Sheet9(F_25)'!$A23-Title_RESULTS!$H$7))+N22)))</f>
        <v>-280344.488300052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36502.6355149031</v>
      </c>
      <c r="F24">
        <f>IF(A24&gt;=(Title_RESULTS!$H$7+Title_RESULTS!$C$17),0,(+'f-11B'!$R23))</f>
        <v>0</v>
      </c>
      <c r="G24" s="5">
        <f>IF(A24&gt;=(Title_RESULTS!$H$7+Title_RESULTS!$C$17),0,(SUM(B24:F24)))</f>
        <v>36502.6355149031</v>
      </c>
      <c r="H24" s="5">
        <f>IF(A24&gt;=(Title_RESULTS!$H$7+Title_RESULTS!$C$17),0,(+'Sheet3(F_21)'!$J24+'Sheet4(F_22)'!$H24))</f>
        <v>62213.53049060814</v>
      </c>
      <c r="I24" s="5">
        <f>IF(A24&gt;=(Title_RESULTS!$H$7+Title_RESULTS!$C$17),0,(+'Sheet4(F_22)'!$D24+'Sheet4(F_22)'!$G24))</f>
        <v>2818.282840554968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65031.8133311631</v>
      </c>
      <c r="M24" s="23">
        <f>IF(A24&gt;=(Title_RESULTS!$H$7+Title_RESULTS!$C$17),0,(+L24-G24))</f>
        <v>28529.177816260002</v>
      </c>
      <c r="N24" s="24">
        <f>(IF(A23&gt;=(Title_RESULTS!$H$7+Title_RESULTS!$C$17),0,(+$M24/((1+Title_RESULTS!$C$37)^('Sheet9(F_25)'!$A24-Title_RESULTS!$H$7))+N23)))</f>
        <v>-263839.22883982194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36867.66187005213</v>
      </c>
      <c r="F25">
        <f>IF(A25&gt;=(Title_RESULTS!$H$7+Title_RESULTS!$C$17),0,(+'f-11B'!$R24))</f>
        <v>0</v>
      </c>
      <c r="G25" s="5">
        <f>IF(A25&gt;=(Title_RESULTS!$H$7+Title_RESULTS!$C$17),0,(SUM(B25:F25)))</f>
        <v>36867.66187005213</v>
      </c>
      <c r="H25" s="5">
        <f>IF(A25&gt;=(Title_RESULTS!$H$7+Title_RESULTS!$C$17),0,(+'Sheet3(F_21)'!$J25+'Sheet4(F_22)'!$H25))</f>
        <v>66323.00059052354</v>
      </c>
      <c r="I25" s="5">
        <f>IF(A25&gt;=(Title_RESULTS!$H$7+Title_RESULTS!$C$17),0,(+'Sheet4(F_22)'!$D25+'Sheet4(F_22)'!$G25))</f>
        <v>2885.9216287282875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69208.92221925184</v>
      </c>
      <c r="M25" s="23">
        <f>IF(A25&gt;=(Title_RESULTS!$H$7+Title_RESULTS!$C$17),0,(+L25-G25))</f>
        <v>32341.260349199707</v>
      </c>
      <c r="N25" s="24">
        <f>(IF(A24&gt;=(Title_RESULTS!$H$7+Title_RESULTS!$C$17),0,(+$M25/((1+Title_RESULTS!$C$37)^('Sheet9(F_25)'!$A25-Title_RESULTS!$H$7))+N24)))</f>
        <v>-246365.65748272568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37236.33848875265</v>
      </c>
      <c r="F26">
        <f>IF(A26&gt;=(Title_RESULTS!$H$7+Title_RESULTS!$C$17),0,(+'f-11B'!$R25))</f>
        <v>0</v>
      </c>
      <c r="G26" s="5">
        <f>IF(A26&gt;=(Title_RESULTS!$H$7+Title_RESULTS!$C$17),0,(SUM(B26:F26)))</f>
        <v>37236.33848875265</v>
      </c>
      <c r="H26" s="5">
        <f>IF(A26&gt;=(Title_RESULTS!$H$7+Title_RESULTS!$C$17),0,(+'Sheet3(F_21)'!$J26+'Sheet4(F_22)'!$H26))</f>
        <v>73304.26565531311</v>
      </c>
      <c r="I26" s="5">
        <f>IF(A26&gt;=(Title_RESULTS!$H$7+Title_RESULTS!$C$17),0,(+'Sheet4(F_22)'!$D26+'Sheet4(F_22)'!$G26))</f>
        <v>2955.1837478177667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76259.44940313087</v>
      </c>
      <c r="M26" s="23">
        <f>IF(A26&gt;=(Title_RESULTS!$H$7+Title_RESULTS!$C$17),0,(+L26-G26))</f>
        <v>39023.11091437822</v>
      </c>
      <c r="N26" s="24">
        <f>(IF(A25&gt;=(Title_RESULTS!$H$7+Title_RESULTS!$C$17),0,(+$M26/((1+Title_RESULTS!$C$37)^('Sheet9(F_25)'!$A26-Title_RESULTS!$H$7))+N25)))</f>
        <v>-226675.9953823677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37608.701873640166</v>
      </c>
      <c r="F27">
        <f>IF(A27&gt;=(Title_RESULTS!$H$7+Title_RESULTS!$C$17),0,(+'f-11B'!$R26))</f>
        <v>0</v>
      </c>
      <c r="G27" s="5">
        <f>IF(A27&gt;=(Title_RESULTS!$H$7+Title_RESULTS!$C$17),0,(SUM(B27:F27)))</f>
        <v>37608.701873640166</v>
      </c>
      <c r="H27" s="5">
        <f>IF(A27&gt;=(Title_RESULTS!$H$7+Title_RESULTS!$C$17),0,(+'Sheet3(F_21)'!$J27+'Sheet4(F_22)'!$H27))</f>
        <v>73329.91338585316</v>
      </c>
      <c r="I27" s="5">
        <f>IF(A27&gt;=(Title_RESULTS!$H$7+Title_RESULTS!$C$17),0,(+'Sheet4(F_22)'!$D27+'Sheet4(F_22)'!$G27))</f>
        <v>3026.108157765393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76356.02154361855</v>
      </c>
      <c r="M27" s="23">
        <f>IF(A27&gt;=(Title_RESULTS!$H$7+Title_RESULTS!$C$17),0,(+L27-G27))</f>
        <v>38747.31966997839</v>
      </c>
      <c r="N27" s="24">
        <f>(IF(A26&gt;=(Title_RESULTS!$H$7+Title_RESULTS!$C$17),0,(+$M27/((1+Title_RESULTS!$C$37)^('Sheet9(F_25)'!$A27-Title_RESULTS!$H$7))+N26)))</f>
        <v>-208418.14356091092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37984.78889237657</v>
      </c>
      <c r="F28">
        <f>IF(A28&gt;=(Title_RESULTS!$H$7+Title_RESULTS!$C$17),0,(+'f-11B'!$R27))</f>
        <v>0</v>
      </c>
      <c r="G28" s="5">
        <f>IF(A28&gt;=(Title_RESULTS!$H$7+Title_RESULTS!$C$17),0,(SUM(B28:F28)))</f>
        <v>37984.78889237657</v>
      </c>
      <c r="H28" s="5">
        <f>IF(A28&gt;=(Title_RESULTS!$H$7+Title_RESULTS!$C$17),0,(+'Sheet3(F_21)'!$J28+'Sheet4(F_22)'!$H28))</f>
        <v>79563.25091456427</v>
      </c>
      <c r="I28" s="5">
        <f>IF(A28&gt;=(Title_RESULTS!$H$7+Title_RESULTS!$C$17),0,(+'Sheet4(F_22)'!$D28+'Sheet4(F_22)'!$G28))</f>
        <v>3098.7347535517624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82661.98566811603</v>
      </c>
      <c r="M28" s="23">
        <f>IF(A28&gt;=(Title_RESULTS!$H$7+Title_RESULTS!$C$17),0,(+L28-G28))</f>
        <v>44677.19677573946</v>
      </c>
      <c r="N28" s="24">
        <f>(IF(A27&gt;=(Title_RESULTS!$H$7+Title_RESULTS!$C$17),0,(+$M28/((1+Title_RESULTS!$C$37)^('Sheet9(F_25)'!$A28-Title_RESULTS!$H$7))+N27)))</f>
        <v>-188758.050656943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38364.636781300345</v>
      </c>
      <c r="F29">
        <f>IF(A29&gt;=(Title_RESULTS!$H$7+Title_RESULTS!$C$17),0,(+'f-11B'!$R28))</f>
        <v>0</v>
      </c>
      <c r="G29" s="5">
        <f>IF(A29&gt;=(Title_RESULTS!$H$7+Title_RESULTS!$C$17),0,(SUM(B29:F29)))</f>
        <v>38364.636781300345</v>
      </c>
      <c r="H29" s="5">
        <f>IF(A29&gt;=(Title_RESULTS!$H$7+Title_RESULTS!$C$17),0,(+'Sheet3(F_21)'!$J29+'Sheet4(F_22)'!$H29))</f>
        <v>84594.03810425398</v>
      </c>
      <c r="I29" s="5">
        <f>IF(A29&gt;=(Title_RESULTS!$H$7+Title_RESULTS!$C$17),0,(+'Sheet4(F_22)'!$D29+'Sheet4(F_22)'!$G29))</f>
        <v>3173.104387637005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87767.14249189099</v>
      </c>
      <c r="M29" s="23">
        <f>IF(A29&gt;=(Title_RESULTS!$H$7+Title_RESULTS!$C$17),0,(+L29-G29))</f>
        <v>49402.505710590645</v>
      </c>
      <c r="N29" s="24">
        <f>(IF(A28&gt;=(Title_RESULTS!$H$7+Title_RESULTS!$C$17),0,(+$M29/((1+Title_RESULTS!$C$37)^('Sheet9(F_25)'!$A29-Title_RESULTS!$H$7))+N28)))</f>
        <v>-168455.98329887714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38748.28314911335</v>
      </c>
      <c r="F30">
        <f>IF(A30&gt;=(Title_RESULTS!$H$7+Title_RESULTS!$C$17),0,(+'f-11B'!$R29))</f>
        <v>0</v>
      </c>
      <c r="G30" s="5">
        <f>IF(A30&gt;=(Title_RESULTS!$H$7+Title_RESULTS!$C$17),0,(SUM(B30:F30)))</f>
        <v>38748.28314911335</v>
      </c>
      <c r="H30" s="5">
        <f>IF(A30&gt;=(Title_RESULTS!$H$7+Title_RESULTS!$C$17),0,(+'Sheet3(F_21)'!$J30+'Sheet4(F_22)'!$H30))</f>
        <v>88300.39171162737</v>
      </c>
      <c r="I30" s="5">
        <f>IF(A30&gt;=(Title_RESULTS!$H$7+Title_RESULTS!$C$17),0,(+'Sheet4(F_22)'!$D30+'Sheet4(F_22)'!$G30))</f>
        <v>3249.2588929402928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91549.65060456767</v>
      </c>
      <c r="M30" s="23">
        <f>IF(A30&gt;=(Title_RESULTS!$H$7+Title_RESULTS!$C$17),0,(+L30-G30))</f>
        <v>52801.36745545432</v>
      </c>
      <c r="N30" s="24">
        <f>(IF(A29&gt;=(Title_RESULTS!$H$7+Title_RESULTS!$C$17),0,(+$M30/((1+Title_RESULTS!$C$37)^('Sheet9(F_25)'!$A30-Title_RESULTS!$H$7))+N29)))</f>
        <v>-148191.8471413985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380802.54</v>
      </c>
      <c r="E32" s="5">
        <f t="shared" si="1"/>
        <v>491773.61848703586</v>
      </c>
      <c r="F32" s="5">
        <f t="shared" si="1"/>
        <v>0</v>
      </c>
      <c r="G32" s="5">
        <f t="shared" si="1"/>
        <v>872699.0615270357</v>
      </c>
      <c r="H32" s="5">
        <f t="shared" si="1"/>
        <v>843109.6949771722</v>
      </c>
      <c r="I32" s="5">
        <f t="shared" si="1"/>
        <v>39169.27857247348</v>
      </c>
      <c r="J32" s="5">
        <f t="shared" si="1"/>
        <v>0</v>
      </c>
      <c r="K32" s="9">
        <f t="shared" si="1"/>
        <v>0</v>
      </c>
      <c r="L32" s="5">
        <f t="shared" si="1"/>
        <v>882278.9735496459</v>
      </c>
      <c r="M32" s="5">
        <f t="shared" si="1"/>
        <v>9579.912022610071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356179.2543818767</v>
      </c>
      <c r="E34" s="5">
        <f>NPV(Title_RESULTS!$C$37,'Sheet9(F_25)'!E17:E31)+'Sheet9(F_25)'!E16</f>
        <v>297668.22124998516</v>
      </c>
      <c r="F34" s="5">
        <f>NPV(Title_RESULTS!$C$37,'Sheet9(F_25)'!F17:F31)+'Sheet9(F_25)'!F16</f>
        <v>0</v>
      </c>
      <c r="G34" s="5">
        <f>NPV(Title_RESULTS!$C$37,'Sheet9(F_25)'!G17:G31)+'Sheet9(F_25)'!G16</f>
        <v>653962.3073623058</v>
      </c>
      <c r="H34" s="5">
        <f>NPV(Title_RESULTS!$C$37,'Sheet9(F_25)'!H17:H31)+'Sheet9(F_25)'!H16</f>
        <v>482047.21011309454</v>
      </c>
      <c r="I34" s="5">
        <f>NPV(Title_RESULTS!$C$37,'Sheet9(F_25)'!I17:I31)+'Sheet9(F_25)'!I16</f>
        <v>23723.25010781245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505770.4602209071</v>
      </c>
      <c r="M34" s="5">
        <f>NPV(Title_RESULTS!$C$37,'Sheet9(F_25)'!M17:M31)+'Sheet9(F_25)'!M16</f>
        <v>-148191.84714139867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0.7733939013410173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52024.333990099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3034.7297792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7803.773337600001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299.89898744603965</v>
      </c>
      <c r="P24" s="48">
        <f aca="true" t="shared" si="4" ref="P24:P61">N24*$L$5</f>
        <v>771.1868576389662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307.0965631447446</v>
      </c>
      <c r="P25" s="48">
        <f t="shared" si="4"/>
        <v>789.6953422223014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7158.06256745341</v>
      </c>
      <c r="E26" s="11">
        <f>IF(B26=Title_RESULTS!$H$8,$F$16,+E25*(1+$F$7))</f>
        <v>0.09882230355451863</v>
      </c>
      <c r="F26" s="9">
        <f t="shared" si="1"/>
        <v>5141.164525791225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417.5504801072867</v>
      </c>
      <c r="L26" s="5">
        <f t="shared" si="3"/>
        <v>1073.726341665354</v>
      </c>
      <c r="N26" s="11">
        <f>IF(+B26=Title_RESULTS!$H$9,'Value of Defferal'!$O$16,+'Value of Defferal'!N25*(1+'Value of Defferal'!$F$7))</f>
        <v>0.10362269577198292</v>
      </c>
      <c r="O26" s="5">
        <f t="shared" si="7"/>
        <v>314.4668806602185</v>
      </c>
      <c r="P26" s="48">
        <f t="shared" si="4"/>
        <v>808.6480304356367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6946.685809329299</v>
      </c>
      <c r="E27" s="11">
        <f>IF(B27=Title_RESULTS!$H$8,$F$16,+E26*(1+$F$7))</f>
        <v>0.10119403883982707</v>
      </c>
      <c r="F27" s="9">
        <f t="shared" si="1"/>
        <v>5264.552474410214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405.22026281643053</v>
      </c>
      <c r="L27" s="5">
        <f t="shared" si="3"/>
        <v>1042.0193272218594</v>
      </c>
      <c r="N27" s="11">
        <f>IF(+B27=Title_RESULTS!$H$9,'Value of Defferal'!$O$16,+'Value of Defferal'!N26*(1+'Value of Defferal'!$F$7))</f>
        <v>0.10610964047051051</v>
      </c>
      <c r="O27" s="5">
        <f t="shared" si="7"/>
        <v>322.01408579606374</v>
      </c>
      <c r="P27" s="48">
        <f t="shared" si="4"/>
        <v>828.0555831660919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6713.327409950075</v>
      </c>
      <c r="E28" s="11">
        <f>IF(B28=Title_RESULTS!$H$8,$F$16,+E27*(1+$F$7))</f>
        <v>0.10362269577198292</v>
      </c>
      <c r="F28" s="9">
        <f t="shared" si="1"/>
        <v>5390.9017337960595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391.607792852714</v>
      </c>
      <c r="L28" s="5">
        <f t="shared" si="3"/>
        <v>1007.015014518362</v>
      </c>
      <c r="N28" s="11">
        <f>IF(+B28=Title_RESULTS!$H$9,'Value of Defferal'!$O$16,+'Value of Defferal'!N27*(1+'Value of Defferal'!$F$7))</f>
        <v>0.10865627184180277</v>
      </c>
      <c r="O28" s="5">
        <f t="shared" si="7"/>
        <v>329.74242385516925</v>
      </c>
      <c r="P28" s="48">
        <f t="shared" si="4"/>
        <v>847.9289171620782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6491.145591547042</v>
      </c>
      <c r="E29" s="11">
        <f>IF(B29=Title_RESULTS!$H$8,$F$16,+E28*(1+$F$7))</f>
        <v>0.10610964047051051</v>
      </c>
      <c r="F29" s="9">
        <f t="shared" si="1"/>
        <v>5520.283375407164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378.6472851635082</v>
      </c>
      <c r="L29" s="5">
        <f t="shared" si="3"/>
        <v>973.6872154372041</v>
      </c>
      <c r="N29" s="11">
        <f>IF(+B29=Title_RESULTS!$H$9,'Value of Defferal'!$O$16,+'Value of Defferal'!N28*(1+'Value of Defferal'!$F$7))</f>
        <v>0.11126402236600604</v>
      </c>
      <c r="O29" s="5">
        <f t="shared" si="7"/>
        <v>337.65624202769334</v>
      </c>
      <c r="P29" s="48">
        <f t="shared" si="4"/>
        <v>868.2792111739681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6279.019600016771</v>
      </c>
      <c r="E30" s="11">
        <f>IF(B30=Title_RESULTS!$H$8,$F$16,+E29*(1+$F$7))</f>
        <v>0.10865627184180277</v>
      </c>
      <c r="F30" s="9">
        <f t="shared" si="1"/>
        <v>5652.770176416937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366.27336292239397</v>
      </c>
      <c r="L30" s="5">
        <f t="shared" si="3"/>
        <v>941.867814207946</v>
      </c>
      <c r="N30" s="11">
        <f>IF(+B30=Title_RESULTS!$H$9,'Value of Defferal'!$O$16,+'Value of Defferal'!N29*(1+'Value of Defferal'!$F$7))</f>
        <v>0.11393435890279018</v>
      </c>
      <c r="O30" s="5">
        <f t="shared" si="7"/>
        <v>345.759991836358</v>
      </c>
      <c r="P30" s="48">
        <f t="shared" si="4"/>
        <v>889.1179122421432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6075.952521488254</v>
      </c>
      <c r="E31" s="11">
        <f>IF(B31=Title_RESULTS!$H$8,$F$16,+E30*(1+$F$7))</f>
        <v>0.11126402236600604</v>
      </c>
      <c r="F31" s="9">
        <f t="shared" si="1"/>
        <v>5788.436660650944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354.4278732616725</v>
      </c>
      <c r="L31" s="5">
        <f t="shared" si="3"/>
        <v>911.4072713883733</v>
      </c>
      <c r="N31" s="11">
        <f>IF(+B31=Title_RESULTS!$H$9,'Value of Defferal'!$O$16,+'Value of Defferal'!N30*(1+'Value of Defferal'!$F$7))</f>
        <v>0.11666878351645714</v>
      </c>
      <c r="O31" s="5">
        <f t="shared" si="7"/>
        <v>354.05823164043056</v>
      </c>
      <c r="P31" s="48">
        <f t="shared" si="4"/>
        <v>910.4567421359546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5879.207486824941</v>
      </c>
      <c r="E32" s="11">
        <f>IF(B32=Title_RESULTS!$H$8,$F$16,+E31*(1+$F$7))</f>
        <v>0.11393435890279018</v>
      </c>
      <c r="F32" s="9">
        <f t="shared" si="1"/>
        <v>5927.359140506566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342.95116669362454</v>
      </c>
      <c r="L32" s="5">
        <f t="shared" si="3"/>
        <v>881.8950501247056</v>
      </c>
      <c r="N32" s="11">
        <f>IF(+B32=Title_RESULTS!$H$9,'Value of Defferal'!$O$16,+'Value of Defferal'!N31*(1+'Value of Defferal'!$F$7))</f>
        <v>0.11946883432085212</v>
      </c>
      <c r="O32" s="5">
        <f t="shared" si="7"/>
        <v>362.55562919980093</v>
      </c>
      <c r="P32" s="48">
        <f t="shared" si="4"/>
        <v>932.3077039472176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5684.487239961748</v>
      </c>
      <c r="E33" s="11">
        <f>IF(B33=Title_RESULTS!$H$8,$F$16,+E32*(1+$F$7))</f>
        <v>0.11666878351645714</v>
      </c>
      <c r="F33" s="9">
        <f t="shared" si="1"/>
        <v>6069.615759878723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331.59257185065417</v>
      </c>
      <c r="L33" s="5">
        <f t="shared" si="3"/>
        <v>852.6865518275227</v>
      </c>
      <c r="N33" s="11">
        <f>IF(+B33=Title_RESULTS!$H$9,'Value of Defferal'!$O$16,+'Value of Defferal'!N32*(1+'Value of Defferal'!$F$7))</f>
        <v>0.12233608634455258</v>
      </c>
      <c r="O33" s="5">
        <f t="shared" si="7"/>
        <v>371.25696430059617</v>
      </c>
      <c r="P33" s="48">
        <f t="shared" si="4"/>
        <v>954.683088841951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5489.766993098553</v>
      </c>
      <c r="E34" s="11">
        <f>IF(B34=Title_RESULTS!$H$8,$F$16,+E33*(1+$F$7))</f>
        <v>0.11946883432085212</v>
      </c>
      <c r="F34" s="9">
        <f t="shared" si="1"/>
        <v>6215.2865381158135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320.2339770076837</v>
      </c>
      <c r="L34" s="5">
        <f t="shared" si="3"/>
        <v>823.4780535303397</v>
      </c>
      <c r="N34" s="11">
        <f>IF(+B34=Title_RESULTS!$H$9,'Value of Defferal'!$O$16,+'Value of Defferal'!N33*(1+'Value of Defferal'!$F$7))</f>
        <v>0.12527215241682185</v>
      </c>
      <c r="O34" s="5">
        <f t="shared" si="7"/>
        <v>380.16713144381055</v>
      </c>
      <c r="P34" s="48">
        <f t="shared" si="4"/>
        <v>977.5954829741578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5295.04674623536</v>
      </c>
      <c r="E35" s="11">
        <f>IF(B35=Title_RESULTS!$H$8,$F$16,+E34*(1+$F$7))</f>
        <v>0.12233608634455258</v>
      </c>
      <c r="F35" s="9">
        <f t="shared" si="1"/>
        <v>6364.4534150305935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308.87538216471324</v>
      </c>
      <c r="L35" s="5">
        <f t="shared" si="3"/>
        <v>794.2695552331568</v>
      </c>
      <c r="N35" s="11">
        <f>IF(+B35=Title_RESULTS!$H$9,'Value of Defferal'!$O$16,+'Value of Defferal'!N34*(1+'Value of Defferal'!$F$7))</f>
        <v>0.12827868407482557</v>
      </c>
      <c r="O35" s="5">
        <f t="shared" si="7"/>
        <v>389.29114259846193</v>
      </c>
      <c r="P35" s="48">
        <f t="shared" si="4"/>
        <v>1001.0577745655376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5100.326499372167</v>
      </c>
      <c r="E36" s="11">
        <f>IF(B36=Title_RESULTS!$H$8,$F$16,+E35*(1+$F$7))</f>
        <v>0.12527215241682185</v>
      </c>
      <c r="F36" s="9">
        <f t="shared" si="1"/>
        <v>6517.200296991328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297.51678732174287</v>
      </c>
      <c r="L36" s="5">
        <f t="shared" si="3"/>
        <v>765.061056935974</v>
      </c>
      <c r="N36" s="11">
        <f>IF(+B36=Title_RESULTS!$H$9,'Value of Defferal'!$O$16,+'Value of Defferal'!N35*(1+'Value of Defferal'!$F$7))</f>
        <v>0.1313573724926214</v>
      </c>
      <c r="O36" s="5">
        <f t="shared" si="7"/>
        <v>398.63413002082507</v>
      </c>
      <c r="P36" s="48">
        <f t="shared" si="4"/>
        <v>1025.0831611551105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4905.606252508972</v>
      </c>
      <c r="E37" s="11">
        <f>IF(B37&gt;Title_RESULTS!$H$8-1+Title_RESULTS!$C$18,0,+E36*(1+$F$7))</f>
        <v>0.12827868407482557</v>
      </c>
      <c r="F37" s="9">
        <f t="shared" si="1"/>
        <v>6673.613104119119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286.1581924787724</v>
      </c>
      <c r="L37" s="5">
        <f t="shared" si="3"/>
        <v>735.8525586387909</v>
      </c>
      <c r="N37" s="11">
        <f>IF(+B37=Title_RESULTS!$H$9,'Value of Defferal'!$O$16,+'Value of Defferal'!N36*(1+'Value of Defferal'!$F$7))</f>
        <v>0.1345099494324443</v>
      </c>
      <c r="O37" s="5">
        <f t="shared" si="7"/>
        <v>408.20134914132484</v>
      </c>
      <c r="P37" s="48">
        <f t="shared" si="4"/>
        <v>1049.6851570228332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4710.886005645777</v>
      </c>
      <c r="E38" s="11">
        <f>IF(B38&gt;Title_RESULTS!$H$8-1+Title_RESULTS!$C$18,0,+E37*(1+$F$7))</f>
        <v>0.1313573724926214</v>
      </c>
      <c r="F38" s="9">
        <f t="shared" si="1"/>
        <v>6833.779818617979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274.79959763580194</v>
      </c>
      <c r="L38" s="5">
        <f t="shared" si="3"/>
        <v>706.6440603416079</v>
      </c>
      <c r="N38" s="11">
        <f>IF(+B38=Title_RESULTS!$H$9,'Value of Defferal'!$O$16,+'Value of Defferal'!N37*(1+'Value of Defferal'!$F$7))</f>
        <v>0.13773818821882297</v>
      </c>
      <c r="O38" s="5">
        <f t="shared" si="7"/>
        <v>417.9981815207167</v>
      </c>
      <c r="P38" s="48">
        <f t="shared" si="4"/>
        <v>1074.8776007913812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4516.165758782583</v>
      </c>
      <c r="E39" s="11">
        <f>IF(B39&gt;Title_RESULTS!$H$8-1+Title_RESULTS!$C$18,0,+E38*(1+$F$7))</f>
        <v>0.1345099494324443</v>
      </c>
      <c r="F39" s="9">
        <f t="shared" si="1"/>
        <v>6997.79053426481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263.44100279283145</v>
      </c>
      <c r="L39" s="5">
        <f t="shared" si="3"/>
        <v>677.4355620444248</v>
      </c>
      <c r="N39" s="11">
        <f>IF(+B39&gt;Title_RESULTS!$H$9+Title_RESULTS!$C$19-1,0,+'Value of Defferal'!N38*(1+'Value of Defferal'!$F$7))</f>
        <v>0.14104390473607473</v>
      </c>
      <c r="O39" s="5">
        <f t="shared" si="7"/>
        <v>428.03013787721386</v>
      </c>
      <c r="P39" s="48">
        <f t="shared" si="4"/>
        <v>1100.6746632103743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4321.445511919391</v>
      </c>
      <c r="E40" s="11">
        <f>IF(B40&gt;Title_RESULTS!$H$8-1+Title_RESULTS!$C$18,0,+E39*(1+$F$7))</f>
        <v>0.13773818821882297</v>
      </c>
      <c r="F40" s="9">
        <f t="shared" si="1"/>
        <v>7165.737507087166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252.0824079498611</v>
      </c>
      <c r="L40" s="5">
        <f t="shared" si="3"/>
        <v>648.2270637472421</v>
      </c>
      <c r="N40" s="11">
        <f>IF(+B40&gt;Title_RESULTS!$H$9+Title_RESULTS!$C$19-1,0,+'Value of Defferal'!N39*(1+'Value of Defferal'!$F$7))</f>
        <v>0.14442895844974052</v>
      </c>
      <c r="O40" s="5">
        <f t="shared" si="7"/>
        <v>438.302861186267</v>
      </c>
      <c r="P40" s="48">
        <f t="shared" si="4"/>
        <v>1127.0908551274233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4145.010275373477</v>
      </c>
      <c r="E41" s="11">
        <f>IF(B41&gt;Title_RESULTS!$H$8-1+Title_RESULTS!$C$18,0,+E40*(1+$F$7))</f>
        <v>0.14104390473607473</v>
      </c>
      <c r="F41" s="9">
        <f t="shared" si="1"/>
        <v>7337.715207257258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241.79043061194884</v>
      </c>
      <c r="L41" s="5">
        <f t="shared" si="3"/>
        <v>621.7613603125344</v>
      </c>
      <c r="N41" s="11">
        <f>IF(+B41&gt;Title_RESULTS!$H$9+Title_RESULTS!$C$19-1,0,+'Value of Defferal'!N40*(1+'Value of Defferal'!$F$7))</f>
        <v>0.1478952534525343</v>
      </c>
      <c r="O41" s="5">
        <f t="shared" si="7"/>
        <v>448.8221298547374</v>
      </c>
      <c r="P41" s="48">
        <f t="shared" si="4"/>
        <v>1154.1410356504816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4005.1388674505074</v>
      </c>
      <c r="E42" s="11">
        <f>IF(B42&gt;Title_RESULTS!$H$8-1+Title_RESULTS!$C$18,0,+E41*(1+$F$7))</f>
        <v>0.14442895844974052</v>
      </c>
      <c r="F42" s="9">
        <f t="shared" si="1"/>
        <v>7513.820372231432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233.631327086217</v>
      </c>
      <c r="L42" s="5">
        <f t="shared" si="3"/>
        <v>600.7803177863663</v>
      </c>
      <c r="N42" s="11">
        <f>IF(+B42&gt;Title_RESULTS!$H$9+Title_RESULTS!$C$19-1,0,+'Value of Defferal'!N41*(1+'Value of Defferal'!$F$7))</f>
        <v>0.1514447395353951</v>
      </c>
      <c r="O42" s="5">
        <f t="shared" si="7"/>
        <v>459.5938609712511</v>
      </c>
      <c r="P42" s="48">
        <f t="shared" si="4"/>
        <v>1181.840420506093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3883.5462778331985</v>
      </c>
      <c r="E43" s="11">
        <f>IF(B43&gt;Title_RESULTS!$H$8-1+Title_RESULTS!$C$18,0,+E42*(1+$F$7))</f>
        <v>0.1478952534525343</v>
      </c>
      <c r="F43" s="9">
        <f t="shared" si="1"/>
        <v>7694.152061164987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226.53847986760735</v>
      </c>
      <c r="L43" s="5">
        <f t="shared" si="3"/>
        <v>582.541141306262</v>
      </c>
      <c r="N43" s="11">
        <f>IF(+B43&gt;Title_RESULTS!$H$9+Title_RESULTS!$C$19-1,0,+'Value of Defferal'!N42*(1+'Value of Defferal'!$F$7))</f>
        <v>0.1550794132842446</v>
      </c>
      <c r="O43" s="5">
        <f t="shared" si="7"/>
        <v>470.6241136345611</v>
      </c>
      <c r="P43" s="48">
        <f t="shared" si="4"/>
        <v>1210.2045905982393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3761.95368821589</v>
      </c>
      <c r="E44" s="11">
        <f>IF(B44&gt;Title_RESULTS!$H$8-1+Title_RESULTS!$C$18,0,+E43*(1+$F$7))</f>
        <v>0.1514447395353951</v>
      </c>
      <c r="F44" s="9">
        <f t="shared" si="1"/>
        <v>7878.811710632946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219.44563264899776</v>
      </c>
      <c r="L44" s="5">
        <f t="shared" si="3"/>
        <v>564.301964826158</v>
      </c>
      <c r="N44" s="11">
        <f>IF(+B44&gt;Title_RESULTS!$H$9+Title_RESULTS!$C$19-1,0,+'Value of Defferal'!N43*(1+'Value of Defferal'!$F$7))</f>
        <v>0.15880131920306648</v>
      </c>
      <c r="O44" s="5">
        <f t="shared" si="7"/>
        <v>481.91909236179066</v>
      </c>
      <c r="P44" s="48">
        <f t="shared" si="4"/>
        <v>1239.2495007725972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3640.3610985985792</v>
      </c>
      <c r="E45" s="11">
        <f>IF(B45&gt;Title_RESULTS!$H$8-1+Title_RESULTS!$C$18,0,+E44*(1+$F$7))</f>
        <v>0.1550794132842446</v>
      </c>
      <c r="F45" s="9">
        <f t="shared" si="1"/>
        <v>8067.903191688137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212.35278543038802</v>
      </c>
      <c r="L45" s="5">
        <f t="shared" si="3"/>
        <v>546.0627883460537</v>
      </c>
      <c r="N45" s="11">
        <f>IF(+B45&gt;Title_RESULTS!$H$9+Title_RESULTS!$C$19-1,0,+'Value of Defferal'!N44*(1+'Value of Defferal'!$F$7))</f>
        <v>0.16261255086394008</v>
      </c>
      <c r="O45" s="5">
        <f t="shared" si="7"/>
        <v>493.4851505784736</v>
      </c>
      <c r="P45" s="48">
        <f t="shared" si="4"/>
        <v>1268.9914887911395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3518.7685089812703</v>
      </c>
      <c r="E46" s="11">
        <f>IF(B46&gt;Title_RESULTS!$H$8-1+Title_RESULTS!$C$18,0,+E45*(1+$F$7))</f>
        <v>0.15880131920306648</v>
      </c>
      <c r="F46" s="9">
        <f t="shared" si="1"/>
        <v>8261.532868288652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205.25993821177838</v>
      </c>
      <c r="L46" s="5">
        <f t="shared" si="3"/>
        <v>527.8236118659496</v>
      </c>
      <c r="N46" s="11">
        <f>IF(+B46&gt;Title_RESULTS!$H$9+Title_RESULTS!$C$19-1,0,+'Value of Defferal'!N45*(1+'Value of Defferal'!$F$7))</f>
        <v>0.16651525208467466</v>
      </c>
      <c r="O46" s="5">
        <f t="shared" si="7"/>
        <v>505.32879419235707</v>
      </c>
      <c r="P46" s="48">
        <f t="shared" si="4"/>
        <v>1299.4472845221271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3397.175919363962</v>
      </c>
      <c r="E47" s="11">
        <f>IF(B47&gt;Title_RESULTS!$H$8-1+Title_RESULTS!$C$18,0,+E46*(1+$F$7))</f>
        <v>0.16261255086394008</v>
      </c>
      <c r="F47" s="9">
        <f t="shared" si="1"/>
        <v>8459.80965712758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198.16709099316878</v>
      </c>
      <c r="L47" s="5">
        <f t="shared" si="3"/>
        <v>509.5844353858456</v>
      </c>
      <c r="N47" s="11">
        <f>IF(+B47&gt;Title_RESULTS!$H$9+Title_RESULTS!$C$19-1,0,+'Value of Defferal'!N46*(1+'Value of Defferal'!$F$7))</f>
        <v>0.17051161813470686</v>
      </c>
      <c r="O47" s="5">
        <f t="shared" si="7"/>
        <v>517.4566852529737</v>
      </c>
      <c r="P47" s="48">
        <f t="shared" si="4"/>
        <v>1330.634019350658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3275.583329746653</v>
      </c>
      <c r="E48" s="11">
        <f>IF(B48&gt;Title_RESULTS!$H$8-1+Title_RESULTS!$C$18,0,+E47*(1+$F$7))</f>
        <v>0.16651525208467466</v>
      </c>
      <c r="F48" s="9">
        <f t="shared" si="1"/>
        <v>8662.845088898644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191.07424377455914</v>
      </c>
      <c r="L48" s="5">
        <f t="shared" si="3"/>
        <v>491.34525890574145</v>
      </c>
      <c r="N48" s="11">
        <f>IF(+B48&gt;Title_RESULTS!$H$9+Title_RESULTS!$C$19-1,0,+'Value of Defferal'!N47*(1+'Value of Defferal'!$F$7))</f>
        <v>0.17460389696993983</v>
      </c>
      <c r="O48" s="5">
        <f t="shared" si="7"/>
        <v>529.8756456990451</v>
      </c>
      <c r="P48" s="48">
        <f t="shared" si="4"/>
        <v>1362.569235815074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3153.9907401293426</v>
      </c>
      <c r="E49" s="11">
        <f>IF(B49&gt;Title_RESULTS!$H$8-1+Title_RESULTS!$C$18,0,+E48*(1+$F$7))</f>
        <v>0.17051161813470686</v>
      </c>
      <c r="F49" s="9">
        <f t="shared" si="1"/>
        <v>8870.753371032211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183.98139655594946</v>
      </c>
      <c r="L49" s="5">
        <f t="shared" si="3"/>
        <v>473.10608242563717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3032.3981505120337</v>
      </c>
      <c r="E50" s="11">
        <f>IF(B50&gt;Title_RESULTS!$H$8-1+Title_RESULTS!$C$18,0,+E49*(1+$F$7))</f>
        <v>0.17460389696993983</v>
      </c>
      <c r="F50" s="9">
        <f t="shared" si="1"/>
        <v>9083.651451936985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176.8885493373398</v>
      </c>
      <c r="L50" s="5">
        <f t="shared" si="3"/>
        <v>454.86690594553306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2910.8055608947247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169.7957021187302</v>
      </c>
      <c r="L51" s="5">
        <f t="shared" si="3"/>
        <v>436.62772946542896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124291.86441123398</v>
      </c>
      <c r="F63" s="9">
        <f>SUM(F23:F61)</f>
        <v>173353.94004134348</v>
      </c>
      <c r="J63" t="s">
        <v>87</v>
      </c>
      <c r="K63" s="9">
        <f>SUM(K23:K61)</f>
        <v>7250.303719656378</v>
      </c>
      <c r="O63" s="9">
        <f>SUM(O23:O61)</f>
        <v>10112.236406240925</v>
      </c>
    </row>
    <row r="64" spans="3:15" ht="12.75">
      <c r="C64" t="s">
        <v>89</v>
      </c>
      <c r="D64" s="9">
        <f>NPV(+Title_RESULTS!$C$37,'Value of Defferal'!D24:D61)+'Value of Defferal'!D23</f>
        <v>55497.069163972665</v>
      </c>
      <c r="F64" s="9">
        <f>NPV(+Title_RESULTS!$C$37,'Value of Defferal'!F24:F61)+'Value of Defferal'!F23</f>
        <v>64460.89139624929</v>
      </c>
      <c r="J64" t="s">
        <v>89</v>
      </c>
      <c r="K64" s="9">
        <f>NPV(+Title_RESULTS!$C$37,'Value of Defferal'!K24:K61)+'Value of Defferal'!K23</f>
        <v>3237.3044599145155</v>
      </c>
      <c r="O64" s="9">
        <f>NPV(+Title_RESULTS!$C$37,'Value of Defferal'!O24:O61)+'Value of Defferal'!O23</f>
        <v>4311.4815213830425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28.39734243681057</v>
      </c>
      <c r="C25" t="s">
        <v>372</v>
      </c>
    </row>
    <row r="26" spans="2:3" ht="18">
      <c r="B26" s="15">
        <f>+((Input!$C$6*'EUE_Line Losses'!C4)+(Input!$C$7*'EUE_Line Losses'!C3))/'EUE_Line Losses'!C22</f>
        <v>28.305738106369244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4.33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30.84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412684.36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169175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126934.18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Solar Water Heater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43599.32060810185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30.84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28.305738106369244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435321.0548523207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412684.36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169175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126934.18</v>
      </c>
      <c r="D39" s="13" t="s">
        <v>189</v>
      </c>
      <c r="G39" s="20" t="s">
        <v>346</v>
      </c>
      <c r="H39" s="79">
        <f>+'Sheet7(F_23)'!H36</f>
        <v>1.0421353652181964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512135.31239645137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0.7733939013410173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2019-05-14T11:41:42Z</dcterms:created>
  <dcterms:modified xsi:type="dcterms:W3CDTF">2019-05-14T11:41:45Z</dcterms:modified>
  <cp:category/>
  <cp:version/>
  <cp:contentType/>
  <cp:contentStatus/>
</cp:coreProperties>
</file>