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8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'Sheet2(F_12)'!$A$1:$K$42</definedName>
    <definedName name="_xlnm.Print_Area" localSheetId="11">'Sheet3(F_21)'!$A$1:$J$31</definedName>
    <definedName name="_xlnm.Print_Area" localSheetId="14">'Sheet4(F_22)'!$A$1:$J$31</definedName>
    <definedName name="_xlnm.Print_Area" localSheetId="12">'Sheet5(p_5)'!$A$1:$H$31</definedName>
    <definedName name="_xlnm.Print_Area" localSheetId="15">'Sheet6(p_6)'!$A$1:$R$31</definedName>
    <definedName name="_xlnm.Print_Area" localSheetId="16">'Sheet7(F_23)'!$A$1:$M$31</definedName>
    <definedName name="_xlnm.Print_Area" localSheetId="17">'Sheet8(F_24)'!$A$1:$M$31</definedName>
    <definedName name="_xlnm.Print_Area" localSheetId="18">'Sheet9(F_25)'!$A$1:$N$31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<sst xmlns="http://schemas.openxmlformats.org/spreadsheetml/2006/main" count="1258" uniqueCount="468">
  <si>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</si>
  <si>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</si>
  <si>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</si>
  <si>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</si>
  <si>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</si>
  <si>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</si>
  <si>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</si>
  <si>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</si>
  <si>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</si>
  <si>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</si>
  <si>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</si>
  <si>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</si>
  <si>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</si>
  <si>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</si>
  <si>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</si>
  <si>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</si>
  <si>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</si>
  <si>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</si>
  <si>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</si>
  <si>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</si>
  <si>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</si>
  <si>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</si>
  <si>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</si>
  <si>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</si>
  <si>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</si>
  <si>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</si>
  <si>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</si>
  <si>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</si>
  <si>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</si>
  <si>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</si>
  <si>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</si>
  <si>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</si>
  <si>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</si>
  <si>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</si>
  <si>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</si>
  <si>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</si>
  <si>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</si>
  <si>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</si>
  <si>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</si>
  <si>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</si>
  <si>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</si>
  <si>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</si>
  <si>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</si>
  <si>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</si>
  <si>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</si>
  <si>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</si>
  <si>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</si>
  <si>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</si>
  <si>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</si>
  <si>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</si>
  <si>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</si>
  <si>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</si>
  <si>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</si>
  <si>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</si>
  <si>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</si>
  <si>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</si>
  <si>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</si>
  <si>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</si>
  <si>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</si>
  <si>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</si>
  <si>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</si>
  <si>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</si>
  <si>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</si>
  <si>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</si>
  <si>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</si>
  <si>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</si>
  <si>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</si>
  <si>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</si>
  <si>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</si>
  <si>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</si>
  <si>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</si>
  <si>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</si>
  <si>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</si>
  <si>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</si>
  <si>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</si>
  <si>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</si>
  <si>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</si>
  <si>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</si>
  <si>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</si>
  <si>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</si>
  <si>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</si>
  <si>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</si>
  <si>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</si>
  <si>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</si>
  <si>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</si>
  <si>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</si>
  <si>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</si>
  <si>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</si>
  <si>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</si>
  <si>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</si>
  <si>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</si>
  <si>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</si>
  <si>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</si>
  <si>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</si>
  <si>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</si>
  <si>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</si>
  <si>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</si>
  <si>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</si>
  <si>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</si>
  <si>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</si>
  <si>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</si>
  <si>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</si>
  <si>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</si>
  <si>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</si>
  <si>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</si>
  <si>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</si>
  <si>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</si>
  <si>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</si>
  <si>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</si>
  <si>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</si>
  <si>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</si>
  <si>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</si>
  <si>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</si>
  <si>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</si>
  <si>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</si>
  <si>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</si>
  <si>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</si>
  <si>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</si>
  <si>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</si>
  <si>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</si>
  <si>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</si>
  <si>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</si>
  <si>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</si>
  <si>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</si>
  <si>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</si>
  <si>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</si>
  <si>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</si>
  <si>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</si>
  <si>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</si>
  <si>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</si>
  <si>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</si>
  <si>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</si>
  <si>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</si>
  <si>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</si>
  <si>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</si>
  <si>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</si>
  <si>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</si>
  <si>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</si>
  <si>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</si>
  <si>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</si>
  <si>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</si>
  <si>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</si>
  <si>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</si>
  <si>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</si>
  <si>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</si>
  <si>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</si>
  <si>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</si>
  <si>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</si>
  <si>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</si>
  <si>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</si>
  <si>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</si>
  <si>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</si>
  <si>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</si>
  <si>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</si>
  <si>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</si>
  <si>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</si>
  <si>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</si>
  <si>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</si>
  <si>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</si>
  <si>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</si>
  <si>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</si>
  <si>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</si>
  <si>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</si>
  <si>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</si>
  <si>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</si>
  <si>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</si>
  <si>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</si>
  <si>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</si>
  <si>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</si>
  <si>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</si>
  <si>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</si>
  <si>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</si>
  <si>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</si>
  <si>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</si>
  <si>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</si>
  <si>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</si>
  <si>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</si>
  <si>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</si>
  <si>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</si>
  <si>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</si>
  <si>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</si>
  <si>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</si>
  <si>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</si>
  <si>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</si>
  <si>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</si>
  <si>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</si>
  <si>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</si>
  <si>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</si>
  <si>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</si>
  <si>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</si>
  <si>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</si>
  <si>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</si>
  <si>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</si>
  <si>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</si>
  <si>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</si>
  <si>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</si>
  <si>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</si>
  <si>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</si>
  <si>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</si>
  <si>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</si>
  <si>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</si>
  <si>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</si>
  <si>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</si>
  <si>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</si>
  <si>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</si>
  <si>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</si>
  <si>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</si>
  <si>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</si>
  <si>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</si>
  <si>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</si>
  <si>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</si>
  <si>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</si>
  <si>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</si>
  <si>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</si>
  <si>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</si>
  <si>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</si>
  <si>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</si>
  <si>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</si>
  <si>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</si>
  <si>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</si>
  <si>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</si>
  <si>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</si>
  <si>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</si>
  <si>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</si>
  <si>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</si>
  <si>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</si>
  <si>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</si>
  <si>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</si>
  <si>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</si>
  <si>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</si>
  <si>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</si>
  <si>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</si>
  <si>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</si>
  <si>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</si>
  <si>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</si>
  <si>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</si>
  <si>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</si>
  <si>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</si>
  <si>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</si>
  <si>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</si>
  <si>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</si>
  <si>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</si>
  <si>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</si>
  <si>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</si>
  <si>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</si>
  <si>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</si>
  <si>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</si>
  <si>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</si>
  <si>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</si>
  <si>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</si>
  <si>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</si>
  <si>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</si>
  <si>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</si>
  <si>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</si>
  <si>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</si>
  <si>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</si>
  <si>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</si>
  <si>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</si>
  <si>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</si>
  <si>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</si>
  <si>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</si>
  <si>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</si>
  <si>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</si>
  <si>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</si>
  <si>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</si>
  <si>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</si>
  <si>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</si>
  <si>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</si>
  <si>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</si>
  <si>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</si>
  <si>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</si>
  <si>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</si>
  <si>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</si>
  <si>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</si>
  <si>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</si>
  <si>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</si>
  <si>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</si>
  <si>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</si>
  <si>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</si>
  <si>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</si>
  <si>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</si>
  <si>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</si>
  <si>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</si>
  <si>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</si>
  <si>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</si>
  <si>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</si>
  <si>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</si>
  <si>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</si>
  <si>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</si>
  <si>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</si>
  <si>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</si>
  <si>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</si>
  <si>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</si>
  <si>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</si>
  <si>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</si>
  <si>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</si>
  <si>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</si>
  <si>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</si>
  <si>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</si>
  <si>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</si>
  <si>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</si>
  <si>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</si>
  <si>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</si>
  <si>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</si>
  <si>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</si>
  <si>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</si>
  <si>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</si>
  <si>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</si>
  <si>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</si>
  <si>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</si>
  <si>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</si>
  <si>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</si>
  <si>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</si>
  <si>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</si>
  <si>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</si>
  <si>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</si>
  <si>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</si>
  <si>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</si>
  <si>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</si>
  <si>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</si>
  <si>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</si>
  <si>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</si>
  <si>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</si>
  <si>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</si>
  <si>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</si>
  <si>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</si>
  <si>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</si>
  <si>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</si>
  <si>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</si>
  <si>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</si>
  <si>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</si>
  <si>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</si>
  <si>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</si>
  <si>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</si>
  <si>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</si>
  <si>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</si>
  <si>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</si>
  <si>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</si>
  <si>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</si>
  <si>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</si>
  <si>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</si>
  <si>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</si>
  <si>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</si>
  <si>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</si>
  <si>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</si>
  <si>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</si>
  <si>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</si>
  <si>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</si>
  <si>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</si>
  <si>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</si>
  <si>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</si>
  <si>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</si>
  <si>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</si>
  <si>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</si>
  <si>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</si>
  <si>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</si>
  <si>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</si>
  <si>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</si>
  <si>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</si>
  <si>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</si>
  <si>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</si>
  <si>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</si>
  <si>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</si>
  <si>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</si>
  <si>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</si>
  <si>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</si>
  <si>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</si>
  <si>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</si>
  <si>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</si>
  <si>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</si>
  <si>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</si>
  <si>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</si>
  <si>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</si>
  <si>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</si>
  <si>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</si>
  <si>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</si>
  <si>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</si>
  <si>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</si>
  <si>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</si>
  <si>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</si>
  <si>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</si>
  <si>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</si>
  <si>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</si>
  <si>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</si>
  <si>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</si>
  <si>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</si>
  <si>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</si>
  <si>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</si>
  <si>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</si>
  <si>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</si>
  <si>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</si>
  <si>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</si>
  <si>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</si>
  <si>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</si>
  <si>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</si>
  <si>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</si>
  <si>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</si>
  <si>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</si>
  <si>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</si>
  <si>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</si>
  <si>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</si>
  <si>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</si>
  <si>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</si>
  <si>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</si>
  <si>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</si>
  <si>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</si>
  <si>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</si>
  <si>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</si>
  <si>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</si>
  <si>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</si>
  <si>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</si>
  <si>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</si>
  <si>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</si>
  <si>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</si>
  <si>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</si>
  <si>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</si>
  <si>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</si>
  <si>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</si>
  <si>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</si>
  <si>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</si>
  <si>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</si>
  <si>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</si>
  <si>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</si>
  <si>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</si>
  <si>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</si>
  <si>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</si>
  <si>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</si>
  <si>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</si>
  <si>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</si>
  <si>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</si>
  <si>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</si>
  <si>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</si>
  <si>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</si>
  <si>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</si>
  <si>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</si>
  <si>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</si>
  <si>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</si>
  <si>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</si>
  <si>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</si>
  <si>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</si>
  <si>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</si>
  <si>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</si>
  <si>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</si>
  <si>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</si>
  <si>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</si>
  <si>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</si>
  <si>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</si>
  <si>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</si>
  <si>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</si>
  <si>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</si>
  <si>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</si>
  <si>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</si>
  <si>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</si>
  <si>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</si>
  <si>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</si>
  <si>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</si>
  <si>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</si>
  <si>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</si>
  <si>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</si>
  <si>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</si>
  <si>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</si>
  <si>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</si>
  <si>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</si>
  <si>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</si>
  <si>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</si>
  <si>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</si>
  <si>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</si>
  <si>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Variable Speed Pool Pump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</si>
</sst>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43599.320695138886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2102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43599.320695138886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Variable Speed Pool Pump</v>
      </c>
      <c r="J2" t="s">
        <v>55</v>
      </c>
    </row>
    <row r="3" ht="12.75">
      <c r="J3" s="35">
        <f>+Title_RESULTS!I4</f>
        <v>43599.320695138886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2102</v>
      </c>
      <c r="H5" t="s">
        <v>59</v>
      </c>
    </row>
    <row r="6" spans="3:7" ht="12.75">
      <c r="C6" t="s">
        <v>61</v>
      </c>
      <c r="G6" s="36">
        <f>+'Value of Defferal'!E3</f>
        <v>1287.7886647807636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25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127.26224234503285</v>
      </c>
      <c r="D19" s="5">
        <f>IF((Title_RESULTS!$H$8-Title_RESULTS!$H$7)&lt;=('Sheet3(F_21)'!A19-Title_RESULTS!$H$7),((Title_RESULTS!$C$8*Partcipation!$C$26*8760*Title_RESULTS!$H$21/100000)),0)</f>
        <v>1675.393615708275</v>
      </c>
      <c r="E19" s="5">
        <f>IF($G19=0,0,((Title_RESULTS!$H$14*((1+Title_RESULTS!$H$15/100)^($A19-Title_RESULTS!$H$7))*'EUE_Line Losses'!$B$25*Partcipation!$C$26))/1000)</f>
        <v>13.199059808616706</v>
      </c>
      <c r="F19" s="5">
        <f>IF($G19=0,0,(Title_RESULTS!$H$19/100*((1+Title_RESULTS!$H$20/100)^($A19-Title_RESULTS!$H$7))*$D19*1000)/1000)</f>
        <v>3.7777744133819726</v>
      </c>
      <c r="G19" s="5">
        <f>(+Title_RESULTS!$H$22/100*((1+Title_RESULTS!$H$23/100)^(+'Sheet4(F_22)'!A19-Title_RESULTS!$H$7)))*'Sheet3(F_21)'!D19</f>
        <v>71.77870375605177</v>
      </c>
      <c r="H19" s="5">
        <f>IF($G19=0,0,(($D19))*(Partcipation!$G19/100))</f>
        <v>53.15399989073662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162.86378043234666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130.31653616131362</v>
      </c>
      <c r="D20" s="5">
        <f>IF((Title_RESULTS!$H$8-Title_RESULTS!$H$7)&lt;=('Sheet3(F_21)'!A20-Title_RESULTS!$H$7),((Title_RESULTS!$C$8*Partcipation!$C$26*8760*Title_RESULTS!$H$21/100000)),0)</f>
        <v>1675.393615708275</v>
      </c>
      <c r="E20" s="5">
        <f>IF($G20=0,0,((Title_RESULTS!$H$14*((1+Title_RESULTS!$H$15/100)^($A20-Title_RESULTS!$H$7))*'EUE_Line Losses'!$B$25*Partcipation!$C$26))/1000)</f>
        <v>13.515837244023505</v>
      </c>
      <c r="F20" s="5">
        <f>IF($G20=0,0,(Title_RESULTS!$H$19/100*((1+Title_RESULTS!$H$20/100)^($A20-Title_RESULTS!$H$7))*$D20*1000)/1000)</f>
        <v>3.8684409993031394</v>
      </c>
      <c r="G20" s="5">
        <f>(+Title_RESULTS!$H$22/100*((1+Title_RESULTS!$H$23/100)^(+'Sheet4(F_22)'!A20-Title_RESULTS!$H$7)))*'Sheet3(F_21)'!D20</f>
        <v>75.03745690657654</v>
      </c>
      <c r="H20" s="5">
        <f>IF($G20=0,0,(($D20))*(Partcipation!$G20/100))</f>
        <v>55.531812328375544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167.20645898284127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133.44413302918517</v>
      </c>
      <c r="D21" s="5">
        <f>IF((Title_RESULTS!$H$8-Title_RESULTS!$H$7)&lt;=('Sheet3(F_21)'!A21-Title_RESULTS!$H$7),((Title_RESULTS!$C$8*Partcipation!$C$26*8760*Title_RESULTS!$H$21/100000)),0)</f>
        <v>1675.393615708275</v>
      </c>
      <c r="E21" s="5">
        <f>IF($G21=0,0,((Title_RESULTS!$H$14*((1+Title_RESULTS!$H$15/100)^($A21-Title_RESULTS!$H$7))*'EUE_Line Losses'!$B$25*Partcipation!$C$26))/1000)</f>
        <v>13.84021733788007</v>
      </c>
      <c r="F21" s="5">
        <f>IF($G21=0,0,(Title_RESULTS!$H$19/100*((1+Title_RESULTS!$H$20/100)^($A21-Title_RESULTS!$H$7))*$D21*1000)/1000)</f>
        <v>3.961283583286415</v>
      </c>
      <c r="G21" s="5">
        <f>(+Title_RESULTS!$H$22/100*((1+Title_RESULTS!$H$23/100)^(+'Sheet4(F_22)'!A21-Title_RESULTS!$H$7)))*'Sheet3(F_21)'!D21</f>
        <v>78.44415745013512</v>
      </c>
      <c r="H21" s="5">
        <f>IF($G21=0,0,(($D21))*(Partcipation!$G21/100))</f>
        <v>57.73244438648327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171.9573470140035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136.64679222188562</v>
      </c>
      <c r="D22" s="5">
        <f>IF((Title_RESULTS!$H$8-Title_RESULTS!$H$7)&lt;=('Sheet3(F_21)'!A22-Title_RESULTS!$H$7),((Title_RESULTS!$C$8*Partcipation!$C$26*8760*Title_RESULTS!$H$21/100000)),0)</f>
        <v>1675.393615708275</v>
      </c>
      <c r="E22" s="5">
        <f>IF($G22=0,0,((Title_RESULTS!$H$14*((1+Title_RESULTS!$H$15/100)^($A22-Title_RESULTS!$H$7))*'EUE_Line Losses'!$B$25*Partcipation!$C$26))/1000)</f>
        <v>14.172382553989188</v>
      </c>
      <c r="F22" s="5">
        <f>IF($G22=0,0,(Title_RESULTS!$H$19/100*((1+Title_RESULTS!$H$20/100)^($A22-Title_RESULTS!$H$7))*$D22*1000)/1000)</f>
        <v>4.056354389285289</v>
      </c>
      <c r="G22" s="5">
        <f>(+Title_RESULTS!$H$22/100*((1+Title_RESULTS!$H$23/100)^(+'Sheet4(F_22)'!A22-Title_RESULTS!$H$7)))*'Sheet3(F_21)'!D22</f>
        <v>82.00552219837125</v>
      </c>
      <c r="H22" s="5">
        <f>IF($G22=0,0,(($D22))*(Partcipation!$G22/100))</f>
        <v>59.60299622014053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177.27805514339082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139.92631523521086</v>
      </c>
      <c r="D23" s="5">
        <f>IF((Title_RESULTS!$H$8-Title_RESULTS!$H$7)&lt;=('Sheet3(F_21)'!A23-Title_RESULTS!$H$7),((Title_RESULTS!$C$8*Partcipation!$C$26*8760*Title_RESULTS!$H$21/100000)),0)</f>
        <v>1675.393615708275</v>
      </c>
      <c r="E23" s="5">
        <f>IF($G23=0,0,((Title_RESULTS!$H$14*((1+Title_RESULTS!$H$15/100)^($A23-Title_RESULTS!$H$7))*'EUE_Line Losses'!$B$25*Partcipation!$C$26))/1000)</f>
        <v>14.512519735284933</v>
      </c>
      <c r="F23" s="5">
        <f>IF($G23=0,0,(Title_RESULTS!$H$19/100*((1+Title_RESULTS!$H$20/100)^($A23-Title_RESULTS!$H$7))*$D23*1000)/1000)</f>
        <v>4.153706894628136</v>
      </c>
      <c r="G23" s="5">
        <f>(+Title_RESULTS!$H$22/100*((1+Title_RESULTS!$H$23/100)^(+'Sheet4(F_22)'!A23-Title_RESULTS!$H$7)))*'Sheet3(F_21)'!D23</f>
        <v>85.72857290617732</v>
      </c>
      <c r="H23" s="5">
        <f>IF($G23=0,0,(($D23))*(Partcipation!$G23/100))</f>
        <v>62.27080659670924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182.05030817459203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143.28454680085594</v>
      </c>
      <c r="D24" s="5">
        <f>IF((Title_RESULTS!$H$8-Title_RESULTS!$H$7)&lt;=('Sheet3(F_21)'!A24-Title_RESULTS!$H$7),((Title_RESULTS!$C$8*Partcipation!$C$26*8760*Title_RESULTS!$H$21/100000)),0)</f>
        <v>1675.393615708275</v>
      </c>
      <c r="E24" s="5">
        <f>IF($G24=0,0,((Title_RESULTS!$H$14*((1+Title_RESULTS!$H$15/100)^($A24-Title_RESULTS!$H$7))*'EUE_Line Losses'!$B$25*Partcipation!$C$26))/1000)</f>
        <v>14.860820208931768</v>
      </c>
      <c r="F24" s="5">
        <f>IF($G24=0,0,(Title_RESULTS!$H$19/100*((1+Title_RESULTS!$H$20/100)^($A24-Title_RESULTS!$H$7))*$D24*1000)/1000)</f>
        <v>4.253395860099211</v>
      </c>
      <c r="G24" s="5">
        <f>(+Title_RESULTS!$H$22/100*((1+Title_RESULTS!$H$23/100)^(+'Sheet4(F_22)'!A24-Title_RESULTS!$H$7)))*'Sheet3(F_21)'!D24</f>
        <v>89.62065011611779</v>
      </c>
      <c r="H24" s="5">
        <f>IF($G24=0,0,(($D24))*(Partcipation!$G24/100))</f>
        <v>67.0198516828618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184.99956130314288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146.72337592407646</v>
      </c>
      <c r="D25" s="5">
        <f>IF((Title_RESULTS!$H$8-Title_RESULTS!$H$7)&lt;=('Sheet3(F_21)'!A25-Title_RESULTS!$H$7),((Title_RESULTS!$C$8*Partcipation!$C$26*8760*Title_RESULTS!$H$21/100000)),0)</f>
        <v>1675.393615708275</v>
      </c>
      <c r="E25" s="5">
        <f>IF($G25=0,0,((Title_RESULTS!$H$14*((1+Title_RESULTS!$H$15/100)^($A25-Title_RESULTS!$H$7))*'EUE_Line Losses'!$B$25*Partcipation!$C$26))/1000)</f>
        <v>15.217479893946129</v>
      </c>
      <c r="F25" s="5">
        <f>IF($G25=0,0,(Title_RESULTS!$H$19/100*((1+Title_RESULTS!$H$20/100)^($A25-Title_RESULTS!$H$7))*$D25*1000)/1000)</f>
        <v>4.355477360741592</v>
      </c>
      <c r="G25" s="5">
        <f>(+Title_RESULTS!$H$22/100*((1+Title_RESULTS!$H$23/100)^(+'Sheet4(F_22)'!A25-Title_RESULTS!$H$7)))*'Sheet3(F_21)'!D25</f>
        <v>93.68942763138955</v>
      </c>
      <c r="H25" s="5">
        <f>IF($G25=0,0,(($D25))*(Partcipation!$G25/100))</f>
        <v>69.96106167465324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190.0246991355005</v>
      </c>
    </row>
    <row r="26" spans="3:10" ht="12.75">
      <c r="C26" s="5"/>
      <c r="D26" s="5"/>
      <c r="E26" s="5"/>
      <c r="F26" s="5"/>
      <c r="G26" s="5"/>
      <c r="H26" s="5"/>
      <c r="I26" s="5"/>
      <c r="J26" s="5"/>
    </row>
    <row r="27" spans="1:10" ht="12.75">
      <c r="A27" t="s">
        <v>87</v>
      </c>
      <c r="B27" s="9"/>
      <c r="C27" s="9">
        <f aca="true" t="shared" si="1" ref="C27:J27">SUM(C16:C26)</f>
        <v>957.6039417175605</v>
      </c>
      <c r="D27" s="9">
        <f t="shared" si="1"/>
        <v>11727.755309957925</v>
      </c>
      <c r="E27" s="9">
        <f t="shared" si="1"/>
        <v>99.3183167826723</v>
      </c>
      <c r="F27" s="9">
        <f t="shared" si="1"/>
        <v>28.426433500725754</v>
      </c>
      <c r="G27" s="9">
        <f t="shared" si="1"/>
        <v>576.3044909648194</v>
      </c>
      <c r="H27" s="9">
        <f t="shared" si="1"/>
        <v>425.27297277996024</v>
      </c>
      <c r="I27" s="9">
        <f t="shared" si="1"/>
        <v>0</v>
      </c>
      <c r="J27" s="9">
        <f t="shared" si="1"/>
        <v>1236.3802101858175</v>
      </c>
    </row>
    <row r="28" spans="3:10" ht="12.75">
      <c r="C28" s="5"/>
      <c r="D28" s="5"/>
      <c r="E28" s="5"/>
      <c r="F28" s="5"/>
      <c r="G28" s="5"/>
      <c r="H28" s="5"/>
      <c r="I28" s="5"/>
      <c r="J28" s="5"/>
    </row>
    <row r="29" spans="1:10" ht="12.75">
      <c r="A29" t="s">
        <v>89</v>
      </c>
      <c r="C29" s="5">
        <f>NPV(Title_RESULTS!$C$37,C17:C26)+'Sheet3(F_21)'!C16</f>
        <v>637.0603397511503</v>
      </c>
      <c r="D29" s="5"/>
      <c r="E29" s="5">
        <f>NPV(Title_RESULTS!$C$37,E17:E26)+'Sheet3(F_21)'!E16</f>
        <v>66.07299518796593</v>
      </c>
      <c r="F29" s="5">
        <f>NPV(Title_RESULTS!$C$37,F17:F26)+'Sheet3(F_21)'!F16</f>
        <v>18.911109901453468</v>
      </c>
      <c r="G29" s="5">
        <f>NPV(Title_RESULTS!$C$37,G17:G26)+'Sheet3(F_21)'!G16</f>
        <v>381.2338186499663</v>
      </c>
      <c r="H29" s="5">
        <f>NPV(Title_RESULTS!$C$37,H17:H26)+'Sheet3(F_21)'!H16</f>
        <v>281.2274943971469</v>
      </c>
      <c r="I29" s="5">
        <f>NPV(Title_RESULTS!$C$37,I17:I26)+'Sheet3(F_21)'!I16</f>
        <v>0</v>
      </c>
      <c r="J29" s="5">
        <f>NPV(Title_RESULTS!$C$37,J17:J26)+'Sheet3(F_21)'!J16</f>
        <v>822.0507690933889</v>
      </c>
    </row>
    <row r="31" ht="12.75">
      <c r="A31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Variable Speed Pool Pump</v>
      </c>
      <c r="F2" t="s">
        <v>55</v>
      </c>
    </row>
    <row r="3" spans="6:7" ht="12.75">
      <c r="F3" s="35">
        <f>+Title_RESULTS!I4</f>
        <v>43599.320695138886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1703.8502109704643</v>
      </c>
      <c r="C16" s="5">
        <f>$B16*'Sheet2(F_12)'!$E16/100</f>
        <v>49.42374704063328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49.42374704063328</v>
      </c>
      <c r="G16" s="5">
        <f>+$F16*'Sheet2(F_12)'!$I16</f>
        <v>49.42374704063328</v>
      </c>
    </row>
    <row r="17" spans="1:7" ht="12.75">
      <c r="A17">
        <f>+A16+1</f>
        <v>2021</v>
      </c>
      <c r="B17" s="5">
        <f>(+Partcipation!$C16+(Partcipation!$C17-Partcipation!$C16)/2)*Title_RESULTS!$C$10/1000</f>
        <v>5111.550632911393</v>
      </c>
      <c r="C17" s="5">
        <f>$B17*'Sheet2(F_12)'!$E17/100</f>
        <v>147.0652246137025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147.0652246137025</v>
      </c>
      <c r="G17" s="5">
        <f>+$F17*'Sheet2(F_12)'!$I17</f>
        <v>147.0652246137025</v>
      </c>
    </row>
    <row r="18" spans="1:7" ht="12.75">
      <c r="A18">
        <f>+A17+1</f>
        <v>2022</v>
      </c>
      <c r="B18" s="5">
        <f>(+Partcipation!$C17+(Partcipation!$C18-Partcipation!$C17)/2)*Title_RESULTS!$C$10/1000</f>
        <v>8519.251054852322</v>
      </c>
      <c r="C18" s="5">
        <f>$B18*'Sheet2(F_12)'!$E18/100</f>
        <v>252.9685920531248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252.9685920531248</v>
      </c>
      <c r="G18" s="5">
        <f>+$F18*'Sheet2(F_12)'!$I18</f>
        <v>252.9685920531248</v>
      </c>
    </row>
    <row r="19" spans="1:7" ht="12.75">
      <c r="A19">
        <f aca="true" t="shared" si="0" ref="A19:A25">+A18+1</f>
        <v>2023</v>
      </c>
      <c r="B19" s="5">
        <f>(+Partcipation!$C18+(Partcipation!$C19-Partcipation!$C18)/2)*Title_RESULTS!$C$10/1000</f>
        <v>10223.101265822786</v>
      </c>
      <c r="C19" s="5">
        <f>$B19*'Sheet2(F_12)'!$E19/100</f>
        <v>316.01558827283594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25">+C19-E19</f>
        <v>316.01558827283594</v>
      </c>
      <c r="G19" s="5">
        <f>+$F19*'Sheet2(F_12)'!$I19</f>
        <v>316.01558827283594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10223.101265822786</v>
      </c>
      <c r="C20" s="5">
        <f>$B20*'Sheet2(F_12)'!$E20/100</f>
        <v>328.4338097581526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328.4338097581526</v>
      </c>
      <c r="G20" s="5">
        <f>+$F20*'Sheet2(F_12)'!$I20</f>
        <v>328.4338097581526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10223.101265822786</v>
      </c>
      <c r="C21" s="5">
        <f>$B21*'Sheet2(F_12)'!$E21/100</f>
        <v>352.6390316431613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352.6390316431613</v>
      </c>
      <c r="G21" s="5">
        <f>+$F21*'Sheet2(F_12)'!$I21</f>
        <v>352.6390316431613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10223.101265822786</v>
      </c>
      <c r="C22" s="5">
        <f>$B22*'Sheet2(F_12)'!$E22/100</f>
        <v>363.94979619434326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363.94979619434326</v>
      </c>
      <c r="G22" s="5">
        <f>+$F22*'Sheet2(F_12)'!$I22</f>
        <v>363.94979619434326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10223.101265822786</v>
      </c>
      <c r="C23" s="5">
        <f>$B23*'Sheet2(F_12)'!$E23/100</f>
        <v>386.6950294901066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386.6950294901066</v>
      </c>
      <c r="G23" s="5">
        <f>+$F23*'Sheet2(F_12)'!$I23</f>
        <v>386.6950294901066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10223.101265822786</v>
      </c>
      <c r="C24" s="5">
        <f>$B24*'Sheet2(F_12)'!$E24/100</f>
        <v>428.5028102975875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428.5028102975875</v>
      </c>
      <c r="G24" s="5">
        <f>+$F24*'Sheet2(F_12)'!$I24</f>
        <v>428.5028102975875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10223.101265822786</v>
      </c>
      <c r="C25" s="5">
        <f>$B25*'Sheet2(F_12)'!$E25/100</f>
        <v>459.08259999422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459.08259999422</v>
      </c>
      <c r="G25" s="5">
        <f>+$F25*'Sheet2(F_12)'!$I25</f>
        <v>459.08259999422</v>
      </c>
    </row>
    <row r="26" spans="2:7" ht="12.75">
      <c r="B26" s="5"/>
      <c r="C26" s="5"/>
      <c r="D26" s="5"/>
      <c r="E26" s="5"/>
      <c r="F26" s="5"/>
      <c r="G26" s="5"/>
    </row>
    <row r="27" spans="1:7" ht="12.75">
      <c r="A27" t="s">
        <v>87</v>
      </c>
      <c r="B27" s="5">
        <f aca="true" t="shared" si="2" ref="B27:G27">SUM(B16:B26)</f>
        <v>86896.36075949368</v>
      </c>
      <c r="C27" s="5">
        <f t="shared" si="2"/>
        <v>3084.7762293578676</v>
      </c>
      <c r="D27" s="5">
        <f t="shared" si="2"/>
        <v>0</v>
      </c>
      <c r="E27" s="5">
        <f t="shared" si="2"/>
        <v>0</v>
      </c>
      <c r="F27" s="5">
        <f t="shared" si="2"/>
        <v>3084.7762293578676</v>
      </c>
      <c r="G27" s="5">
        <f t="shared" si="2"/>
        <v>3084.7762293578676</v>
      </c>
    </row>
    <row r="28" spans="2:7" ht="12.75">
      <c r="B28" s="5"/>
      <c r="C28" s="5"/>
      <c r="D28" s="5"/>
      <c r="E28" s="5"/>
      <c r="F28" s="5"/>
      <c r="G28" s="5"/>
    </row>
    <row r="29" spans="1:7" ht="12.75">
      <c r="A29" t="s">
        <v>118</v>
      </c>
      <c r="B29" s="5"/>
      <c r="C29" s="5">
        <f>NPV(+Title_RESULTS!$C$37,C17:C26)+C16</f>
        <v>2142.0044620295425</v>
      </c>
      <c r="D29" s="5"/>
      <c r="E29" s="5">
        <f>NPV(+Title_RESULTS!$C$37,E17:E26)+E16</f>
        <v>0</v>
      </c>
      <c r="F29" s="5">
        <f>NPV(+Title_RESULTS!$C$37,F17:F26)+F16</f>
        <v>2142.0044620295425</v>
      </c>
      <c r="G29" s="5">
        <f>NPV(+Title_RESULTS!$C$37,G17:G26)+G16</f>
        <v>2142.0044620295425</v>
      </c>
    </row>
    <row r="30" spans="6:7" ht="12.75">
      <c r="F30" s="9"/>
      <c r="G30" s="9"/>
    </row>
    <row r="31" ht="12.75">
      <c r="A31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Variable Speed Pool Pump</v>
      </c>
      <c r="J2" t="s">
        <v>42</v>
      </c>
    </row>
    <row r="3" spans="9:10" ht="12.75">
      <c r="I3" s="4"/>
      <c r="J3" s="35">
        <f>+Title_RESULTS!I4</f>
        <v>43599.320695138886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25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2:14" ht="15">
      <c r="B26" s="28"/>
      <c r="C26" s="28"/>
      <c r="D26" s="10"/>
      <c r="E26" s="10"/>
      <c r="N26" s="64"/>
    </row>
    <row r="27" spans="2:14" ht="15">
      <c r="B27" s="28"/>
      <c r="C27" s="28"/>
      <c r="D27" s="10"/>
      <c r="E27" s="10"/>
      <c r="N27" s="64"/>
    </row>
    <row r="28" spans="2:14" ht="15">
      <c r="B28" s="28"/>
      <c r="C28" s="28"/>
      <c r="D28" s="10"/>
      <c r="E28" s="10"/>
      <c r="N28" s="64"/>
    </row>
    <row r="29" spans="2:14" ht="15">
      <c r="B29" s="28"/>
      <c r="C29" s="28"/>
      <c r="D29" s="10"/>
      <c r="E29" s="10"/>
      <c r="N29" s="64"/>
    </row>
    <row r="30" spans="2:14" ht="15">
      <c r="B30" s="28"/>
      <c r="C30" s="28"/>
      <c r="D30" s="10"/>
      <c r="E30" s="10"/>
      <c r="N30" s="64"/>
    </row>
    <row r="31" spans="2:5" ht="12.75">
      <c r="B31" s="28"/>
      <c r="C31" s="28"/>
      <c r="D31" s="10"/>
      <c r="E31" s="10"/>
    </row>
    <row r="32" spans="2:5" ht="12.75">
      <c r="B32" s="28"/>
      <c r="C32" s="28"/>
      <c r="D32" s="10"/>
      <c r="E32" s="10"/>
    </row>
    <row r="33" spans="2:5" ht="12.75">
      <c r="B33" s="28"/>
      <c r="C33" s="28"/>
      <c r="D33" s="10"/>
      <c r="E33" s="10"/>
    </row>
    <row r="34" spans="2:5" ht="12.75">
      <c r="B34" s="28"/>
      <c r="C34" s="28"/>
      <c r="D34" s="10"/>
      <c r="E34" s="10"/>
    </row>
    <row r="35" spans="2:5" ht="12.75">
      <c r="B35" s="28"/>
      <c r="C35" s="28"/>
      <c r="D35" s="10"/>
      <c r="E35" s="10"/>
    </row>
    <row r="36" spans="2:5" ht="12.75">
      <c r="B36" s="28"/>
      <c r="C36" s="28"/>
      <c r="D36" s="10"/>
      <c r="E36" s="10"/>
    </row>
    <row r="37" spans="2:5" ht="12.75">
      <c r="B37" s="28"/>
      <c r="C37" s="28"/>
      <c r="D37" s="10"/>
      <c r="E37" s="10"/>
    </row>
    <row r="38" spans="2:5" ht="12.75">
      <c r="B38" s="28"/>
      <c r="C38" s="28"/>
      <c r="D38" s="10"/>
      <c r="E38" s="10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Variable Speed Pool Pump</v>
      </c>
      <c r="H2" t="s">
        <v>108</v>
      </c>
    </row>
    <row r="3" ht="12.75">
      <c r="H3" s="35">
        <f>+Title_RESULTS!I4</f>
        <v>43599.320695138886</v>
      </c>
    </row>
    <row r="5" spans="3:6" ht="12.75">
      <c r="C5" t="s">
        <v>60</v>
      </c>
      <c r="F5" s="38">
        <f>+'Value of Defferal'!L4</f>
        <v>75.1204352</v>
      </c>
    </row>
    <row r="6" spans="3:6" ht="12.75">
      <c r="C6" t="s">
        <v>62</v>
      </c>
      <c r="F6" s="38">
        <f>+'Value of Defferal'!L5</f>
        <v>192.31088640000002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49.42374704063328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7.423574450481946</v>
      </c>
      <c r="C17" s="5">
        <f>IF(+Title_RESULTS!$H$9&lt;='Sheet4(F_22)'!$A17,(+Title_RESULTS!$H$16*((1+Title_RESULTS!$H$18/100)^('Sheet4(F_22)'!$A17-Title_RESULTS!$H$7))*Title_RESULTS!$C$8*Partcipation!$C$26/1000),0)</f>
        <v>5.982960150671209</v>
      </c>
      <c r="D17" s="5">
        <f>(+B17+C17)*+Partcipation!$H17</f>
        <v>13.406534601153155</v>
      </c>
      <c r="E17" s="5">
        <f>VLOOKUP(A17,'Value of Defferal'!$I24:$P$58,'Value of Defferal'!$K$13)</f>
        <v>19.00460479265935</v>
      </c>
      <c r="F17" s="5">
        <f>IF(+'Value of Defferal'!P24=0,0,Title_RESULTS!$H$17*Title_RESULTS!$C$7*Partcipation!$C$26*(1+Title_RESULTS!$H$18/100)^('Sheet4(F_22)'!A17-Title_RESULTS!$H$7))/1000</f>
        <v>26.475724799999995</v>
      </c>
      <c r="G17" s="5">
        <f>(+E17+F17)*Partcipation!$H17</f>
        <v>45.480329592659345</v>
      </c>
      <c r="H17" s="5">
        <f>+'Sheet5(p_5)'!$F17*'Sheet2(F_12)'!$I17</f>
        <v>147.0652246137025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7.601740237293513</v>
      </c>
      <c r="C18" s="5">
        <f>IF(+Title_RESULTS!$H$9&lt;='Sheet4(F_22)'!$A18,(+Title_RESULTS!$H$16*((1+Title_RESULTS!$H$18/100)^('Sheet4(F_22)'!$A18-Title_RESULTS!$H$7))*Title_RESULTS!$C$8*Partcipation!$C$26/1000),0)</f>
        <v>6.126551194287317</v>
      </c>
      <c r="D18" s="5">
        <f>(+B18+C18)*+Partcipation!$H18</f>
        <v>13.72829143158083</v>
      </c>
      <c r="E18" s="5">
        <f>VLOOKUP(A18,'Value of Defferal'!$I25:$P$58,'Value of Defferal'!$K$13)</f>
        <v>19.460715307683174</v>
      </c>
      <c r="F18" s="5">
        <f>IF(+'Value of Defferal'!P25=0,0,Title_RESULTS!$H$17*Title_RESULTS!$C$7*Partcipation!$C$26*(1+Title_RESULTS!$H$18/100)^('Sheet4(F_22)'!A18-Title_RESULTS!$H$7))/1000</f>
        <v>27.111142195199996</v>
      </c>
      <c r="G18" s="5">
        <f>(+E18+F18)*Partcipation!$H18</f>
        <v>46.57185750288317</v>
      </c>
      <c r="H18" s="5">
        <f>+'Sheet5(p_5)'!$F18*'Sheet2(F_12)'!$I18</f>
        <v>252.9685920531248</v>
      </c>
      <c r="I18" s="5"/>
      <c r="J18" s="5"/>
    </row>
    <row r="19" spans="1:10" ht="12.75">
      <c r="A19">
        <f aca="true" t="shared" si="0" ref="A19:A25">+A18+1</f>
        <v>2023</v>
      </c>
      <c r="B19" s="5">
        <f>VLOOKUP(A19,'Value of Defferal'!$I26:$P$58,'Value of Defferal'!$K$9)</f>
        <v>7.784182002988557</v>
      </c>
      <c r="C19" s="5">
        <f>IF(+Title_RESULTS!$H$9&lt;='Sheet4(F_22)'!$A19,(+Title_RESULTS!$H$16*((1+Title_RESULTS!$H$18/100)^('Sheet4(F_22)'!$A19-Title_RESULTS!$H$7))*Title_RESULTS!$C$8*Partcipation!$C$26/1000),0)</f>
        <v>6.273588422950214</v>
      </c>
      <c r="D19" s="5">
        <f>(+B19+C19)*+Partcipation!$H19</f>
        <v>14.05777042593877</v>
      </c>
      <c r="E19" s="5">
        <f>VLOOKUP(A19,'Value of Defferal'!$I26:$P$58,'Value of Defferal'!$K$13)</f>
        <v>19.92777247506757</v>
      </c>
      <c r="F19" s="5">
        <f>IF(+'Value of Defferal'!P26=0,0,Title_RESULTS!$H$17*Title_RESULTS!$C$7*Partcipation!$C$26*(1+Title_RESULTS!$H$18/100)^('Sheet4(F_22)'!A19-Title_RESULTS!$H$7))/1000</f>
        <v>27.7618096078848</v>
      </c>
      <c r="G19" s="5">
        <f>(+E19+F19)*Partcipation!$H19</f>
        <v>47.68958208295237</v>
      </c>
      <c r="H19" s="5">
        <f>+'Sheet5(p_5)'!$F19*'Sheet2(F_12)'!$I19</f>
        <v>316.01558827283594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7.971002371060282</v>
      </c>
      <c r="C20" s="5">
        <f>IF(+Title_RESULTS!$H$9&lt;='Sheet4(F_22)'!$A20,(+Title_RESULTS!$H$16*((1+Title_RESULTS!$H$18/100)^('Sheet4(F_22)'!$A20-Title_RESULTS!$H$7))*Title_RESULTS!$C$8*Partcipation!$C$26/1000),0)</f>
        <v>6.424154545101018</v>
      </c>
      <c r="D20" s="5">
        <f>(+B20+C20)*+Partcipation!$H20</f>
        <v>14.395156916161302</v>
      </c>
      <c r="E20" s="5">
        <f>VLOOKUP(A20,'Value of Defferal'!$I27:$P$58,'Value of Defferal'!$K$13)</f>
        <v>20.40603901446919</v>
      </c>
      <c r="F20" s="5">
        <f>IF(+'Value of Defferal'!P27=0,0,Title_RESULTS!$H$17*Title_RESULTS!$C$7*Partcipation!$C$26*(1+Title_RESULTS!$H$18/100)^('Sheet4(F_22)'!A20-Title_RESULTS!$H$7))/1000</f>
        <v>28.42809303847403</v>
      </c>
      <c r="G20" s="5">
        <f>(+E20+F20)*Partcipation!$H20</f>
        <v>48.83413205294322</v>
      </c>
      <c r="H20" s="5">
        <f>+'Sheet5(p_5)'!$F20*'Sheet2(F_12)'!$I20</f>
        <v>328.4338097581526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8.16230642796573</v>
      </c>
      <c r="C21" s="5">
        <f>IF(+Title_RESULTS!$H$9&lt;='Sheet4(F_22)'!$A21,(+Title_RESULTS!$H$16*((1+Title_RESULTS!$H$18/100)^('Sheet4(F_22)'!$A21-Title_RESULTS!$H$7))*Title_RESULTS!$C$8*Partcipation!$C$26/1000),0)</f>
        <v>6.578334254183444</v>
      </c>
      <c r="D21" s="5">
        <f>(+B21+C21)*+Partcipation!$H21</f>
        <v>14.740640682149174</v>
      </c>
      <c r="E21" s="5">
        <f>VLOOKUP(A21,'Value of Defferal'!$I28:$P$58,'Value of Defferal'!$K$13)</f>
        <v>20.89578395081645</v>
      </c>
      <c r="F21" s="5">
        <f>IF(+'Value of Defferal'!P28=0,0,Title_RESULTS!$H$17*Title_RESULTS!$C$7*Partcipation!$C$26*(1+Title_RESULTS!$H$18/100)^('Sheet4(F_22)'!A21-Title_RESULTS!$H$7))/1000</f>
        <v>29.11036727139741</v>
      </c>
      <c r="G21" s="5">
        <f>(+E21+F21)*Partcipation!$H21</f>
        <v>50.00615122221386</v>
      </c>
      <c r="H21" s="5">
        <f>+'Sheet5(p_5)'!$F21*'Sheet2(F_12)'!$I21</f>
        <v>352.6390316431613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8.358201782236907</v>
      </c>
      <c r="C22" s="5">
        <f>IF(+Title_RESULTS!$H$9&lt;='Sheet4(F_22)'!$A22,(+Title_RESULTS!$H$16*((1+Title_RESULTS!$H$18/100)^('Sheet4(F_22)'!$A22-Title_RESULTS!$H$7))*Title_RESULTS!$C$8*Partcipation!$C$26/1000),0)</f>
        <v>6.736214276283845</v>
      </c>
      <c r="D22" s="5">
        <f>(+B22+C22)*+Partcipation!$H22</f>
        <v>15.094416058520753</v>
      </c>
      <c r="E22" s="5">
        <f>VLOOKUP(A22,'Value of Defferal'!$I29:$P$58,'Value of Defferal'!$K$13)</f>
        <v>21.397282765636046</v>
      </c>
      <c r="F22" s="5">
        <f>IF(+'Value of Defferal'!P29=0,0,Title_RESULTS!$H$17*Title_RESULTS!$C$7*Partcipation!$C$26*(1+Title_RESULTS!$H$18/100)^('Sheet4(F_22)'!A22-Title_RESULTS!$H$7))/1000</f>
        <v>29.80901608591094</v>
      </c>
      <c r="G22" s="5">
        <f>(+E22+F22)*Partcipation!$H22</f>
        <v>51.20629885154699</v>
      </c>
      <c r="H22" s="5">
        <f>+'Sheet5(p_5)'!$F22*'Sheet2(F_12)'!$I22</f>
        <v>363.94979619434326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8.558798625010592</v>
      </c>
      <c r="C23" s="5">
        <f>IF(+Title_RESULTS!$H$9&lt;='Sheet4(F_22)'!$A23,(+Title_RESULTS!$H$16*((1+Title_RESULTS!$H$18/100)^('Sheet4(F_22)'!$A23-Title_RESULTS!$H$7))*Title_RESULTS!$C$8*Partcipation!$C$26/1000),0)</f>
        <v>6.897883418914658</v>
      </c>
      <c r="D23" s="5">
        <f>(+B23+C23)*+Partcipation!$H23</f>
        <v>15.45668204392525</v>
      </c>
      <c r="E23" s="5">
        <f>VLOOKUP(A23,'Value of Defferal'!$I30:$P$58,'Value of Defferal'!$K$13)</f>
        <v>21.910817552011313</v>
      </c>
      <c r="F23" s="5">
        <f>IF(+'Value of Defferal'!P30=0,0,Title_RESULTS!$H$17*Title_RESULTS!$C$7*Partcipation!$C$26*(1+Title_RESULTS!$H$18/100)^('Sheet4(F_22)'!A23-Title_RESULTS!$H$7))/1000</f>
        <v>30.524432471972816</v>
      </c>
      <c r="G23" s="5">
        <f>(+E23+F23)*Partcipation!$H23</f>
        <v>52.435250023984125</v>
      </c>
      <c r="H23" s="5">
        <f>+'Sheet5(p_5)'!$F23*'Sheet2(F_12)'!$I23</f>
        <v>386.6950294901066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8.764209792010847</v>
      </c>
      <c r="C24" s="5">
        <f>IF(+Title_RESULTS!$H$9&lt;='Sheet4(F_22)'!$A24,(+Title_RESULTS!$H$16*((1+Title_RESULTS!$H$18/100)^('Sheet4(F_22)'!$A24-Title_RESULTS!$H$7))*Title_RESULTS!$C$8*Partcipation!$C$26/1000),0)</f>
        <v>7.063432620968608</v>
      </c>
      <c r="D24" s="5">
        <f>(+B24+C24)*+Partcipation!$H24</f>
        <v>15.827642412979454</v>
      </c>
      <c r="E24" s="5">
        <f>VLOOKUP(A24,'Value of Defferal'!$I31:$P$58,'Value of Defferal'!$K$13)</f>
        <v>22.436677173259582</v>
      </c>
      <c r="F24" s="5">
        <f>IF(+'Value of Defferal'!P31=0,0,Title_RESULTS!$H$17*Title_RESULTS!$C$7*Partcipation!$C$26*(1+Title_RESULTS!$H$18/100)^('Sheet4(F_22)'!A24-Title_RESULTS!$H$7))/1000</f>
        <v>31.257018851300156</v>
      </c>
      <c r="G24" s="5">
        <f>(+E24+F24)*Partcipation!$H24</f>
        <v>53.69369602455974</v>
      </c>
      <c r="H24" s="5">
        <f>+'Sheet5(p_5)'!$F24*'Sheet2(F_12)'!$I24</f>
        <v>428.5028102975875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8.974550827019108</v>
      </c>
      <c r="C25" s="5">
        <f>IF(+Title_RESULTS!$H$9&lt;='Sheet4(F_22)'!$A25,(+Title_RESULTS!$H$16*((1+Title_RESULTS!$H$18/100)^('Sheet4(F_22)'!$A25-Title_RESULTS!$H$7))*Title_RESULTS!$C$8*Partcipation!$C$26/1000),0)</f>
        <v>7.232955003871855</v>
      </c>
      <c r="D25" s="5">
        <f>(+B25+C25)*+Partcipation!$H25</f>
        <v>16.207505830890963</v>
      </c>
      <c r="E25" s="5">
        <f>VLOOKUP(A25,'Value of Defferal'!$I32:$P$58,'Value of Defferal'!$K$13)</f>
        <v>22.975157425417816</v>
      </c>
      <c r="F25" s="5">
        <f>IF(+'Value of Defferal'!P32=0,0,Title_RESULTS!$H$17*Title_RESULTS!$C$7*Partcipation!$C$26*(1+Title_RESULTS!$H$18/100)^('Sheet4(F_22)'!A25-Title_RESULTS!$H$7))/1000</f>
        <v>32.00718730373136</v>
      </c>
      <c r="G25" s="5">
        <f>(+E25+F25)*Partcipation!$H25</f>
        <v>54.982344729149176</v>
      </c>
      <c r="H25" s="5">
        <f>+'Sheet5(p_5)'!$F25*'Sheet2(F_12)'!$I25</f>
        <v>459.08259999422</v>
      </c>
      <c r="I25" s="5"/>
      <c r="J25" s="5"/>
    </row>
    <row r="26" spans="2:10" ht="12.75"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t="s">
        <v>88</v>
      </c>
      <c r="B27" s="5">
        <f aca="true" t="shared" si="1" ref="B27:H27">SUM(B16:B26)</f>
        <v>73.59856651606748</v>
      </c>
      <c r="C27" s="5">
        <f t="shared" si="1"/>
        <v>59.31607388723217</v>
      </c>
      <c r="D27" s="5">
        <f t="shared" si="1"/>
        <v>132.91464040329964</v>
      </c>
      <c r="E27" s="5">
        <f t="shared" si="1"/>
        <v>188.41485045702052</v>
      </c>
      <c r="F27" s="5">
        <f t="shared" si="1"/>
        <v>262.4847916258715</v>
      </c>
      <c r="G27" s="5">
        <f t="shared" si="1"/>
        <v>450.899642082892</v>
      </c>
      <c r="H27" s="5">
        <f t="shared" si="1"/>
        <v>3084.7762293578676</v>
      </c>
      <c r="I27" s="5"/>
      <c r="J27" s="5"/>
    </row>
    <row r="28" spans="2:10" ht="12.75"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t="s">
        <v>90</v>
      </c>
      <c r="B29" s="5">
        <f>NPV(Title_RESULTS!$C$37,'Sheet4(F_22)'!B17:B26)+'Sheet4(F_22)'!B16</f>
        <v>52.52920521785929</v>
      </c>
      <c r="C29" s="5">
        <f>NPV(Title_RESULTS!$C$37,'Sheet4(F_22)'!C17:C26)+'Sheet4(F_22)'!C16</f>
        <v>42.33541990603716</v>
      </c>
      <c r="D29" s="5">
        <f>NPV(Title_RESULTS!$C$37,'Sheet4(F_22)'!D17:D26)+'Sheet4(F_22)'!D16</f>
        <v>94.86462512389645</v>
      </c>
      <c r="E29" s="5">
        <f>NPV(Title_RESULTS!$C$37,'Sheet4(F_22)'!E17:E26)+'Sheet4(F_22)'!E16</f>
        <v>134.47656407259507</v>
      </c>
      <c r="F29" s="5">
        <f>NPV(Title_RESULTS!$C$37,'Sheet4(F_22)'!F17:F26)+'Sheet4(F_22)'!F16</f>
        <v>187.34220160215105</v>
      </c>
      <c r="G29" s="5">
        <f>NPV(Title_RESULTS!$C$37,'Sheet4(F_22)'!G17:G26)+'Sheet4(F_22)'!G16</f>
        <v>321.8187656747461</v>
      </c>
      <c r="H29" s="5">
        <f>NPV(Title_RESULTS!$C$37,'Sheet4(F_22)'!H17:H26)+'Sheet4(F_22)'!H16</f>
        <v>2142.0044620295425</v>
      </c>
      <c r="I29" s="5"/>
      <c r="J29" s="5"/>
    </row>
    <row r="30" spans="2:10" ht="12.75">
      <c r="B30" s="5"/>
      <c r="C30" s="5"/>
      <c r="D30" s="5"/>
      <c r="E30" s="5"/>
      <c r="F30" s="5"/>
      <c r="G30" s="5"/>
      <c r="H30" s="5"/>
      <c r="I30" s="5"/>
      <c r="J30" s="5"/>
    </row>
    <row r="31" ht="12.75">
      <c r="A31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Variable Speed Pool Pump</v>
      </c>
      <c r="P2" t="s">
        <v>121</v>
      </c>
    </row>
    <row r="3" ht="12.75">
      <c r="P3" s="35">
        <f>+Title_RESULTS!I4</f>
        <v>43599.320695138886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40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40</v>
      </c>
      <c r="E16" s="5">
        <f>IF(+'Sheet9(F_25)'!$A16&gt;=Title_RESULTS!$H$8,0,((Partcipation!$B16-Partcipation!$B15)*(Title_RESULTS!$C$39*((1+Title_RESULTS!$C$41/100)^('Sheet9(F_25)'!$A16-Title_RESULTS!$H$7)))/1000))</f>
        <v>672.61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672.61</v>
      </c>
      <c r="H16" s="5">
        <f>IF(Partcipation!$B17&lt;Partcipation!$B16,0,IF(Partcipation!$B16=0,0,(Partcipation!$B16-Partcipation!$B15)*(+Title_RESULTS!$C$29*(1+Title_RESULTS!$C$30/100)^(+'Sheet8(F_24)'!$A16-Title_RESULTS!$H$7))/1000))</f>
        <v>1085.01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1085.01</v>
      </c>
      <c r="K16" s="5">
        <f>(+Partcipation!$B15+(Partcipation!$B16-Partcipation!$B15)/2)*(+Title_RESULTS!$C$14)/1000</f>
        <v>1615.25</v>
      </c>
      <c r="L16" s="5">
        <f>($K16)*Partcipation!$E73*Title_RESULTS!$C$12/100</f>
        <v>39.32507907757504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75.37336499999999</v>
      </c>
      <c r="N16" s="5">
        <f>'Sheet2(F_12)'!$I16*('Sheet6(p_6)'!$L16+'Sheet6(p_6)'!$M16)</f>
        <v>114.69844407757503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40.96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40.96</v>
      </c>
      <c r="E17" s="5">
        <f>IF(+'Sheet9(F_25)'!$A17&gt;=Title_RESULTS!$H$8,0,((Partcipation!$B17-Partcipation!$B16)*(Title_RESULTS!$C$39*((1+Title_RESULTS!$C$41/100)^('Sheet9(F_25)'!$A17-Title_RESULTS!$H$7)))/1000))</f>
        <v>672.61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672.61</v>
      </c>
      <c r="H17" s="5">
        <f>IF(Partcipation!$B18&lt;Partcipation!$B17,0,IF(Partcipation!$B17=0,0,(Partcipation!$B17-Partcipation!$B16)*(+Title_RESULTS!$C$29*(1+Title_RESULTS!$C$30/100)^(+'Sheet8(F_24)'!$A17-Title_RESULTS!$H$7))/1000))</f>
        <v>1109.9652299999998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1109.9652299999998</v>
      </c>
      <c r="K17" s="5">
        <f>(+Partcipation!$B16+(Partcipation!$B17-Partcipation!$B16)/2)*(+Title_RESULTS!$C$14)/1000</f>
        <v>4845.75</v>
      </c>
      <c r="L17" s="5">
        <f>($K17)*Partcipation!$E74*Title_RESULTS!$C$12/100</f>
        <v>123.5900897747244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228.38129594999998</v>
      </c>
      <c r="N17" s="5">
        <f>'Sheet2(F_12)'!$I17*('Sheet6(p_6)'!$L17+'Sheet6(p_6)'!$M17)</f>
        <v>351.97138572472437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41.943039999999996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41.943039999999996</v>
      </c>
      <c r="E18" s="5">
        <f>IF(+'Sheet9(F_25)'!$A18&gt;=Title_RESULTS!$H$8,0,((Partcipation!$B18-Partcipation!$B17)*(Title_RESULTS!$C$39*((1+Title_RESULTS!$C$41/100)^('Sheet9(F_25)'!$A18-Title_RESULTS!$H$7)))/1000))</f>
        <v>672.61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672.61</v>
      </c>
      <c r="H18" s="5">
        <f>IF(Partcipation!$B19&lt;Partcipation!$B18,0,IF(Partcipation!$B18=0,0,(Partcipation!$B18-Partcipation!$B17)*(+Title_RESULTS!$C$29*(1+Title_RESULTS!$C$30/100)^(+'Sheet8(F_24)'!$A18-Title_RESULTS!$H$7))/1000))</f>
        <v>1135.4944302899999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1135.4944302899999</v>
      </c>
      <c r="K18" s="5">
        <f>(+Partcipation!$B17+(Partcipation!$B18-Partcipation!$B17)/2)*(+Title_RESULTS!$C$14)/1000</f>
        <v>8076.25</v>
      </c>
      <c r="L18" s="5">
        <f>($K18)*Partcipation!$E75*Title_RESULTS!$C$12/100</f>
        <v>213.57096449065597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384.44184818249994</v>
      </c>
      <c r="N18" s="5">
        <f>'Sheet2(F_12)'!$I18*('Sheet6(p_6)'!$L18+'Sheet6(p_6)'!$M18)</f>
        <v>598.0128126731558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25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25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25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25">SUM(H19:I19)</f>
        <v>0</v>
      </c>
      <c r="K19" s="5">
        <f>(+Partcipation!$B18+(Partcipation!$B19-Partcipation!$B18)/2)*(+Title_RESULTS!$C$14)/1000</f>
        <v>9691.5</v>
      </c>
      <c r="L19" s="5">
        <f>($K19)*Partcipation!$E76*Title_RESULTS!$C$12/100</f>
        <v>254.18428839253815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465.9435199971899</v>
      </c>
      <c r="N19" s="5">
        <f>'Sheet2(F_12)'!$I19*('Sheet6(p_6)'!$L19+'Sheet6(p_6)'!$M19)</f>
        <v>720.1278083897281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9691.5</v>
      </c>
      <c r="L20" s="5">
        <f>($K20)*Partcipation!$E77*Title_RESULTS!$C$12/100</f>
        <v>268.6015535015474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470.6029551971618</v>
      </c>
      <c r="N20" s="5">
        <f>'Sheet2(F_12)'!$I20*('Sheet6(p_6)'!$L20+'Sheet6(p_6)'!$M20)</f>
        <v>739.2045086987092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9691.5</v>
      </c>
      <c r="L21" s="5">
        <f>($K21)*Partcipation!$E78*Title_RESULTS!$C$12/100</f>
        <v>284.0189272951821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475.3089847491334</v>
      </c>
      <c r="N21" s="5">
        <f>'Sheet2(F_12)'!$I21*('Sheet6(p_6)'!$L21+'Sheet6(p_6)'!$M21)</f>
        <v>759.3279120443156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9691.5</v>
      </c>
      <c r="L22" s="5">
        <f>($K22)*Partcipation!$E79*Title_RESULTS!$C$12/100</f>
        <v>296.86060635219104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480.0620745966249</v>
      </c>
      <c r="N22" s="5">
        <f>'Sheet2(F_12)'!$I22*('Sheet6(p_6)'!$L22+'Sheet6(p_6)'!$M22)</f>
        <v>776.9226809488159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9691.5</v>
      </c>
      <c r="L23" s="5">
        <f>($K23)*Partcipation!$E80*Title_RESULTS!$C$12/100</f>
        <v>314.3400461934367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484.862695342591</v>
      </c>
      <c r="N23" s="5">
        <f>'Sheet2(F_12)'!$I23*('Sheet6(p_6)'!$L23+'Sheet6(p_6)'!$M23)</f>
        <v>799.2027415360277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9691.5</v>
      </c>
      <c r="L24" s="5">
        <f>($K24)*Partcipation!$E81*Title_RESULTS!$C$12/100</f>
        <v>344.1065118986877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489.71132229601704</v>
      </c>
      <c r="N24" s="5">
        <f>'Sheet2(F_12)'!$I24*('Sheet6(p_6)'!$L24+'Sheet6(p_6)'!$M24)</f>
        <v>833.8178341947048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9691.5</v>
      </c>
      <c r="L25" s="5">
        <f>($K25)*Partcipation!$E82*Title_RESULTS!$C$12/100</f>
        <v>361.6379638423513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494.6084355189772</v>
      </c>
      <c r="N25" s="5">
        <f>'Sheet2(F_12)'!$I25*('Sheet6(p_6)'!$L25+'Sheet6(p_6)'!$M25)</f>
        <v>856.2463993613285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2:18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2.75">
      <c r="A27" t="s">
        <v>87</v>
      </c>
      <c r="B27" s="5">
        <f aca="true" t="shared" si="4" ref="B27:R27">SUM(B16:B26)</f>
        <v>122.90304</v>
      </c>
      <c r="C27" s="5">
        <f t="shared" si="4"/>
        <v>0</v>
      </c>
      <c r="D27" s="5">
        <f t="shared" si="4"/>
        <v>122.90304</v>
      </c>
      <c r="E27" s="5">
        <f t="shared" si="4"/>
        <v>2017.83</v>
      </c>
      <c r="F27" s="5">
        <f t="shared" si="4"/>
        <v>0</v>
      </c>
      <c r="G27" s="5">
        <f t="shared" si="4"/>
        <v>2017.83</v>
      </c>
      <c r="H27" s="5">
        <f t="shared" si="4"/>
        <v>3330.46966029</v>
      </c>
      <c r="I27" s="5">
        <f t="shared" si="4"/>
        <v>0</v>
      </c>
      <c r="J27" s="5">
        <f t="shared" si="4"/>
        <v>3330.46966029</v>
      </c>
      <c r="K27" s="5">
        <f t="shared" si="4"/>
        <v>82377.75</v>
      </c>
      <c r="L27" s="5">
        <f t="shared" si="4"/>
        <v>2500.23603081889</v>
      </c>
      <c r="M27" s="5">
        <f t="shared" si="4"/>
        <v>4049.296496830195</v>
      </c>
      <c r="N27" s="5">
        <f t="shared" si="4"/>
        <v>6549.532527649085</v>
      </c>
      <c r="O27" s="5">
        <f t="shared" si="4"/>
        <v>0</v>
      </c>
      <c r="P27" s="5">
        <f t="shared" si="4"/>
        <v>0</v>
      </c>
      <c r="Q27" s="5">
        <f t="shared" si="4"/>
        <v>0</v>
      </c>
      <c r="R27" s="5">
        <f t="shared" si="4"/>
        <v>0</v>
      </c>
    </row>
    <row r="28" spans="2:18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2.75">
      <c r="A29" t="s">
        <v>89</v>
      </c>
      <c r="B29" s="5">
        <f>NPV(Title_RESULTS!$C$37,'Sheet6(p_6)'!B17:B26)+'Sheet6(p_6)'!B16</f>
        <v>114.83173044385765</v>
      </c>
      <c r="C29" s="5">
        <f>NPV(Title_RESULTS!$C$37,'Sheet6(p_6)'!C17:C26)+'Sheet6(p_6)'!C16</f>
        <v>0</v>
      </c>
      <c r="D29" s="5">
        <f>NPV(Title_RESULTS!$C$37,'Sheet6(p_6)'!D17:D26)+'Sheet6(p_6)'!D16</f>
        <v>114.83173044385765</v>
      </c>
      <c r="E29" s="5">
        <f>NPV(Title_RESULTS!$C$37,'Sheet6(p_6)'!E17:E26)+'Sheet6(p_6)'!E16</f>
        <v>1887.3539679367218</v>
      </c>
      <c r="F29" s="5">
        <f>NPV(Title_RESULTS!$C$37,'Sheet6(p_6)'!F17:F26)+'Sheet6(p_6)'!F16</f>
        <v>0</v>
      </c>
      <c r="G29" s="5">
        <f>NPV(Title_RESULTS!$C$37,'Sheet6(p_6)'!G17:G26)+'Sheet6(p_6)'!G16</f>
        <v>1887.3539679367218</v>
      </c>
      <c r="H29" s="5">
        <f>NPV(Title_RESULTS!$C$37,'Sheet6(p_6)'!H17:H26)+'Sheet6(p_6)'!H16</f>
        <v>3111.8891024089876</v>
      </c>
      <c r="I29" s="5">
        <f>NPV(Title_RESULTS!$C$37,'Sheet6(p_6)'!I17:I26)+'Sheet6(p_6)'!I16</f>
        <v>0</v>
      </c>
      <c r="J29" s="5">
        <f>NPV(Title_RESULTS!$C$37,'Sheet6(p_6)'!J17:J26)+'Sheet6(p_6)'!J16</f>
        <v>3111.8891024089876</v>
      </c>
      <c r="K29" s="5"/>
      <c r="L29" s="5">
        <f>NPV(Title_RESULTS!$C$37,'Sheet6(p_6)'!L17:L26)+'Sheet6(p_6)'!L16</f>
        <v>1740.207923054176</v>
      </c>
      <c r="M29" s="5">
        <f>NPV(Title_RESULTS!$C$37,'Sheet6(p_6)'!M17:M26)+'Sheet6(p_6)'!M16</f>
        <v>2868.384779885292</v>
      </c>
      <c r="N29" s="5">
        <f>NPV(Title_RESULTS!$C$37,'Sheet6(p_6)'!N17:N26)+'Sheet6(p_6)'!N16</f>
        <v>4608.592702939468</v>
      </c>
      <c r="O29" s="5"/>
      <c r="P29" s="5">
        <f>NPV(Title_RESULTS!$C$37,'Sheet6(p_6)'!P17:P26)+'Sheet6(p_6)'!P16</f>
        <v>0</v>
      </c>
      <c r="Q29" s="5">
        <f>NPV(Title_RESULTS!$C$37,'Sheet6(p_6)'!Q17:Q26)+'Sheet6(p_6)'!Q16</f>
        <v>0</v>
      </c>
      <c r="R29" s="5">
        <f>NPV(Title_RESULTS!$C$37,'Sheet6(p_6)'!R17:R26)+'Sheet6(p_6)'!R16</f>
        <v>0</v>
      </c>
    </row>
    <row r="31" ht="12.75">
      <c r="A31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Variable Speed Pool Pump</v>
      </c>
      <c r="M2" t="s">
        <v>55</v>
      </c>
    </row>
    <row r="3" ht="12.75">
      <c r="M3" s="35">
        <f>+Title_RESULTS!I4</f>
        <v>43599.320695138886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40</v>
      </c>
      <c r="D16" s="5">
        <f>IF(A16&gt;=(Title_RESULTS!$H$7+Title_RESULTS!$C$17),0,(+'Sheet6(p_6)'!$J16))</f>
        <v>1085.01</v>
      </c>
      <c r="E16" s="5">
        <f>IF(A16&gt;=(Title_RESULTS!$H$7+Title_RESULTS!$C$17),0,(+'f-11B'!$N15))</f>
        <v>0</v>
      </c>
      <c r="F16" s="5">
        <f>IF(A16&gt;=(Title_RESULTS!$H$7+Title_RESULTS!$C$17),0,(SUM(B16:E16)))</f>
        <v>1125.01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49.42374704063328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49.42374704063328</v>
      </c>
      <c r="L16" s="23">
        <f>IF(A16&gt;=(Title_RESULTS!$H$7+Title_RESULTS!$C$17),0,(+$K16-$F16))</f>
        <v>-1075.5862529593667</v>
      </c>
      <c r="M16" s="23">
        <f>IF(A16&gt;=(Title_RESULTS!$H$7+Title_RESULTS!$C$17),0,(+$L16/(1+Title_RESULTS!$C$37)^('Sheet7(F_23)'!$A16-Title_RESULTS!$H$7)))</f>
        <v>-1075.5862529593667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40.96</v>
      </c>
      <c r="D17" s="5">
        <f>IF(A17&gt;=(Title_RESULTS!$H$7+Title_RESULTS!$C$17),0,(+'Sheet6(p_6)'!$J17))</f>
        <v>1109.9652299999998</v>
      </c>
      <c r="E17" s="5">
        <f>IF(A17&gt;=(Title_RESULTS!$H$7+Title_RESULTS!$C$17),0,(+'f-11B'!$N16))</f>
        <v>0</v>
      </c>
      <c r="F17" s="5">
        <f>IF(A17&gt;=(Title_RESULTS!$H$7+Title_RESULTS!$C$17),0,(SUM(B17:E17)))</f>
        <v>1150.9252299999998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58.8868641938125</v>
      </c>
      <c r="I17" s="5">
        <f>IF(A17&gt;=(Title_RESULTS!$H$7+Title_RESULTS!$C$17),0,(+'Sheet4(F_22)'!$H17))</f>
        <v>147.0652246137025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205.952088807515</v>
      </c>
      <c r="L17" s="23">
        <f>IF(A17&gt;=(Title_RESULTS!$H$7+Title_RESULTS!$C$17),0,(+$K17-$F17))</f>
        <v>-944.9731411924848</v>
      </c>
      <c r="M17" s="23">
        <f>IF(A17&gt;=(Title_RESULTS!$H$7+Title_RESULTS!$C$17),0,(+M16+$L17/(1+Title_RESULTS!$C$37)^('Sheet7(F_23)'!$A17-Title_RESULTS!$H$7)))</f>
        <v>-1958.078913766693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41.943039999999996</v>
      </c>
      <c r="D18" s="5">
        <f>IF(A18&gt;=(Title_RESULTS!$H$7+Title_RESULTS!$C$17),0,(+'Sheet6(p_6)'!$J18))</f>
        <v>1135.4944302899999</v>
      </c>
      <c r="E18" s="5">
        <f>IF(A18&gt;=(Title_RESULTS!$H$7+Title_RESULTS!$C$17),0,(+'f-11B'!$N17))</f>
        <v>0</v>
      </c>
      <c r="F18" s="5">
        <f>IF(A18&gt;=(Title_RESULTS!$H$7+Title_RESULTS!$C$17),0,(SUM(B18:E18)))</f>
        <v>1177.43747029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60.300148934464</v>
      </c>
      <c r="I18" s="5">
        <f>IF(A18&gt;=(Title_RESULTS!$H$7+Title_RESULTS!$C$17),0,(+'Sheet4(F_22)'!$H18))</f>
        <v>252.9685920531248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313.2687409875888</v>
      </c>
      <c r="L18" s="23">
        <f>IF(A18&gt;=(Title_RESULTS!$H$7+Title_RESULTS!$C$17),0,(+$K18-$F18))</f>
        <v>-864.1687293024112</v>
      </c>
      <c r="M18" s="23">
        <f>IF(A18&gt;=(Title_RESULTS!$H$7+Title_RESULTS!$C$17),0,(+M17+$L18/(1+Title_RESULTS!$C$37)^('Sheet7(F_23)'!$A18-Title_RESULTS!$H$7)))</f>
        <v>-2711.74994368174</v>
      </c>
    </row>
    <row r="19" spans="1:13" ht="12.75">
      <c r="A19">
        <f aca="true" t="shared" si="0" ref="A19:A25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162.86378043234666</v>
      </c>
      <c r="H19" s="5">
        <f>IF(A19&gt;=(Title_RESULTS!$H$7+Title_RESULTS!$C$17),0,(+'Sheet4(F_22)'!$D19+'Sheet4(F_22)'!$G19))</f>
        <v>61.74735250889114</v>
      </c>
      <c r="I19" s="5">
        <f>IF(A19&gt;=(Title_RESULTS!$H$7+Title_RESULTS!$C$17),0,(+'Sheet4(F_22)'!$H19))</f>
        <v>316.01558827283594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540.6267212140738</v>
      </c>
      <c r="L19" s="23">
        <f>IF(A19&gt;=(Title_RESULTS!$H$7+Title_RESULTS!$C$17),0,(+$K19-$F19))</f>
        <v>540.6267212140738</v>
      </c>
      <c r="M19" s="23">
        <f>IF(A19&gt;=(Title_RESULTS!$H$7+Title_RESULTS!$C$17),0,(+M18+$L19/(1+Title_RESULTS!$C$37)^('Sheet7(F_23)'!$A19-Title_RESULTS!$H$7)))</f>
        <v>-2271.425880331669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167.20645898284127</v>
      </c>
      <c r="H20" s="5">
        <f>IF(A20&gt;=(Title_RESULTS!$H$7+Title_RESULTS!$C$17),0,(+'Sheet4(F_22)'!$D20+'Sheet4(F_22)'!$G20))</f>
        <v>63.229288969104516</v>
      </c>
      <c r="I20" s="5">
        <f>IF(A20&gt;=(Title_RESULTS!$H$7+Title_RESULTS!$C$17),0,(+'Sheet4(F_22)'!$H20))</f>
        <v>328.4338097581526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558.8695577100984</v>
      </c>
      <c r="L20" s="23">
        <f>IF(A20&gt;=(Title_RESULTS!$H$7+Title_RESULTS!$C$17),0,(+$K20-$F20))</f>
        <v>558.8695577100984</v>
      </c>
      <c r="M20" s="23">
        <f>IF(A20&gt;=(Title_RESULTS!$H$7+Title_RESULTS!$C$17),0,(+M19+$L20/(1+Title_RESULTS!$C$37)^('Sheet7(F_23)'!$A20-Title_RESULTS!$H$7)))</f>
        <v>-1846.33968287159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171.9573470140035</v>
      </c>
      <c r="H21" s="5">
        <f>IF(A21&gt;=(Title_RESULTS!$H$7+Title_RESULTS!$C$17),0,(+'Sheet4(F_22)'!$D21+'Sheet4(F_22)'!$G21))</f>
        <v>64.74679190436304</v>
      </c>
      <c r="I21" s="5">
        <f>IF(A21&gt;=(Title_RESULTS!$H$7+Title_RESULTS!$C$17),0,(+'Sheet4(F_22)'!$H21))</f>
        <v>352.6390316431613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589.3431705615278</v>
      </c>
      <c r="L21" s="23">
        <f>IF(A21&gt;=(Title_RESULTS!$H$7+Title_RESULTS!$C$17),0,(+$K21-$F21))</f>
        <v>589.3431705615278</v>
      </c>
      <c r="M21" s="23">
        <f>IF(A21&gt;=(Title_RESULTS!$H$7+Title_RESULTS!$C$17),0,(+M20+$L21/(1+Title_RESULTS!$C$37)^('Sheet7(F_23)'!$A21-Title_RESULTS!$H$7)))</f>
        <v>-1427.7134470532724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177.27805514339082</v>
      </c>
      <c r="H22" s="5">
        <f>IF(A22&gt;=(Title_RESULTS!$H$7+Title_RESULTS!$C$17),0,(+'Sheet4(F_22)'!$D22+'Sheet4(F_22)'!$G22))</f>
        <v>66.30071491006774</v>
      </c>
      <c r="I22" s="5">
        <f>IF(A22&gt;=(Title_RESULTS!$H$7+Title_RESULTS!$C$17),0,(+'Sheet4(F_22)'!$H22))</f>
        <v>363.94979619434326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607.5285662478018</v>
      </c>
      <c r="L22" s="23">
        <f>IF(A22&gt;=(Title_RESULTS!$H$7+Title_RESULTS!$C$17),0,(+$K22-$F22))</f>
        <v>607.5285662478018</v>
      </c>
      <c r="M22" s="23">
        <f>IF(A22&gt;=(Title_RESULTS!$H$7+Title_RESULTS!$C$17),0,(+M21+$L22/(1+Title_RESULTS!$C$37)^('Sheet7(F_23)'!$A22-Title_RESULTS!$H$7)))</f>
        <v>-1024.7027920726935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182.05030817459203</v>
      </c>
      <c r="H23" s="5">
        <f>IF(A23&gt;=(Title_RESULTS!$H$7+Title_RESULTS!$C$17),0,(+'Sheet4(F_22)'!$D23+'Sheet4(F_22)'!$G23))</f>
        <v>67.89193206790938</v>
      </c>
      <c r="I23" s="5">
        <f>IF(A23&gt;=(Title_RESULTS!$H$7+Title_RESULTS!$C$17),0,(+'Sheet4(F_22)'!$H23))</f>
        <v>386.6950294901066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636.637269732608</v>
      </c>
      <c r="L23" s="23">
        <f>IF(A23&gt;=(Title_RESULTS!$H$7+Title_RESULTS!$C$17),0,(+$K23-$F23))</f>
        <v>636.637269732608</v>
      </c>
      <c r="M23" s="23">
        <f>IF(A23&gt;=(Title_RESULTS!$H$7+Title_RESULTS!$C$17),0,(+M22+$L23/(1+Title_RESULTS!$C$37)^('Sheet7(F_23)'!$A23-Title_RESULTS!$H$7)))</f>
        <v>-630.3058657245147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184.99956130314288</v>
      </c>
      <c r="H24" s="5">
        <f>IF(A24&gt;=(Title_RESULTS!$H$7+Title_RESULTS!$C$17),0,(+'Sheet4(F_22)'!$D24+'Sheet4(F_22)'!$G24))</f>
        <v>69.5213384375392</v>
      </c>
      <c r="I24" s="5">
        <f>IF(A24&gt;=(Title_RESULTS!$H$7+Title_RESULTS!$C$17),0,(+'Sheet4(F_22)'!$H24))</f>
        <v>428.5028102975875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683.0237100382695</v>
      </c>
      <c r="L24" s="23">
        <f>IF(A24&gt;=(Title_RESULTS!$H$7+Title_RESULTS!$C$17),0,(+$K24-$F24))</f>
        <v>683.0237100382695</v>
      </c>
      <c r="M24" s="23">
        <f>IF(A24&gt;=(Title_RESULTS!$H$7+Title_RESULTS!$C$17),0,(+M23+$L24/(1+Title_RESULTS!$C$37)^('Sheet7(F_23)'!$A24-Title_RESULTS!$H$7)))</f>
        <v>-235.14959363435526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190.0246991355005</v>
      </c>
      <c r="H25" s="5">
        <f>IF(A25&gt;=(Title_RESULTS!$H$7+Title_RESULTS!$C$17),0,(+'Sheet4(F_22)'!$D25+'Sheet4(F_22)'!$G25))</f>
        <v>71.18985056004014</v>
      </c>
      <c r="I25" s="5">
        <f>IF(A25&gt;=(Title_RESULTS!$H$7+Title_RESULTS!$C$17),0,(+'Sheet4(F_22)'!$H25))</f>
        <v>459.08259999422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720.2971496897607</v>
      </c>
      <c r="L25" s="23">
        <f>IF(A25&gt;=(Title_RESULTS!$H$7+Title_RESULTS!$C$17),0,(+$K25-$F25))</f>
        <v>720.2971496897607</v>
      </c>
      <c r="M25" s="23">
        <f>IF(A25&gt;=(Title_RESULTS!$H$7+Title_RESULTS!$C$17),0,(+M24+$L25/(1+Title_RESULTS!$C$37)^('Sheet7(F_23)'!$A25-Title_RESULTS!$H$7)))</f>
        <v>154.01778906872875</v>
      </c>
    </row>
    <row r="26" spans="2:13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t="s">
        <v>87</v>
      </c>
      <c r="B27" s="5">
        <f aca="true" t="shared" si="1" ref="B27:L27">SUM(B16:B26)</f>
        <v>0</v>
      </c>
      <c r="C27" s="5">
        <f t="shared" si="1"/>
        <v>122.90304</v>
      </c>
      <c r="D27" s="5">
        <f t="shared" si="1"/>
        <v>3330.46966029</v>
      </c>
      <c r="E27" s="5">
        <f t="shared" si="1"/>
        <v>0</v>
      </c>
      <c r="F27" s="5">
        <f t="shared" si="1"/>
        <v>3453.37270029</v>
      </c>
      <c r="G27" s="5">
        <f t="shared" si="1"/>
        <v>1236.3802101858175</v>
      </c>
      <c r="H27" s="5">
        <f t="shared" si="1"/>
        <v>583.8142824861916</v>
      </c>
      <c r="I27" s="5">
        <f t="shared" si="1"/>
        <v>3084.7762293578676</v>
      </c>
      <c r="J27" s="5">
        <f t="shared" si="1"/>
        <v>0</v>
      </c>
      <c r="K27" s="5">
        <f t="shared" si="1"/>
        <v>4904.970722029877</v>
      </c>
      <c r="L27" s="5">
        <f t="shared" si="1"/>
        <v>1451.5980217398776</v>
      </c>
      <c r="M27" s="5"/>
    </row>
    <row r="28" spans="2:13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t="s">
        <v>118</v>
      </c>
      <c r="B29" s="5">
        <f>NPV(Title_RESULTS!$C$37,'Sheet7(F_23)'!B17:B26)+'Sheet7(F_23)'!B16</f>
        <v>0</v>
      </c>
      <c r="C29" s="5">
        <f>NPV(Title_RESULTS!$C$37,'Sheet7(F_23)'!C17:C26)+'Sheet7(F_23)'!C16</f>
        <v>114.83173044385765</v>
      </c>
      <c r="D29" s="5">
        <f>NPV(Title_RESULTS!$C$37,'Sheet7(F_23)'!D17:D26)+'Sheet7(F_23)'!D16</f>
        <v>3111.8891024089876</v>
      </c>
      <c r="E29" s="5">
        <f>NPV(Title_RESULTS!$C$37,'Sheet7(F_23)'!E17:E26)+'Sheet7(F_23)'!E16</f>
        <v>0</v>
      </c>
      <c r="F29" s="5">
        <f>NPV(Title_RESULTS!$C$37,'Sheet7(F_23)'!F17:F26)+'Sheet7(F_23)'!F16</f>
        <v>3226.720832852845</v>
      </c>
      <c r="G29" s="5">
        <f>NPV(Title_RESULTS!$C$37,'Sheet7(F_23)'!G17:G26)+'Sheet7(F_23)'!G16</f>
        <v>822.0507690933889</v>
      </c>
      <c r="H29" s="5">
        <f>NPV(Title_RESULTS!$C$37,'Sheet7(F_23)'!H17:H26)+'Sheet7(F_23)'!H16</f>
        <v>416.6833907986426</v>
      </c>
      <c r="I29" s="5">
        <f>NPV(Title_RESULTS!$C$37,'Sheet7(F_23)'!I17:I26)+'Sheet7(F_23)'!I16</f>
        <v>2142.0044620295425</v>
      </c>
      <c r="J29" s="5">
        <f>NPV(Title_RESULTS!$C$37,'Sheet7(F_23)'!J17:J26)+'Sheet7(F_23)'!J16</f>
        <v>0</v>
      </c>
      <c r="K29" s="5">
        <f>NPV(Title_RESULTS!$C$37,'Sheet7(F_23)'!K17:K26)+'Sheet7(F_23)'!K16</f>
        <v>3380.7386219215737</v>
      </c>
      <c r="L29" s="5">
        <f>NPV(Title_RESULTS!$C$37,'Sheet7(F_23)'!L17:L26)+'Sheet7(F_23)'!L16</f>
        <v>154.01778906872846</v>
      </c>
      <c r="M29" s="5"/>
    </row>
    <row r="31" spans="1:8" ht="12.75">
      <c r="A31" t="s">
        <v>162</v>
      </c>
      <c r="C31">
        <f>+Title_RESULTS!C37</f>
        <v>0.0708</v>
      </c>
      <c r="D31" t="s">
        <v>163</v>
      </c>
      <c r="H31" s="10">
        <f>+K29/F29</f>
        <v>1.0477319845896171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Variable Speed Pool Pump</v>
      </c>
      <c r="L2" t="s">
        <v>55</v>
      </c>
    </row>
    <row r="3" ht="12.75">
      <c r="L3" s="35">
        <f>+Title_RESULTS!I4</f>
        <v>43599.320695138886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114.69844407757503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672.61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787.308444077575</v>
      </c>
      <c r="G16" s="5">
        <f>IF(A16&gt;=(Title_RESULTS!$H$7+Title_RESULTS!$C$17),0,(+'Sheet6(p_6)'!$H16))</f>
        <v>1085.01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1085.01</v>
      </c>
      <c r="K16" s="23">
        <f>IF(A16&gt;=(Title_RESULTS!$H$7+Title_RESULTS!$C$17),0,(+F16-J16))</f>
        <v>-297.701555922425</v>
      </c>
      <c r="L16" s="23">
        <f>IF(A16&gt;=(Title_RESULTS!$H$7+Title_RESULTS!$C$17),0,(+$K16/((1+Title_RESULTS!$C$37)^('Sheet8(F_24)'!$A16-Title_RESULTS!$H$7))))</f>
        <v>-297.701555922425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351.97138572472437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672.61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1024.5813857247244</v>
      </c>
      <c r="G17" s="5">
        <f>IF(A17&gt;=(Title_RESULTS!$H$7+Title_RESULTS!$C$17),0,(+'Sheet6(p_6)'!$H17))</f>
        <v>1109.9652299999998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1109.9652299999998</v>
      </c>
      <c r="K17" s="23">
        <f>IF(A17&gt;=(Title_RESULTS!$H$7+Title_RESULTS!$C$17),0,(+F17-J17))</f>
        <v>-85.38384427527535</v>
      </c>
      <c r="L17" s="23">
        <f>IF(A16&gt;=(Title_RESULTS!$H$7+Title_RESULTS!$C$17),0,(+$K17/((1+Title_RESULTS!$C$37)^('Sheet8(F_24)'!$A17-Title_RESULTS!$H$7))+L16))</f>
        <v>-377.4399237551438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598.0128126731558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672.61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1270.6228126731557</v>
      </c>
      <c r="G18" s="5">
        <f>IF(A18&gt;=(Title_RESULTS!$H$7+Title_RESULTS!$C$17),0,(+'Sheet6(p_6)'!$H18))</f>
        <v>1135.4944302899999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1135.4944302899999</v>
      </c>
      <c r="K18" s="23">
        <f>IF(A18&gt;=(Title_RESULTS!$H$7+Title_RESULTS!$C$17),0,(+F18-J18))</f>
        <v>135.1283823831559</v>
      </c>
      <c r="L18" s="23">
        <f>IF(A17&gt;=(Title_RESULTS!$H$7+Title_RESULTS!$C$17),0,(+$K18/((1+Title_RESULTS!$C$37)^('Sheet8(F_24)'!$A18-Title_RESULTS!$H$7))+L17))</f>
        <v>-259.58985157806063</v>
      </c>
      <c r="M18" s="5"/>
    </row>
    <row r="19" spans="1:13" ht="12.75">
      <c r="A19">
        <f aca="true" t="shared" si="0" ref="A19:A25">+A18+1</f>
        <v>2023</v>
      </c>
      <c r="B19" s="5">
        <f>IF(A19&gt;=(Title_RESULTS!$H$7+Title_RESULTS!$C$17),0,(+'Sheet6(p_6)'!N19-'Sheet6(p_6)'!R19))</f>
        <v>720.1278083897281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720.1278083897281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720.1278083897281</v>
      </c>
      <c r="L19" s="23">
        <f>IF(A18&gt;=(Title_RESULTS!$H$7+Title_RESULTS!$C$17),0,(+$K19/((1+Title_RESULTS!$C$37)^('Sheet8(F_24)'!$A19-Title_RESULTS!$H$7))+L18))</f>
        <v>326.9324017235619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739.2045086987092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739.2045086987092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739.2045086987092</v>
      </c>
      <c r="L20" s="23">
        <f>IF(A19&gt;=(Title_RESULTS!$H$7+Title_RESULTS!$C$17),0,(+$K20/((1+Title_RESULTS!$C$37)^('Sheet8(F_24)'!$A20-Title_RESULTS!$H$7))+L19))</f>
        <v>889.1845935151173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759.3279120443156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759.3279120443156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759.3279120443156</v>
      </c>
      <c r="L21" s="23">
        <f>IF(A20&gt;=(Title_RESULTS!$H$7+Title_RESULTS!$C$17),0,(+$K21/((1+Title_RESULTS!$C$37)^('Sheet8(F_24)'!$A21-Title_RESULTS!$H$7))+L20))</f>
        <v>1428.5555431572802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776.9226809488159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776.9226809488159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776.9226809488159</v>
      </c>
      <c r="L22" s="23">
        <f>IF(A21&gt;=(Title_RESULTS!$H$7+Title_RESULTS!$C$17),0,(+$K22/((1+Title_RESULTS!$C$37)^('Sheet8(F_24)'!$A22-Title_RESULTS!$H$7))+L21))</f>
        <v>1943.9356189490372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799.2027415360277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799.2027415360277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799.2027415360277</v>
      </c>
      <c r="L23" s="23">
        <f>IF(A22&gt;=(Title_RESULTS!$H$7+Title_RESULTS!$C$17),0,(+$K23/((1+Title_RESULTS!$C$37)^('Sheet8(F_24)'!$A23-Title_RESULTS!$H$7))+L22))</f>
        <v>2439.0418902536294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833.8178341947048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833.8178341947048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833.8178341947048</v>
      </c>
      <c r="L24" s="23">
        <f>IF(A23&gt;=(Title_RESULTS!$H$7+Title_RESULTS!$C$17),0,(+$K24/((1+Title_RESULTS!$C$37)^('Sheet8(F_24)'!$A24-Title_RESULTS!$H$7))+L23))</f>
        <v>2921.438536402574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856.2463993613285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856.2463993613285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856.2463993613285</v>
      </c>
      <c r="L25" s="23">
        <f>IF(A24&gt;=(Title_RESULTS!$H$7+Title_RESULTS!$C$17),0,(+$K25/((1+Title_RESULTS!$C$37)^('Sheet8(F_24)'!$A25-Title_RESULTS!$H$7))+L24))</f>
        <v>3384.057568467202</v>
      </c>
      <c r="M25" s="5"/>
    </row>
    <row r="26" spans="2:13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t="s">
        <v>87</v>
      </c>
      <c r="B27" s="5">
        <f aca="true" t="shared" si="1" ref="B27:K27">SUM(B16:B26)</f>
        <v>6549.532527649085</v>
      </c>
      <c r="C27" s="5">
        <f t="shared" si="1"/>
        <v>0</v>
      </c>
      <c r="D27" s="5">
        <f t="shared" si="1"/>
        <v>2017.83</v>
      </c>
      <c r="E27" s="5">
        <f t="shared" si="1"/>
        <v>0</v>
      </c>
      <c r="F27" s="5">
        <f t="shared" si="1"/>
        <v>8567.362527649086</v>
      </c>
      <c r="G27" s="5">
        <f t="shared" si="1"/>
        <v>3330.46966029</v>
      </c>
      <c r="H27" s="5">
        <f t="shared" si="1"/>
        <v>0</v>
      </c>
      <c r="I27" s="5">
        <f t="shared" si="1"/>
        <v>0</v>
      </c>
      <c r="J27" s="5">
        <f t="shared" si="1"/>
        <v>3330.46966029</v>
      </c>
      <c r="K27" s="5">
        <f t="shared" si="1"/>
        <v>5236.892867359084</v>
      </c>
      <c r="L27" s="5"/>
      <c r="M27" s="5"/>
    </row>
    <row r="28" ht="12.75">
      <c r="M28" s="5"/>
    </row>
    <row r="29" spans="1:13" ht="12.75">
      <c r="A29" t="s">
        <v>118</v>
      </c>
      <c r="B29" s="5">
        <f>NPV(Title_RESULTS!$C$37,'Sheet8(F_24)'!B17:B26)+'Sheet8(F_24)'!B16</f>
        <v>4608.592702939468</v>
      </c>
      <c r="C29" s="5">
        <f>NPV(Title_RESULTS!$C$37,'Sheet8(F_24)'!C17:C26)+'Sheet8(F_24)'!C16</f>
        <v>0</v>
      </c>
      <c r="D29" s="5">
        <f>NPV(Title_RESULTS!$C$37,'Sheet8(F_24)'!D17:D26)+'Sheet8(F_24)'!D16</f>
        <v>1887.3539679367218</v>
      </c>
      <c r="E29" s="5">
        <f>NPV(Title_RESULTS!$C$37,'Sheet8(F_24)'!E17:E26)+'Sheet8(F_24)'!E16</f>
        <v>0</v>
      </c>
      <c r="F29" s="5">
        <f>NPV(Title_RESULTS!$C$37,'Sheet8(F_24)'!F17:F26)+'Sheet8(F_24)'!F16</f>
        <v>6495.946670876188</v>
      </c>
      <c r="G29" s="5">
        <f>NPV(Title_RESULTS!$C$37,'Sheet8(F_24)'!G17:G26)+'Sheet8(F_24)'!G16</f>
        <v>3111.8891024089876</v>
      </c>
      <c r="H29" s="5">
        <f>NPV(Title_RESULTS!$C$37,'Sheet8(F_24)'!H17:H26)+'Sheet8(F_24)'!H16</f>
        <v>0</v>
      </c>
      <c r="I29" s="5">
        <f>NPV(Title_RESULTS!$C$37,'Sheet8(F_24)'!I17:I26)+'Sheet8(F_24)'!I16</f>
        <v>0</v>
      </c>
      <c r="J29" s="5">
        <f>NPV(Title_RESULTS!$C$37,'Sheet8(F_24)'!J17:J26)+'Sheet8(F_24)'!J16</f>
        <v>3111.8891024089876</v>
      </c>
      <c r="K29" s="5">
        <f>NPV(Title_RESULTS!$C$37,'Sheet8(F_24)'!K17:K26)+'Sheet8(F_24)'!K16</f>
        <v>3384.0575684672012</v>
      </c>
      <c r="L29" s="5"/>
      <c r="M29" s="5"/>
    </row>
    <row r="30" spans="2:12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1" ht="12.75">
      <c r="A31" t="s">
        <v>174</v>
      </c>
      <c r="D31">
        <f>+Title_RESULTS!H8</f>
        <v>2023</v>
      </c>
      <c r="F31">
        <f>+F29/J29</f>
        <v>2.087460850017927</v>
      </c>
      <c r="K31" s="10"/>
    </row>
    <row r="32" spans="1:10" ht="12.75">
      <c r="A32" t="s">
        <v>175</v>
      </c>
      <c r="D32">
        <f>+Title_RESULTS!C37</f>
        <v>0.0708</v>
      </c>
      <c r="J32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Variable Speed Pool Pump</v>
      </c>
      <c r="N2" t="s">
        <v>55</v>
      </c>
    </row>
    <row r="3" ht="12.75">
      <c r="N3" s="35">
        <f>+Title_RESULTS!I4</f>
        <v>43599.320695138886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40</v>
      </c>
      <c r="D16" s="5">
        <f>IF(A16&gt;=(Title_RESULTS!$H$7+Title_RESULTS!$C$17),0,(+'Sheet6(p_6)'!$G16))</f>
        <v>672.61</v>
      </c>
      <c r="E16" s="5">
        <f>+'Sheet6(p_6)'!M16</f>
        <v>75.37336499999999</v>
      </c>
      <c r="F16">
        <f>IF(A16&gt;=(Title_RESULTS!$H$7+Title_RESULTS!$C$17),0,(+'f-11B'!$R15))</f>
        <v>0</v>
      </c>
      <c r="G16" s="5">
        <f>IF(A16&gt;=(Title_RESULTS!$H$7+Title_RESULTS!$C$17),0,(SUM(B16:F16)))</f>
        <v>787.983365</v>
      </c>
      <c r="H16" s="5">
        <f>IF(A16&gt;=(Title_RESULTS!$H$7+Title_RESULTS!$C$17),0,(+'Sheet3(F_21)'!$J16+'Sheet4(F_22)'!$H16))</f>
        <v>49.42374704063328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49.42374704063328</v>
      </c>
      <c r="M16" s="23">
        <f>IF(A16&gt;=(Title_RESULTS!$H$7+Title_RESULTS!$C$17),0,(+L16-G16))</f>
        <v>-738.5596179593667</v>
      </c>
      <c r="N16" s="24">
        <f>IF(A16&gt;=(Title_RESULTS!$H$7+Title_RESULTS!$C$17),0,(+$M16/((1+Title_RESULTS!$C$37)^('Sheet9(F_25)'!$A16-Title_RESULTS!$H$7))))</f>
        <v>-738.5596179593667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40.96</v>
      </c>
      <c r="D17" s="5">
        <f>IF(A17&gt;=(Title_RESULTS!$H$7+Title_RESULTS!$C$17),0,(+'Sheet6(p_6)'!$G17))</f>
        <v>672.61</v>
      </c>
      <c r="E17" s="5">
        <f>+'Sheet6(p_6)'!M17</f>
        <v>228.38129594999998</v>
      </c>
      <c r="F17">
        <f>IF(A17&gt;=(Title_RESULTS!$H$7+Title_RESULTS!$C$17),0,(+'f-11B'!$R16))</f>
        <v>0</v>
      </c>
      <c r="G17" s="5">
        <f>IF(A17&gt;=(Title_RESULTS!$H$7+Title_RESULTS!$C$17),0,(SUM(B17:F17)))</f>
        <v>941.95129595</v>
      </c>
      <c r="H17" s="5">
        <f>IF(A17&gt;=(Title_RESULTS!$H$7+Title_RESULTS!$C$17),0,(+'Sheet3(F_21)'!$J17+'Sheet4(F_22)'!$H17))</f>
        <v>147.0652246137025</v>
      </c>
      <c r="I17" s="5">
        <f>IF(A17&gt;=(Title_RESULTS!$H$7+Title_RESULTS!$C$17),0,(+'Sheet4(F_22)'!$D17+'Sheet4(F_22)'!$G17))</f>
        <v>58.8868641938125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205.952088807515</v>
      </c>
      <c r="M17" s="23">
        <f>IF(A17&gt;=(Title_RESULTS!$H$7+Title_RESULTS!$C$17),0,(+L17-G17))</f>
        <v>-735.999207142485</v>
      </c>
      <c r="N17" s="24">
        <f>(IF(A16&gt;=(Title_RESULTS!$H$7+Title_RESULTS!$C$17),0,(+$M17/((1+Title_RESULTS!$C$37)^('Sheet9(F_25)'!$A17-Title_RESULTS!$H$7))+N16)))</f>
        <v>-1425.8954483128268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41.943039999999996</v>
      </c>
      <c r="D18" s="5">
        <f>IF(A18&gt;=(Title_RESULTS!$H$7+Title_RESULTS!$C$17),0,(+'Sheet6(p_6)'!$G18))</f>
        <v>672.61</v>
      </c>
      <c r="E18" s="5">
        <f>+'Sheet6(p_6)'!M18</f>
        <v>384.44184818249994</v>
      </c>
      <c r="F18">
        <f>IF(A18&gt;=(Title_RESULTS!$H$7+Title_RESULTS!$C$17),0,(+'f-11B'!$R17))</f>
        <v>0</v>
      </c>
      <c r="G18" s="5">
        <f>IF(A18&gt;=(Title_RESULTS!$H$7+Title_RESULTS!$C$17),0,(SUM(B18:F18)))</f>
        <v>1098.9948881824998</v>
      </c>
      <c r="H18" s="5">
        <f>IF(A18&gt;=(Title_RESULTS!$H$7+Title_RESULTS!$C$17),0,(+'Sheet3(F_21)'!$J18+'Sheet4(F_22)'!$H18))</f>
        <v>252.9685920531248</v>
      </c>
      <c r="I18" s="5">
        <f>IF(A18&gt;=(Title_RESULTS!$H$7+Title_RESULTS!$C$17),0,(+'Sheet4(F_22)'!$D18+'Sheet4(F_22)'!$G18))</f>
        <v>60.300148934464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313.2687409875888</v>
      </c>
      <c r="M18" s="23">
        <f>IF(A18&gt;=(Title_RESULTS!$H$7+Title_RESULTS!$C$17),0,(+L18-G18))</f>
        <v>-785.726147194911</v>
      </c>
      <c r="N18" s="24">
        <f>(IF(A17&gt;=(Title_RESULTS!$H$7+Title_RESULTS!$C$17),0,(+$M18/((1+Title_RESULTS!$C$37)^('Sheet9(F_25)'!$A18-Title_RESULTS!$H$7))+N17)))</f>
        <v>-2111.1540263055754</v>
      </c>
    </row>
    <row r="19" spans="1:14" ht="12.75">
      <c r="A19">
        <f aca="true" t="shared" si="0" ref="A19:A25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465.9435199971899</v>
      </c>
      <c r="F19">
        <f>IF(A19&gt;=(Title_RESULTS!$H$7+Title_RESULTS!$C$17),0,(+'f-11B'!$R18))</f>
        <v>0</v>
      </c>
      <c r="G19" s="5">
        <f>IF(A19&gt;=(Title_RESULTS!$H$7+Title_RESULTS!$C$17),0,(SUM(B19:F19)))</f>
        <v>465.9435199971899</v>
      </c>
      <c r="H19" s="5">
        <f>IF(A19&gt;=(Title_RESULTS!$H$7+Title_RESULTS!$C$17),0,(+'Sheet3(F_21)'!$J19+'Sheet4(F_22)'!$H19))</f>
        <v>478.8793687051826</v>
      </c>
      <c r="I19" s="5">
        <f>IF(A19&gt;=(Title_RESULTS!$H$7+Title_RESULTS!$C$17),0,(+'Sheet4(F_22)'!$D19+'Sheet4(F_22)'!$G19))</f>
        <v>61.74735250889114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540.6267212140738</v>
      </c>
      <c r="M19" s="23">
        <f>IF(A19&gt;=(Title_RESULTS!$H$7+Title_RESULTS!$C$17),0,(+L19-G19))</f>
        <v>74.68320121688384</v>
      </c>
      <c r="N19" s="24">
        <f>(IF(A18&gt;=(Title_RESULTS!$H$7+Title_RESULTS!$C$17),0,(+$M19/((1+Title_RESULTS!$C$37)^('Sheet9(F_25)'!$A19-Title_RESULTS!$H$7))+N18)))</f>
        <v>-2050.326824590572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470.6029551971618</v>
      </c>
      <c r="F20">
        <f>IF(A20&gt;=(Title_RESULTS!$H$7+Title_RESULTS!$C$17),0,(+'f-11B'!$R19))</f>
        <v>0</v>
      </c>
      <c r="G20" s="5">
        <f>IF(A20&gt;=(Title_RESULTS!$H$7+Title_RESULTS!$C$17),0,(SUM(B20:F20)))</f>
        <v>470.6029551971618</v>
      </c>
      <c r="H20" s="5">
        <f>IF(A20&gt;=(Title_RESULTS!$H$7+Title_RESULTS!$C$17),0,(+'Sheet3(F_21)'!$J20+'Sheet4(F_22)'!$H20))</f>
        <v>495.64026874099386</v>
      </c>
      <c r="I20" s="5">
        <f>IF(A20&gt;=(Title_RESULTS!$H$7+Title_RESULTS!$C$17),0,(+'Sheet4(F_22)'!$D20+'Sheet4(F_22)'!$G20))</f>
        <v>63.229288969104516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558.8695577100984</v>
      </c>
      <c r="M20" s="23">
        <f>IF(A20&gt;=(Title_RESULTS!$H$7+Title_RESULTS!$C$17),0,(+L20-G20))</f>
        <v>88.26660251293663</v>
      </c>
      <c r="N20" s="24">
        <f>(IF(A19&gt;=(Title_RESULTS!$H$7+Title_RESULTS!$C$17),0,(+$M20/((1+Title_RESULTS!$C$37)^('Sheet9(F_25)'!$A20-Title_RESULTS!$H$7))+N19)))</f>
        <v>-1983.1896654676418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475.3089847491334</v>
      </c>
      <c r="F21">
        <f>IF(A21&gt;=(Title_RESULTS!$H$7+Title_RESULTS!$C$17),0,(+'f-11B'!$R20))</f>
        <v>0</v>
      </c>
      <c r="G21" s="5">
        <f>IF(A21&gt;=(Title_RESULTS!$H$7+Title_RESULTS!$C$17),0,(SUM(B21:F21)))</f>
        <v>475.3089847491334</v>
      </c>
      <c r="H21" s="5">
        <f>IF(A21&gt;=(Title_RESULTS!$H$7+Title_RESULTS!$C$17),0,(+'Sheet3(F_21)'!$J21+'Sheet4(F_22)'!$H21))</f>
        <v>524.5963786571648</v>
      </c>
      <c r="I21" s="5">
        <f>IF(A21&gt;=(Title_RESULTS!$H$7+Title_RESULTS!$C$17),0,(+'Sheet4(F_22)'!$D21+'Sheet4(F_22)'!$G21))</f>
        <v>64.74679190436304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589.3431705615278</v>
      </c>
      <c r="M21" s="23">
        <f>IF(A21&gt;=(Title_RESULTS!$H$7+Title_RESULTS!$C$17),0,(+L21-G21))</f>
        <v>114.03418581239441</v>
      </c>
      <c r="N21" s="24">
        <f>(IF(A20&gt;=(Title_RESULTS!$H$7+Title_RESULTS!$C$17),0,(+$M21/((1+Title_RESULTS!$C$37)^('Sheet9(F_25)'!$A21-Title_RESULTS!$H$7))+N20)))</f>
        <v>-1902.1881296124548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480.0620745966249</v>
      </c>
      <c r="F22">
        <f>IF(A22&gt;=(Title_RESULTS!$H$7+Title_RESULTS!$C$17),0,(+'f-11B'!$R21))</f>
        <v>0</v>
      </c>
      <c r="G22" s="5">
        <f>IF(A22&gt;=(Title_RESULTS!$H$7+Title_RESULTS!$C$17),0,(SUM(B22:F22)))</f>
        <v>480.0620745966249</v>
      </c>
      <c r="H22" s="5">
        <f>IF(A22&gt;=(Title_RESULTS!$H$7+Title_RESULTS!$C$17),0,(+'Sheet3(F_21)'!$J22+'Sheet4(F_22)'!$H22))</f>
        <v>541.2278513377341</v>
      </c>
      <c r="I22" s="5">
        <f>IF(A22&gt;=(Title_RESULTS!$H$7+Title_RESULTS!$C$17),0,(+'Sheet4(F_22)'!$D22+'Sheet4(F_22)'!$G22))</f>
        <v>66.30071491006774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607.5285662478019</v>
      </c>
      <c r="M22" s="23">
        <f>IF(A22&gt;=(Title_RESULTS!$H$7+Title_RESULTS!$C$17),0,(+L22-G22))</f>
        <v>127.46649165117702</v>
      </c>
      <c r="N22" s="24">
        <f>(IF(A21&gt;=(Title_RESULTS!$H$7+Title_RESULTS!$C$17),0,(+$M22/((1+Title_RESULTS!$C$37)^('Sheet9(F_25)'!$A22-Title_RESULTS!$H$7))+N21)))</f>
        <v>-1817.6318516983326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484.862695342591</v>
      </c>
      <c r="F23">
        <f>IF(A23&gt;=(Title_RESULTS!$H$7+Title_RESULTS!$C$17),0,(+'f-11B'!$R22))</f>
        <v>0</v>
      </c>
      <c r="G23" s="5">
        <f>IF(A23&gt;=(Title_RESULTS!$H$7+Title_RESULTS!$C$17),0,(SUM(B23:F23)))</f>
        <v>484.862695342591</v>
      </c>
      <c r="H23" s="5">
        <f>IF(A23&gt;=(Title_RESULTS!$H$7+Title_RESULTS!$C$17),0,(+'Sheet3(F_21)'!$J23+'Sheet4(F_22)'!$H23))</f>
        <v>568.7453376646986</v>
      </c>
      <c r="I23" s="5">
        <f>IF(A23&gt;=(Title_RESULTS!$H$7+Title_RESULTS!$C$17),0,(+'Sheet4(F_22)'!$D23+'Sheet4(F_22)'!$G23))</f>
        <v>67.89193206790938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636.6372697326079</v>
      </c>
      <c r="M23" s="23">
        <f>IF(A23&gt;=(Title_RESULTS!$H$7+Title_RESULTS!$C$17),0,(+L23-G23))</f>
        <v>151.77457439001694</v>
      </c>
      <c r="N23" s="24">
        <f>(IF(A22&gt;=(Title_RESULTS!$H$7+Title_RESULTS!$C$17),0,(+$M23/((1+Title_RESULTS!$C$37)^('Sheet9(F_25)'!$A23-Title_RESULTS!$H$7))+N22)))</f>
        <v>-1723.6074700243425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489.71132229601704</v>
      </c>
      <c r="F24">
        <f>IF(A24&gt;=(Title_RESULTS!$H$7+Title_RESULTS!$C$17),0,(+'f-11B'!$R23))</f>
        <v>0</v>
      </c>
      <c r="G24" s="5">
        <f>IF(A24&gt;=(Title_RESULTS!$H$7+Title_RESULTS!$C$17),0,(SUM(B24:F24)))</f>
        <v>489.71132229601704</v>
      </c>
      <c r="H24" s="5">
        <f>IF(A24&gt;=(Title_RESULTS!$H$7+Title_RESULTS!$C$17),0,(+'Sheet3(F_21)'!$J24+'Sheet4(F_22)'!$H24))</f>
        <v>613.5023716007304</v>
      </c>
      <c r="I24" s="5">
        <f>IF(A24&gt;=(Title_RESULTS!$H$7+Title_RESULTS!$C$17),0,(+'Sheet4(F_22)'!$D24+'Sheet4(F_22)'!$G24))</f>
        <v>69.5213384375392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683.0237100382695</v>
      </c>
      <c r="M24" s="23">
        <f>IF(A24&gt;=(Title_RESULTS!$H$7+Title_RESULTS!$C$17),0,(+L24-G24))</f>
        <v>193.3123877422525</v>
      </c>
      <c r="N24" s="24">
        <f>(IF(A23&gt;=(Title_RESULTS!$H$7+Title_RESULTS!$C$17),0,(+$M24/((1+Title_RESULTS!$C$37)^('Sheet9(F_25)'!$A24-Title_RESULTS!$H$7))+N23)))</f>
        <v>-1611.768596254066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494.6084355189772</v>
      </c>
      <c r="F25">
        <f>IF(A25&gt;=(Title_RESULTS!$H$7+Title_RESULTS!$C$17),0,(+'f-11B'!$R24))</f>
        <v>0</v>
      </c>
      <c r="G25" s="5">
        <f>IF(A25&gt;=(Title_RESULTS!$H$7+Title_RESULTS!$C$17),0,(SUM(B25:F25)))</f>
        <v>494.6084355189772</v>
      </c>
      <c r="H25" s="5">
        <f>IF(A25&gt;=(Title_RESULTS!$H$7+Title_RESULTS!$C$17),0,(+'Sheet3(F_21)'!$J25+'Sheet4(F_22)'!$H25))</f>
        <v>649.1072991297206</v>
      </c>
      <c r="I25" s="5">
        <f>IF(A25&gt;=(Title_RESULTS!$H$7+Title_RESULTS!$C$17),0,(+'Sheet4(F_22)'!$D25+'Sheet4(F_22)'!$G25))</f>
        <v>71.18985056004014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720.2971496897607</v>
      </c>
      <c r="M25" s="23">
        <f>IF(A25&gt;=(Title_RESULTS!$H$7+Title_RESULTS!$C$17),0,(+L25-G25))</f>
        <v>225.68871417078344</v>
      </c>
      <c r="N25" s="24">
        <f>(IF(A24&gt;=(Title_RESULTS!$H$7+Title_RESULTS!$C$17),0,(+$M25/((1+Title_RESULTS!$C$37)^('Sheet9(F_25)'!$A25-Title_RESULTS!$H$7))+N24)))</f>
        <v>-1489.8318563442972</v>
      </c>
    </row>
    <row r="26" ht="12.75">
      <c r="E26" s="5"/>
    </row>
    <row r="27" spans="1:13" ht="12.75">
      <c r="A27" t="s">
        <v>87</v>
      </c>
      <c r="B27" s="5">
        <f aca="true" t="shared" si="1" ref="B27:M27">SUM(B16:B26)</f>
        <v>0</v>
      </c>
      <c r="C27" s="5">
        <f t="shared" si="1"/>
        <v>122.90304</v>
      </c>
      <c r="D27" s="5">
        <f t="shared" si="1"/>
        <v>2017.83</v>
      </c>
      <c r="E27" s="5">
        <f t="shared" si="1"/>
        <v>4049.296496830195</v>
      </c>
      <c r="F27" s="5">
        <f t="shared" si="1"/>
        <v>0</v>
      </c>
      <c r="G27" s="5">
        <f t="shared" si="1"/>
        <v>6190.029536830196</v>
      </c>
      <c r="H27" s="5">
        <f t="shared" si="1"/>
        <v>4321.156439543685</v>
      </c>
      <c r="I27" s="5">
        <f t="shared" si="1"/>
        <v>583.8142824861916</v>
      </c>
      <c r="J27" s="5">
        <f t="shared" si="1"/>
        <v>0</v>
      </c>
      <c r="K27" s="9">
        <f t="shared" si="1"/>
        <v>0</v>
      </c>
      <c r="L27" s="5">
        <f t="shared" si="1"/>
        <v>4904.970722029877</v>
      </c>
      <c r="M27" s="5">
        <f t="shared" si="1"/>
        <v>-1285.0588148003183</v>
      </c>
    </row>
    <row r="29" spans="1:13" ht="12.75">
      <c r="A29" t="s">
        <v>118</v>
      </c>
      <c r="B29" s="5">
        <f>NPV(Title_RESULTS!$C$37,'Sheet9(F_25)'!B17:B26)+'Sheet9(F_25)'!B16</f>
        <v>0</v>
      </c>
      <c r="C29" s="5">
        <f>NPV(Title_RESULTS!$C$37,'Sheet9(F_25)'!C17:C26)+'Sheet9(F_25)'!C16</f>
        <v>114.83173044385765</v>
      </c>
      <c r="D29" s="5">
        <f>NPV(Title_RESULTS!$C$37,'Sheet9(F_25)'!D17:D26)+'Sheet9(F_25)'!D16</f>
        <v>1887.3539679367218</v>
      </c>
      <c r="E29" s="5">
        <f>NPV(Title_RESULTS!$C$37,'Sheet9(F_25)'!E17:E26)+'Sheet9(F_25)'!E16</f>
        <v>2868.384779885292</v>
      </c>
      <c r="F29" s="5">
        <f>NPV(Title_RESULTS!$C$37,'Sheet9(F_25)'!F17:F26)+'Sheet9(F_25)'!F16</f>
        <v>0</v>
      </c>
      <c r="G29" s="5">
        <f>NPV(Title_RESULTS!$C$37,'Sheet9(F_25)'!G17:G26)+'Sheet9(F_25)'!G16</f>
        <v>4870.57047826587</v>
      </c>
      <c r="H29" s="5">
        <f>NPV(Title_RESULTS!$C$37,'Sheet9(F_25)'!H17:H26)+'Sheet9(F_25)'!H16</f>
        <v>2964.055231122931</v>
      </c>
      <c r="I29" s="5">
        <f>NPV(Title_RESULTS!$C$37,'Sheet9(F_25)'!I17:I26)+'Sheet9(F_25)'!I16</f>
        <v>416.6833907986426</v>
      </c>
      <c r="J29" s="5">
        <f>NPV(Title_RESULTS!$C$37,'Sheet9(F_25)'!J17:J26)+'Sheet9(F_25)'!J16</f>
        <v>0</v>
      </c>
      <c r="K29" s="9">
        <f>NPV(Title_RESULTS!$C$37,'Sheet9(F_25)'!K17:K26)+'Sheet9(F_25)'!K16</f>
        <v>0</v>
      </c>
      <c r="L29" s="5">
        <f>NPV(Title_RESULTS!$C$37,'Sheet9(F_25)'!L17:L26)+'Sheet9(F_25)'!L16</f>
        <v>3380.7386219215737</v>
      </c>
      <c r="M29" s="5">
        <f>NPV(Title_RESULTS!$C$37,'Sheet9(F_25)'!M17:M26)+'Sheet9(F_25)'!M16</f>
        <v>-1489.8318563442972</v>
      </c>
    </row>
    <row r="31" spans="1:10" ht="12.75">
      <c r="A31" t="s">
        <v>175</v>
      </c>
      <c r="D31">
        <f>+Title_RESULTS!C37</f>
        <v>0.0708</v>
      </c>
      <c r="F31" t="s">
        <v>183</v>
      </c>
      <c r="J31" s="10">
        <f>+L29/G29</f>
        <v>0.6941155326686208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1287.7886647807636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75.1204352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192.31088640000002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7.423574450481946</v>
      </c>
      <c r="P24" s="48">
        <f aca="true" t="shared" si="4" ref="P24:P61">N24*$L$5</f>
        <v>19.00460479265935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7.601740237293513</v>
      </c>
      <c r="P25" s="48">
        <f t="shared" si="4"/>
        <v>19.460715307683174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177.18769524108328</v>
      </c>
      <c r="E26" s="11">
        <f>IF(B26=Title_RESULTS!$H$8,$F$16,+E25*(1+$F$7))</f>
        <v>0.09882230355451863</v>
      </c>
      <c r="F26" s="9">
        <f t="shared" si="1"/>
        <v>127.26224234503285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10.335870428601066</v>
      </c>
      <c r="L26" s="5">
        <f t="shared" si="3"/>
        <v>26.46018222002818</v>
      </c>
      <c r="N26" s="11">
        <f>IF(+B26=Title_RESULTS!$H$9,'Value of Defferal'!$O$16,+'Value of Defferal'!N25*(1+'Value of Defferal'!$F$7))</f>
        <v>0.10362269577198292</v>
      </c>
      <c r="O26" s="5">
        <f t="shared" si="7"/>
        <v>7.784182002988557</v>
      </c>
      <c r="P26" s="48">
        <f t="shared" si="4"/>
        <v>19.92777247506757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171.95536313353261</v>
      </c>
      <c r="E27" s="11">
        <f>IF(B27=Title_RESULTS!$H$8,$F$16,+E26*(1+$F$7))</f>
        <v>0.10119403883982707</v>
      </c>
      <c r="F27" s="9">
        <f t="shared" si="1"/>
        <v>130.31653616131362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10.030653372588963</v>
      </c>
      <c r="L27" s="5">
        <f t="shared" si="3"/>
        <v>25.67881610533765</v>
      </c>
      <c r="N27" s="11">
        <f>IF(+B27=Title_RESULTS!$H$9,'Value of Defferal'!$O$16,+'Value of Defferal'!N26*(1+'Value of Defferal'!$F$7))</f>
        <v>0.10610964047051051</v>
      </c>
      <c r="O27" s="5">
        <f t="shared" si="7"/>
        <v>7.971002371060282</v>
      </c>
      <c r="P27" s="48">
        <f t="shared" si="4"/>
        <v>20.40603901446919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166.17890664666743</v>
      </c>
      <c r="E28" s="11">
        <f>IF(B28=Title_RESULTS!$H$8,$F$16,+E27*(1+$F$7))</f>
        <v>0.10362269577198292</v>
      </c>
      <c r="F28" s="9">
        <f t="shared" si="1"/>
        <v>133.44413302918517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9.693695968727168</v>
      </c>
      <c r="L28" s="5">
        <f t="shared" si="3"/>
        <v>24.81619361329297</v>
      </c>
      <c r="N28" s="11">
        <f>IF(+B28=Title_RESULTS!$H$9,'Value of Defferal'!$O$16,+'Value of Defferal'!N27*(1+'Value of Defferal'!$F$7))</f>
        <v>0.10865627184180277</v>
      </c>
      <c r="O28" s="5">
        <f t="shared" si="7"/>
        <v>8.16230642796573</v>
      </c>
      <c r="P28" s="48">
        <f t="shared" si="4"/>
        <v>20.89578395081645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160.6791105836509</v>
      </c>
      <c r="E29" s="11">
        <f>IF(B29=Title_RESULTS!$H$8,$F$16,+E28*(1+$F$7))</f>
        <v>0.10610964047051051</v>
      </c>
      <c r="F29" s="9">
        <f t="shared" si="1"/>
        <v>136.64679222188562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9.372876967081906</v>
      </c>
      <c r="L29" s="5">
        <f t="shared" si="3"/>
        <v>23.994885983536808</v>
      </c>
      <c r="N29" s="11">
        <f>IF(+B29=Title_RESULTS!$H$9,'Value of Defferal'!$O$16,+'Value of Defferal'!N28*(1+'Value of Defferal'!$F$7))</f>
        <v>0.11126402236600604</v>
      </c>
      <c r="O29" s="5">
        <f t="shared" si="7"/>
        <v>8.358201782236907</v>
      </c>
      <c r="P29" s="48">
        <f t="shared" si="4"/>
        <v>21.397282765636046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155.4282322648616</v>
      </c>
      <c r="E30" s="11">
        <f>IF(B30=Title_RESULTS!$H$8,$F$16,+E29*(1+$F$7))</f>
        <v>0.10865627184180277</v>
      </c>
      <c r="F30" s="9">
        <f t="shared" si="1"/>
        <v>139.92631523521086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9.066578056959997</v>
      </c>
      <c r="L30" s="5">
        <f t="shared" si="3"/>
        <v>23.210750285280124</v>
      </c>
      <c r="N30" s="11">
        <f>IF(+B30=Title_RESULTS!$H$9,'Value of Defferal'!$O$16,+'Value of Defferal'!N29*(1+'Value of Defferal'!$F$7))</f>
        <v>0.11393435890279018</v>
      </c>
      <c r="O30" s="5">
        <f t="shared" si="7"/>
        <v>8.558798625010592</v>
      </c>
      <c r="P30" s="48">
        <f t="shared" si="4"/>
        <v>21.910817552011313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150.40159450013908</v>
      </c>
      <c r="E31" s="11">
        <f>IF(B31=Title_RESULTS!$H$8,$F$16,+E30*(1+$F$7))</f>
        <v>0.11126402236600604</v>
      </c>
      <c r="F31" s="9">
        <f t="shared" si="1"/>
        <v>143.28454680085594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8.773359746529383</v>
      </c>
      <c r="L31" s="5">
        <f t="shared" si="3"/>
        <v>22.460101370141494</v>
      </c>
      <c r="N31" s="11">
        <f>IF(+B31=Title_RESULTS!$H$9,'Value of Defferal'!$O$16,+'Value of Defferal'!N30*(1+'Value of Defferal'!$F$7))</f>
        <v>0.11666878351645714</v>
      </c>
      <c r="O31" s="5">
        <f t="shared" si="7"/>
        <v>8.764209792010847</v>
      </c>
      <c r="P31" s="48">
        <f t="shared" si="4"/>
        <v>22.436677173259582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145.53144997239687</v>
      </c>
      <c r="E32" s="11">
        <f>IF(B32=Title_RESULTS!$H$8,$F$16,+E31*(1+$F$7))</f>
        <v>0.11393435890279018</v>
      </c>
      <c r="F32" s="9">
        <f t="shared" si="1"/>
        <v>146.72337592407646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8.489270138959204</v>
      </c>
      <c r="L32" s="5">
        <f t="shared" si="3"/>
        <v>21.732822246912328</v>
      </c>
      <c r="N32" s="11">
        <f>IF(+B32=Title_RESULTS!$H$9,'Value of Defferal'!$O$16,+'Value of Defferal'!N31*(1+'Value of Defferal'!$F$7))</f>
        <v>0.11946883432085212</v>
      </c>
      <c r="O32" s="5">
        <f t="shared" si="7"/>
        <v>8.974550827019108</v>
      </c>
      <c r="P32" s="48">
        <f t="shared" si="4"/>
        <v>22.975157425417816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140.71142619734087</v>
      </c>
      <c r="E33" s="11">
        <f>IF(B33=Title_RESULTS!$H$8,$F$16,+E32*(1+$F$7))</f>
        <v>0.11666878351645714</v>
      </c>
      <c r="F33" s="9">
        <f t="shared" si="1"/>
        <v>150.2447369462543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8.20810421976842</v>
      </c>
      <c r="L33" s="5">
        <f t="shared" si="3"/>
        <v>21.0130278660479</v>
      </c>
      <c r="N33" s="11">
        <f>IF(+B33=Title_RESULTS!$H$9,'Value of Defferal'!$O$16,+'Value of Defferal'!N32*(1+'Value of Defferal'!$F$7))</f>
        <v>0.12233608634455258</v>
      </c>
      <c r="O33" s="5">
        <f t="shared" si="7"/>
        <v>9.189940046867568</v>
      </c>
      <c r="P33" s="48">
        <f t="shared" si="4"/>
        <v>23.526561203627843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135.8914024222848</v>
      </c>
      <c r="E34" s="11">
        <f>IF(B34=Title_RESULTS!$H$8,$F$16,+E33*(1+$F$7))</f>
        <v>0.11946883432085212</v>
      </c>
      <c r="F34" s="9">
        <f t="shared" si="1"/>
        <v>153.85061063296442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7.926938300577636</v>
      </c>
      <c r="L34" s="5">
        <f t="shared" si="3"/>
        <v>20.293233485183467</v>
      </c>
      <c r="N34" s="11">
        <f>IF(+B34=Title_RESULTS!$H$9,'Value of Defferal'!$O$16,+'Value of Defferal'!N33*(1+'Value of Defferal'!$F$7))</f>
        <v>0.12527215241682185</v>
      </c>
      <c r="O34" s="5">
        <f t="shared" si="7"/>
        <v>9.41049860799239</v>
      </c>
      <c r="P34" s="48">
        <f t="shared" si="4"/>
        <v>24.091198672514913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131.07137864722878</v>
      </c>
      <c r="E35" s="11">
        <f>IF(B35=Title_RESULTS!$H$8,$F$16,+E34*(1+$F$7))</f>
        <v>0.12233608634455258</v>
      </c>
      <c r="F35" s="9">
        <f t="shared" si="1"/>
        <v>157.54302528815558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7.645772381386852</v>
      </c>
      <c r="L35" s="5">
        <f t="shared" si="3"/>
        <v>19.57343910431904</v>
      </c>
      <c r="N35" s="11">
        <f>IF(+B35=Title_RESULTS!$H$9,'Value of Defferal'!$O$16,+'Value of Defferal'!N34*(1+'Value of Defferal'!$F$7))</f>
        <v>0.12827868407482557</v>
      </c>
      <c r="O35" s="5">
        <f t="shared" si="7"/>
        <v>9.636350574584206</v>
      </c>
      <c r="P35" s="48">
        <f t="shared" si="4"/>
        <v>24.66938744065527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126.25135487217275</v>
      </c>
      <c r="E36" s="11">
        <f>IF(B36=Title_RESULTS!$H$8,$F$16,+E35*(1+$F$7))</f>
        <v>0.12527215241682185</v>
      </c>
      <c r="F36" s="9">
        <f t="shared" si="1"/>
        <v>161.32405789507132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7.364606462196068</v>
      </c>
      <c r="L36" s="5">
        <f t="shared" si="3"/>
        <v>18.85364472345461</v>
      </c>
      <c r="N36" s="11">
        <f>IF(+B36=Title_RESULTS!$H$9,'Value of Defferal'!$O$16,+'Value of Defferal'!N35*(1+'Value of Defferal'!$F$7))</f>
        <v>0.1313573724926214</v>
      </c>
      <c r="O36" s="5">
        <f t="shared" si="7"/>
        <v>9.867622988374228</v>
      </c>
      <c r="P36" s="48">
        <f t="shared" si="4"/>
        <v>25.261452739231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121.4313310971167</v>
      </c>
      <c r="E37" s="11">
        <f>IF(B37&gt;Title_RESULTS!$H$8-1+Title_RESULTS!$C$18,0,+E36*(1+$F$7))</f>
        <v>0.12827868407482557</v>
      </c>
      <c r="F37" s="9">
        <f t="shared" si="1"/>
        <v>165.19583528455303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7.083440543005283</v>
      </c>
      <c r="L37" s="5">
        <f t="shared" si="3"/>
        <v>18.13385034259018</v>
      </c>
      <c r="N37" s="11">
        <f>IF(+B37=Title_RESULTS!$H$9,'Value of Defferal'!$O$16,+'Value of Defferal'!N36*(1+'Value of Defferal'!$F$7))</f>
        <v>0.1345099494324443</v>
      </c>
      <c r="O37" s="5">
        <f t="shared" si="7"/>
        <v>10.104445940095209</v>
      </c>
      <c r="P37" s="48">
        <f t="shared" si="4"/>
        <v>25.86772760497254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116.61130732206064</v>
      </c>
      <c r="E38" s="11">
        <f>IF(B38&gt;Title_RESULTS!$H$8-1+Title_RESULTS!$C$18,0,+E37*(1+$F$7))</f>
        <v>0.1313573724926214</v>
      </c>
      <c r="F38" s="9">
        <f t="shared" si="1"/>
        <v>169.1605353313823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6.8022746238144975</v>
      </c>
      <c r="L38" s="5">
        <f t="shared" si="3"/>
        <v>17.414055961725747</v>
      </c>
      <c r="N38" s="11">
        <f>IF(+B38=Title_RESULTS!$H$9,'Value of Defferal'!$O$16,+'Value of Defferal'!N37*(1+'Value of Defferal'!$F$7))</f>
        <v>0.13773818821882297</v>
      </c>
      <c r="O38" s="5">
        <f t="shared" si="7"/>
        <v>10.346952642657495</v>
      </c>
      <c r="P38" s="48">
        <f t="shared" si="4"/>
        <v>26.488553067491885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111.7912835470046</v>
      </c>
      <c r="E39" s="11">
        <f>IF(B39&gt;Title_RESULTS!$H$8-1+Title_RESULTS!$C$18,0,+E38*(1+$F$7))</f>
        <v>0.1345099494324443</v>
      </c>
      <c r="F39" s="9">
        <f t="shared" si="1"/>
        <v>173.22038817933546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6.521108704623712</v>
      </c>
      <c r="L39" s="5">
        <f t="shared" si="3"/>
        <v>16.694261580861312</v>
      </c>
      <c r="N39" s="11">
        <f>IF(+B39&gt;Title_RESULTS!$H$9+Title_RESULTS!$C$19-1,0,+'Value of Defferal'!N38*(1+'Value of Defferal'!$F$7))</f>
        <v>0.14104390473607473</v>
      </c>
      <c r="O39" s="5">
        <f t="shared" si="7"/>
        <v>10.595279506081274</v>
      </c>
      <c r="P39" s="48">
        <f t="shared" si="4"/>
        <v>27.12427834111169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106.9712597719486</v>
      </c>
      <c r="E40" s="11">
        <f>IF(B40&gt;Title_RESULTS!$H$8-1+Title_RESULTS!$C$18,0,+E39*(1+$F$7))</f>
        <v>0.13773818821882297</v>
      </c>
      <c r="F40" s="9">
        <f t="shared" si="1"/>
        <v>177.37767749563955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6.2399427854329295</v>
      </c>
      <c r="L40" s="5">
        <f t="shared" si="3"/>
        <v>15.974467199996889</v>
      </c>
      <c r="N40" s="11">
        <f>IF(+B40&gt;Title_RESULTS!$H$9+Title_RESULTS!$C$19-1,0,+'Value of Defferal'!N39*(1+'Value of Defferal'!$F$7))</f>
        <v>0.14442895844974052</v>
      </c>
      <c r="O40" s="5">
        <f t="shared" si="7"/>
        <v>10.849566214227226</v>
      </c>
      <c r="P40" s="48">
        <f t="shared" si="4"/>
        <v>27.77526102129837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102.60385551579836</v>
      </c>
      <c r="E41" s="11">
        <f>IF(B41&gt;Title_RESULTS!$H$8-1+Title_RESULTS!$C$18,0,+E40*(1+$F$7))</f>
        <v>0.14104390473607473</v>
      </c>
      <c r="F41" s="9">
        <f t="shared" si="1"/>
        <v>181.6347417555349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5.985179471087255</v>
      </c>
      <c r="L41" s="5">
        <f t="shared" si="3"/>
        <v>15.322264391618878</v>
      </c>
      <c r="N41" s="11">
        <f>IF(+B41&gt;Title_RESULTS!$H$9+Title_RESULTS!$C$19-1,0,+'Value of Defferal'!N40*(1+'Value of Defferal'!$F$7))</f>
        <v>0.1478952534525343</v>
      </c>
      <c r="O41" s="5">
        <f t="shared" si="7"/>
        <v>11.10995580336868</v>
      </c>
      <c r="P41" s="48">
        <f t="shared" si="4"/>
        <v>28.441867285809533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99.14153702298675</v>
      </c>
      <c r="E42" s="11">
        <f>IF(B42&gt;Title_RESULTS!$H$8-1+Title_RESULTS!$C$18,0,+E41*(1+$F$7))</f>
        <v>0.14442895844974052</v>
      </c>
      <c r="F42" s="9">
        <f t="shared" si="1"/>
        <v>185.99397555766774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5.78321242548875</v>
      </c>
      <c r="L42" s="5">
        <f t="shared" si="3"/>
        <v>14.805221839093331</v>
      </c>
      <c r="N42" s="11">
        <f>IF(+B42&gt;Title_RESULTS!$H$9+Title_RESULTS!$C$19-1,0,+'Value of Defferal'!N41*(1+'Value of Defferal'!$F$7))</f>
        <v>0.1514447395353951</v>
      </c>
      <c r="O42" s="5">
        <f t="shared" si="7"/>
        <v>11.376594742649527</v>
      </c>
      <c r="P42" s="48">
        <f t="shared" si="4"/>
        <v>29.12447210066896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96.13168477460795</v>
      </c>
      <c r="E43" s="11">
        <f>IF(B43&gt;Title_RESULTS!$H$8-1+Title_RESULTS!$C$18,0,+E42*(1+$F$7))</f>
        <v>0.1478952534525343</v>
      </c>
      <c r="F43" s="9">
        <f t="shared" si="1"/>
        <v>190.45783097105175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5.607639043792299</v>
      </c>
      <c r="L43" s="5">
        <f t="shared" si="3"/>
        <v>14.355747969933827</v>
      </c>
      <c r="N43" s="11">
        <f>IF(+B43&gt;Title_RESULTS!$H$9+Title_RESULTS!$C$19-1,0,+'Value of Defferal'!N42*(1+'Value of Defferal'!$F$7))</f>
        <v>0.1550794132842446</v>
      </c>
      <c r="O43" s="5">
        <f t="shared" si="7"/>
        <v>11.649633016473116</v>
      </c>
      <c r="P43" s="48">
        <f t="shared" si="4"/>
        <v>29.823459431085016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93.12183252622914</v>
      </c>
      <c r="E44" s="11">
        <f>IF(B44&gt;Title_RESULTS!$H$8-1+Title_RESULTS!$C$18,0,+E43*(1+$F$7))</f>
        <v>0.1514447395353951</v>
      </c>
      <c r="F44" s="9">
        <f t="shared" si="1"/>
        <v>195.028818914357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5.43206566209585</v>
      </c>
      <c r="L44" s="5">
        <f t="shared" si="3"/>
        <v>13.906274100774324</v>
      </c>
      <c r="N44" s="11">
        <f>IF(+B44&gt;Title_RESULTS!$H$9+Title_RESULTS!$C$19-1,0,+'Value of Defferal'!N43*(1+'Value of Defferal'!$F$7))</f>
        <v>0.15880131920306648</v>
      </c>
      <c r="O44" s="5">
        <f t="shared" si="7"/>
        <v>11.92922420886847</v>
      </c>
      <c r="P44" s="48">
        <f t="shared" si="4"/>
        <v>30.53922245743106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90.1119802778503</v>
      </c>
      <c r="E45" s="11">
        <f>IF(B45&gt;Title_RESULTS!$H$8-1+Title_RESULTS!$C$18,0,+E44*(1+$F$7))</f>
        <v>0.1550794132842446</v>
      </c>
      <c r="F45" s="9">
        <f t="shared" si="1"/>
        <v>199.70951056830157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5.256492280399398</v>
      </c>
      <c r="L45" s="5">
        <f t="shared" si="3"/>
        <v>13.456800231614814</v>
      </c>
      <c r="N45" s="11">
        <f>IF(+B45&gt;Title_RESULTS!$H$9+Title_RESULTS!$C$19-1,0,+'Value of Defferal'!N44*(1+'Value of Defferal'!$F$7))</f>
        <v>0.16261255086394008</v>
      </c>
      <c r="O45" s="5">
        <f t="shared" si="7"/>
        <v>12.215525589881315</v>
      </c>
      <c r="P45" s="48">
        <f t="shared" si="4"/>
        <v>31.272163796409405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87.10212802947149</v>
      </c>
      <c r="E46" s="11">
        <f>IF(B46&gt;Title_RESULTS!$H$8-1+Title_RESULTS!$C$18,0,+E45*(1+$F$7))</f>
        <v>0.15880131920306648</v>
      </c>
      <c r="F46" s="9">
        <f t="shared" si="1"/>
        <v>204.50253882194082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5.080918898702947</v>
      </c>
      <c r="L46" s="5">
        <f t="shared" si="3"/>
        <v>13.007326362455307</v>
      </c>
      <c r="N46" s="11">
        <f>IF(+B46&gt;Title_RESULTS!$H$9+Title_RESULTS!$C$19-1,0,+'Value of Defferal'!N45*(1+'Value of Defferal'!$F$7))</f>
        <v>0.16651525208467466</v>
      </c>
      <c r="O46" s="5">
        <f t="shared" si="7"/>
        <v>12.508698204038469</v>
      </c>
      <c r="P46" s="48">
        <f t="shared" si="4"/>
        <v>32.022695727523235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84.0922757810927</v>
      </c>
      <c r="E47" s="11">
        <f>IF(B47&gt;Title_RESULTS!$H$8-1+Title_RESULTS!$C$18,0,+E46*(1+$F$7))</f>
        <v>0.16261255086394008</v>
      </c>
      <c r="F47" s="9">
        <f t="shared" si="1"/>
        <v>209.4105997536674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4.905345517006499</v>
      </c>
      <c r="L47" s="5">
        <f t="shared" si="3"/>
        <v>12.557852493295806</v>
      </c>
      <c r="N47" s="11">
        <f>IF(+B47&gt;Title_RESULTS!$H$9+Title_RESULTS!$C$19-1,0,+'Value of Defferal'!N46*(1+'Value of Defferal'!$F$7))</f>
        <v>0.17051161813470686</v>
      </c>
      <c r="O47" s="5">
        <f t="shared" si="7"/>
        <v>12.808906960935392</v>
      </c>
      <c r="P47" s="48">
        <f t="shared" si="4"/>
        <v>32.79124042498379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81.08242353271388</v>
      </c>
      <c r="E48" s="11">
        <f>IF(B48&gt;Title_RESULTS!$H$8-1+Title_RESULTS!$C$18,0,+E47*(1+$F$7))</f>
        <v>0.16651525208467466</v>
      </c>
      <c r="F48" s="9">
        <f t="shared" si="1"/>
        <v>214.43645414775546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4.729772135310048</v>
      </c>
      <c r="L48" s="5">
        <f t="shared" si="3"/>
        <v>12.1083786241363</v>
      </c>
      <c r="N48" s="11">
        <f>IF(+B48&gt;Title_RESULTS!$H$9+Title_RESULTS!$C$19-1,0,+'Value of Defferal'!N47*(1+'Value of Defferal'!$F$7))</f>
        <v>0.17460389696993983</v>
      </c>
      <c r="O48" s="5">
        <f t="shared" si="7"/>
        <v>13.116320727997842</v>
      </c>
      <c r="P48" s="48">
        <f t="shared" si="4"/>
        <v>33.57823019518341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78.07257128433504</v>
      </c>
      <c r="E49" s="11">
        <f>IF(B49&gt;Title_RESULTS!$H$8-1+Title_RESULTS!$C$18,0,+E48*(1+$F$7))</f>
        <v>0.17051161813470686</v>
      </c>
      <c r="F49" s="9">
        <f t="shared" si="1"/>
        <v>219.58292904730158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4.554198753613596</v>
      </c>
      <c r="L49" s="5">
        <f t="shared" si="3"/>
        <v>11.658904754976792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75.06271903595622</v>
      </c>
      <c r="E50" s="11">
        <f>IF(B50&gt;Title_RESULTS!$H$8-1+Title_RESULTS!$C$18,0,+E49*(1+$F$7))</f>
        <v>0.17460389696993983</v>
      </c>
      <c r="F50" s="9">
        <f t="shared" si="1"/>
        <v>224.85291934443683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4.378625371917146</v>
      </c>
      <c r="L50" s="5">
        <f t="shared" si="3"/>
        <v>11.209430885817287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72.05286678757741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4.203051990220696</v>
      </c>
      <c r="L51" s="5">
        <f t="shared" si="3"/>
        <v>10.759957016657783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3076.668970788109</v>
      </c>
      <c r="F63" s="9">
        <f>SUM(F23:F61)</f>
        <v>4291.131127652932</v>
      </c>
      <c r="J63" t="s">
        <v>87</v>
      </c>
      <c r="K63" s="9">
        <f>SUM(K23:K61)</f>
        <v>179.47099424988755</v>
      </c>
      <c r="O63" s="9">
        <f>SUM(O23:O61)</f>
        <v>250.31408229115985</v>
      </c>
    </row>
    <row r="64" spans="3:15" ht="12.75">
      <c r="C64" t="s">
        <v>89</v>
      </c>
      <c r="D64" s="9">
        <f>NPV(+Title_RESULTS!$C$37,'Value of Defferal'!D24:D61)+'Value of Defferal'!D23</f>
        <v>1373.751302833008</v>
      </c>
      <c r="F64" s="9">
        <f>NPV(+Title_RESULTS!$C$37,'Value of Defferal'!F24:F61)+'Value of Defferal'!F23</f>
        <v>1595.6380196534976</v>
      </c>
      <c r="J64" t="s">
        <v>89</v>
      </c>
      <c r="K64" s="9">
        <f>NPV(+Title_RESULTS!$C$37,'Value of Defferal'!K24:K61)+'Value of Defferal'!K23</f>
        <v>80.13488435460881</v>
      </c>
      <c r="O64" s="9">
        <f>NPV(+Title_RESULTS!$C$37,'Value of Defferal'!O24:O61)+'Value of Defferal'!O23</f>
        <v>106.72461530608895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0.7028348978538933</v>
      </c>
      <c r="C25" t="s">
        <v>372</v>
      </c>
    </row>
    <row r="26" spans="2:3" ht="18">
      <c r="B26" s="15">
        <f>+((Input!$C$6*'EUE_Line Losses'!C4)+(Input!$C$7*'EUE_Line Losses'!C3))/'EUE_Line Losses'!C22</f>
        <v>0.7005676885059775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E11" sqref="E11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v>10.0895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1" sqref="C41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0.12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0.76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3230.5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10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40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1085.01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672.61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Variable Speed Pool Pump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43599.320695138886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0.76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0.7005676885059775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3407.7004219409287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3230.5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10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40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1085.01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10.0895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672.61</v>
      </c>
      <c r="D39" s="13" t="s">
        <v>189</v>
      </c>
      <c r="G39" s="20" t="s">
        <v>346</v>
      </c>
      <c r="H39" s="79">
        <f>+'Sheet7(F_23)'!H31</f>
        <v>1.0477319845896171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+'Sheet8(F_24)'!K29</f>
        <v>3384.0575684672012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+'Sheet9(F_25)'!J31</f>
        <v>0.6941155326686208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2019-05-14T11:41:49Z</dcterms:created>
  <dcterms:modified xsi:type="dcterms:W3CDTF">2019-05-14T11:41:52Z</dcterms:modified>
  <cp:category/>
  <cp:version/>
  <cp:contentType/>
  <cp:contentStatus/>
</cp:coreProperties>
</file>