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<sst xmlns="http://schemas.openxmlformats.org/spreadsheetml/2006/main" count="1258" uniqueCount="468">
  <si>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</si>
  <si>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</si>
  <si>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</si>
  <si>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</si>
  <si>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</si>
  <si>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</si>
  <si>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</si>
  <si>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</si>
  <si>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</si>
  <si>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</si>
  <si>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</si>
  <si>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</si>
  <si>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</si>
  <si>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</si>
  <si>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</si>
  <si>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</si>
  <si>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</si>
  <si>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</si>
  <si>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</si>
  <si>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</si>
  <si>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</si>
  <si>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</si>
  <si>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</si>
  <si>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</si>
  <si>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</si>
  <si>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</si>
  <si>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</si>
  <si>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</si>
  <si>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</si>
  <si>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</si>
  <si>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</si>
  <si>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</si>
  <si>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</si>
  <si>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</si>
  <si>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</si>
  <si>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</si>
  <si>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</si>
  <si>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</si>
  <si>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</si>
  <si>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</si>
  <si>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</si>
  <si>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</si>
  <si>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</si>
  <si>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</si>
  <si>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</si>
  <si>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</si>
  <si>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</si>
  <si>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</si>
  <si>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</si>
  <si>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</si>
  <si>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</si>
  <si>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</si>
  <si>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</si>
  <si>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</si>
  <si>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</si>
  <si>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</si>
  <si>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</si>
  <si>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</si>
  <si>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</si>
  <si>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</si>
  <si>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</si>
  <si>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</si>
  <si>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</si>
  <si>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</si>
  <si>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</si>
  <si>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</si>
  <si>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</si>
  <si>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</si>
  <si>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</si>
  <si>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</si>
  <si>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</si>
  <si>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</si>
  <si>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</si>
  <si>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</si>
  <si>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</si>
  <si>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</si>
  <si>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</si>
  <si>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</si>
  <si>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</si>
  <si>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</si>
  <si>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</si>
  <si>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</si>
  <si>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</si>
  <si>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</si>
  <si>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</si>
  <si>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</si>
  <si>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</si>
  <si>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</si>
  <si>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</si>
  <si>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</si>
  <si>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</si>
  <si>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</si>
  <si>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</si>
  <si>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</si>
  <si>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</si>
  <si>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</si>
  <si>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</si>
  <si>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</si>
  <si>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</si>
  <si>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</si>
  <si>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</si>
  <si>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</si>
  <si>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</si>
  <si>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</si>
  <si>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</si>
  <si>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</si>
  <si>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</si>
  <si>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</si>
  <si>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</si>
  <si>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</si>
  <si>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</si>
  <si>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</si>
  <si>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</si>
  <si>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</si>
  <si>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</si>
  <si>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</si>
  <si>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</si>
  <si>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</si>
  <si>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</si>
  <si>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</si>
  <si>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</si>
  <si>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</si>
  <si>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</si>
  <si>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</si>
  <si>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</si>
  <si>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</si>
  <si>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</si>
  <si>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</si>
  <si>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</si>
  <si>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</si>
  <si>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</si>
  <si>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</si>
  <si>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</si>
  <si>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</si>
  <si>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</si>
  <si>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</si>
  <si>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</si>
  <si>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</si>
  <si>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</si>
  <si>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</si>
  <si>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</si>
  <si>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</si>
  <si>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</si>
  <si>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</si>
  <si>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</si>
  <si>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</si>
  <si>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</si>
  <si>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</si>
  <si>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</si>
  <si>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</si>
  <si>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</si>
  <si>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</si>
  <si>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</si>
  <si>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</si>
  <si>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</si>
  <si>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</si>
  <si>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</si>
  <si>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</si>
  <si>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</si>
  <si>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</si>
  <si>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</si>
  <si>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</si>
  <si>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</si>
  <si>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</si>
  <si>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</si>
  <si>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</si>
  <si>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</si>
  <si>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</si>
  <si>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</si>
  <si>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</si>
  <si>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</si>
  <si>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</si>
  <si>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</si>
  <si>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</si>
  <si>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</si>
  <si>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</si>
  <si>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</si>
  <si>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</si>
  <si>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</si>
  <si>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</si>
  <si>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</si>
  <si>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</si>
  <si>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</si>
  <si>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</si>
  <si>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</si>
  <si>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</si>
  <si>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</si>
  <si>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</si>
  <si>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</si>
  <si>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</si>
  <si>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</si>
  <si>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</si>
  <si>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</si>
  <si>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</si>
  <si>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</si>
  <si>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</si>
  <si>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</si>
  <si>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</si>
  <si>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</si>
  <si>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</si>
  <si>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</si>
  <si>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</si>
  <si>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</si>
  <si>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</si>
  <si>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</si>
  <si>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</si>
  <si>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</si>
  <si>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</si>
  <si>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</si>
  <si>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</si>
  <si>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</si>
  <si>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</si>
  <si>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</si>
  <si>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</si>
  <si>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</si>
  <si>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</si>
  <si>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</si>
  <si>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</si>
  <si>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</si>
  <si>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</si>
  <si>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</si>
  <si>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</si>
  <si>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</si>
  <si>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</si>
  <si>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</si>
  <si>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</si>
  <si>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</si>
  <si>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</si>
  <si>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</si>
  <si>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</si>
  <si>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</si>
  <si>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</si>
  <si>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</si>
  <si>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</si>
  <si>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</si>
  <si>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</si>
  <si>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</si>
  <si>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</si>
  <si>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</si>
  <si>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</si>
  <si>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</si>
  <si>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</si>
  <si>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</si>
  <si>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</si>
  <si>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</si>
  <si>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</si>
  <si>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</si>
  <si>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</si>
  <si>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</si>
  <si>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</si>
  <si>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</si>
  <si>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</si>
  <si>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</si>
  <si>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</si>
  <si>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</si>
  <si>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</si>
  <si>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</si>
  <si>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</si>
  <si>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</si>
  <si>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</si>
  <si>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</si>
  <si>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</si>
  <si>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</si>
  <si>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</si>
  <si>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</si>
  <si>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</si>
  <si>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</si>
  <si>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</si>
  <si>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</si>
  <si>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</si>
  <si>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</si>
  <si>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</si>
  <si>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</si>
  <si>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</si>
  <si>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</si>
  <si>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</si>
  <si>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</si>
  <si>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</si>
  <si>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</si>
  <si>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</si>
  <si>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</si>
  <si>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</si>
  <si>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</si>
  <si>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</si>
  <si>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</si>
  <si>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</si>
  <si>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</si>
  <si>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</si>
  <si>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</si>
  <si>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</si>
  <si>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</si>
  <si>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</si>
  <si>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</si>
  <si>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</si>
  <si>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</si>
  <si>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</si>
  <si>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</si>
  <si>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</si>
  <si>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</si>
  <si>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</si>
  <si>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</si>
  <si>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</si>
  <si>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</si>
  <si>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</si>
  <si>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</si>
  <si>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</si>
  <si>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</si>
  <si>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</si>
  <si>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</si>
  <si>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</si>
  <si>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</si>
  <si>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</si>
  <si>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</si>
  <si>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</si>
  <si>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</si>
  <si>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</si>
  <si>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</si>
  <si>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</si>
  <si>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</si>
  <si>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</si>
  <si>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</si>
  <si>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</si>
  <si>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</si>
  <si>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</si>
  <si>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</si>
  <si>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</si>
  <si>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</si>
  <si>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</si>
  <si>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</si>
  <si>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</si>
  <si>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</si>
  <si>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</si>
  <si>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</si>
  <si>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</si>
  <si>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</si>
  <si>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</si>
  <si>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</si>
  <si>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</si>
  <si>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</si>
  <si>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</si>
  <si>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</si>
  <si>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</si>
  <si>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</si>
  <si>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</si>
  <si>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</si>
  <si>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</si>
  <si>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</si>
  <si>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</si>
  <si>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</si>
  <si>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</si>
  <si>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</si>
  <si>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</si>
  <si>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</si>
  <si>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</si>
  <si>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</si>
  <si>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</si>
  <si>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</si>
  <si>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</si>
  <si>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</si>
  <si>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</si>
  <si>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</si>
  <si>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</si>
  <si>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</si>
  <si>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</si>
  <si>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</si>
  <si>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</si>
  <si>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</si>
  <si>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</si>
  <si>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</si>
  <si>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</si>
  <si>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</si>
  <si>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</si>
  <si>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</si>
  <si>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</si>
  <si>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</si>
  <si>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</si>
  <si>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</si>
  <si>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</si>
  <si>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</si>
  <si>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</si>
  <si>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</si>
  <si>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</si>
  <si>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</si>
  <si>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</si>
  <si>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</si>
  <si>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</si>
  <si>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</si>
  <si>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</si>
  <si>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</si>
  <si>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</si>
  <si>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</si>
  <si>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</si>
  <si>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</si>
  <si>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</si>
  <si>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</si>
  <si>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</si>
  <si>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</si>
  <si>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</si>
  <si>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</si>
  <si>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</si>
  <si>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</si>
  <si>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</si>
  <si>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</si>
  <si>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</si>
  <si>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</si>
  <si>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</si>
  <si>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</si>
  <si>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</si>
  <si>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</si>
  <si>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</si>
  <si>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</si>
  <si>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</si>
  <si>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</si>
  <si>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</si>
  <si>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</si>
  <si>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</si>
  <si>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</si>
  <si>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</si>
  <si>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</si>
  <si>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</si>
  <si>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</si>
  <si>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</si>
  <si>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</si>
  <si>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</si>
  <si>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</si>
  <si>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</si>
  <si>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</si>
  <si>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</si>
  <si>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</si>
  <si>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</si>
  <si>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</si>
  <si>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</si>
  <si>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</si>
  <si>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</si>
  <si>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</si>
  <si>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</si>
  <si>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</si>
  <si>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</si>
  <si>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</si>
  <si>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</si>
  <si>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</si>
  <si>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</si>
  <si>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</si>
  <si>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</si>
  <si>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</si>
  <si>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</si>
  <si>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</si>
  <si>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</si>
  <si>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</si>
  <si>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</si>
  <si>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</si>
  <si>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</si>
  <si>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</si>
  <si>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</si>
  <si>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</si>
  <si>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</si>
  <si>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</si>
  <si>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</si>
  <si>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</si>
  <si>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</si>
  <si>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</si>
  <si>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</si>
  <si>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</si>
  <si>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</si>
  <si>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</si>
  <si>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</si>
  <si>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</si>
  <si>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VSD Controlled Compressor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</si>
</sst>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43599.320777546294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5688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43599.320777546294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VSD Controlled Compressor</v>
      </c>
      <c r="J2" t="s">
        <v>55</v>
      </c>
    </row>
    <row r="3" ht="12.75">
      <c r="J3" s="35">
        <f>+Title_RESULTS!I4</f>
        <v>43599.320777546294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5688</v>
      </c>
      <c r="H5" t="s">
        <v>59</v>
      </c>
    </row>
    <row r="6" spans="3:7" ht="12.75">
      <c r="C6" t="s">
        <v>61</v>
      </c>
      <c r="G6" s="36">
        <f>+'Value of Defferal'!E3</f>
        <v>3484.748775106081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344.3709012647701</v>
      </c>
      <c r="D19" s="5">
        <f>IF((Title_RESULTS!$H$8-Title_RESULTS!$H$7)&lt;=('Sheet3(F_21)'!A19-Title_RESULTS!$H$7),((Title_RESULTS!$C$8*Partcipation!$C$26*8760*Title_RESULTS!$H$21/100000)),0)</f>
        <v>4534.590861150071</v>
      </c>
      <c r="E19" s="5">
        <f>IF($G19=0,0,((Title_RESULTS!$H$14*((1+Title_RESULTS!$H$15/100)^($A19-Title_RESULTS!$H$7))*'EUE_Line Losses'!$B$25*Partcipation!$C$26))/1000)</f>
        <v>35.72434287844881</v>
      </c>
      <c r="F19" s="5">
        <f>IF($G19=0,0,(Title_RESULTS!$H$19/100*((1+Title_RESULTS!$H$20/100)^($A19-Title_RESULTS!$H$7))*$D19*1000)/1000)</f>
        <v>10.224857710924516</v>
      </c>
      <c r="G19" s="5">
        <f>(+Title_RESULTS!$H$22/100*((1+Title_RESULTS!$H$23/100)^(+'Sheet4(F_22)'!A19-Title_RESULTS!$H$7)))*'Sheet3(F_21)'!D19</f>
        <v>194.27497575833277</v>
      </c>
      <c r="H19" s="5">
        <f>IF($G19=0,0,(($D19))*(Partcipation!$G19/100))</f>
        <v>143.86568020686272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440.72939740561355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352.6358028951246</v>
      </c>
      <c r="D20" s="5">
        <f>IF((Title_RESULTS!$H$8-Title_RESULTS!$H$7)&lt;=('Sheet3(F_21)'!A20-Title_RESULTS!$H$7),((Title_RESULTS!$C$8*Partcipation!$C$26*8760*Title_RESULTS!$H$21/100000)),0)</f>
        <v>4534.590861150071</v>
      </c>
      <c r="E20" s="5">
        <f>IF($G20=0,0,((Title_RESULTS!$H$14*((1+Title_RESULTS!$H$15/100)^($A20-Title_RESULTS!$H$7))*'EUE_Line Losses'!$B$25*Partcipation!$C$26))/1000)</f>
        <v>36.58172710753157</v>
      </c>
      <c r="F20" s="5">
        <f>IF($G20=0,0,(Title_RESULTS!$H$19/100*((1+Title_RESULTS!$H$20/100)^($A20-Title_RESULTS!$H$7))*$D20*1000)/1000)</f>
        <v>10.470254295986704</v>
      </c>
      <c r="G20" s="5">
        <f>(+Title_RESULTS!$H$22/100*((1+Title_RESULTS!$H$23/100)^(+'Sheet4(F_22)'!A20-Title_RESULTS!$H$7)))*'Sheet3(F_21)'!D20</f>
        <v>203.0950596577611</v>
      </c>
      <c r="H20" s="5">
        <f>IF($G20=0,0,(($D20))*(Partcipation!$G20/100))</f>
        <v>150.3014254837648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452.48141847263923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361.0990621646076</v>
      </c>
      <c r="D21" s="5">
        <f>IF((Title_RESULTS!$H$8-Title_RESULTS!$H$7)&lt;=('Sheet3(F_21)'!A21-Title_RESULTS!$H$7),((Title_RESULTS!$C$8*Partcipation!$C$26*8760*Title_RESULTS!$H$21/100000)),0)</f>
        <v>4534.590861150071</v>
      </c>
      <c r="E21" s="5">
        <f>IF($G21=0,0,((Title_RESULTS!$H$14*((1+Title_RESULTS!$H$15/100)^($A21-Title_RESULTS!$H$7))*'EUE_Line Losses'!$B$25*Partcipation!$C$26))/1000)</f>
        <v>37.45968855811233</v>
      </c>
      <c r="F21" s="5">
        <f>IF($G21=0,0,(Title_RESULTS!$H$19/100*((1+Title_RESULTS!$H$20/100)^($A21-Title_RESULTS!$H$7))*$D21*1000)/1000)</f>
        <v>10.721540399090385</v>
      </c>
      <c r="G21" s="5">
        <f>(+Title_RESULTS!$H$22/100*((1+Title_RESULTS!$H$23/100)^(+'Sheet4(F_22)'!A21-Title_RESULTS!$H$7)))*'Sheet3(F_21)'!D21</f>
        <v>212.31557536622347</v>
      </c>
      <c r="H21" s="5">
        <f>IF($G21=0,0,(($D21))*(Partcipation!$G21/100))</f>
        <v>156.25761746509244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465.3382490229413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369.76543965655816</v>
      </c>
      <c r="D22" s="5">
        <f>IF((Title_RESULTS!$H$8-Title_RESULTS!$H$7)&lt;=('Sheet3(F_21)'!A22-Title_RESULTS!$H$7),((Title_RESULTS!$C$8*Partcipation!$C$26*8760*Title_RESULTS!$H$21/100000)),0)</f>
        <v>4534.590861150071</v>
      </c>
      <c r="E22" s="5">
        <f>IF($G22=0,0,((Title_RESULTS!$H$14*((1+Title_RESULTS!$H$15/100)^($A22-Title_RESULTS!$H$7))*'EUE_Line Losses'!$B$25*Partcipation!$C$26))/1000)</f>
        <v>38.35872108350702</v>
      </c>
      <c r="F22" s="5">
        <f>IF($G22=0,0,(Title_RESULTS!$H$19/100*((1+Title_RESULTS!$H$20/100)^($A22-Title_RESULTS!$H$7))*$D22*1000)/1000)</f>
        <v>10.978857368668553</v>
      </c>
      <c r="G22" s="5">
        <f>(+Title_RESULTS!$H$22/100*((1+Title_RESULTS!$H$23/100)^(+'Sheet4(F_22)'!A22-Title_RESULTS!$H$7)))*'Sheet3(F_21)'!D22</f>
        <v>221.95470248785006</v>
      </c>
      <c r="H22" s="5">
        <f>IF($G22=0,0,(($D22))*(Partcipation!$G22/100))</f>
        <v>161.3204201227377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479.73730047384606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378.63981020831557</v>
      </c>
      <c r="D23" s="5">
        <f>IF((Title_RESULTS!$H$8-Title_RESULTS!$H$7)&lt;=('Sheet3(F_21)'!A23-Title_RESULTS!$H$7),((Title_RESULTS!$C$8*Partcipation!$C$26*8760*Title_RESULTS!$H$21/100000)),0)</f>
        <v>4534.590861150071</v>
      </c>
      <c r="E23" s="5">
        <f>IF($G23=0,0,((Title_RESULTS!$H$14*((1+Title_RESULTS!$H$15/100)^($A23-Title_RESULTS!$H$7))*'EUE_Line Losses'!$B$25*Partcipation!$C$26))/1000)</f>
        <v>39.279330389511195</v>
      </c>
      <c r="F23" s="5">
        <f>IF($G23=0,0,(Title_RESULTS!$H$19/100*((1+Title_RESULTS!$H$20/100)^($A23-Title_RESULTS!$H$7))*$D23*1000)/1000)</f>
        <v>11.2423499455166</v>
      </c>
      <c r="G23" s="5">
        <f>(+Title_RESULTS!$H$22/100*((1+Title_RESULTS!$H$23/100)^(+'Sheet4(F_22)'!A23-Title_RESULTS!$H$7)))*'Sheet3(F_21)'!D23</f>
        <v>232.03144598079848</v>
      </c>
      <c r="H23" s="5">
        <f>IF($G23=0,0,(($D23))*(Partcipation!$G23/100))</f>
        <v>168.541068715072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492.6518678090698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387.7271656533152</v>
      </c>
      <c r="D24" s="5">
        <f>IF((Title_RESULTS!$H$8-Title_RESULTS!$H$7)&lt;=('Sheet3(F_21)'!A24-Title_RESULTS!$H$7),((Title_RESULTS!$C$8*Partcipation!$C$26*8760*Title_RESULTS!$H$21/100000)),0)</f>
        <v>4534.590861150071</v>
      </c>
      <c r="E24" s="5">
        <f>IF($G24=0,0,((Title_RESULTS!$H$14*((1+Title_RESULTS!$H$15/100)^($A24-Title_RESULTS!$H$7))*'EUE_Line Losses'!$B$25*Partcipation!$C$26))/1000)</f>
        <v>40.222034318859464</v>
      </c>
      <c r="F24" s="5">
        <f>IF($G24=0,0,(Title_RESULTS!$H$19/100*((1+Title_RESULTS!$H$20/100)^($A24-Title_RESULTS!$H$7))*$D24*1000)/1000)</f>
        <v>11.512166344208998</v>
      </c>
      <c r="G24" s="5">
        <f>(+Title_RESULTS!$H$22/100*((1+Title_RESULTS!$H$23/100)^(+'Sheet4(F_22)'!A24-Title_RESULTS!$H$7)))*'Sheet3(F_21)'!D24</f>
        <v>242.56567362832675</v>
      </c>
      <c r="H24" s="5">
        <f>IF($G24=0,0,(($D24))*(Partcipation!$G24/100))</f>
        <v>181.39475052748182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500.63228941722855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397.0326176289947</v>
      </c>
      <c r="D25" s="5">
        <f>IF((Title_RESULTS!$H$8-Title_RESULTS!$H$7)&lt;=('Sheet3(F_21)'!A25-Title_RESULTS!$H$7),((Title_RESULTS!$C$8*Partcipation!$C$26*8760*Title_RESULTS!$H$21/100000)),0)</f>
        <v>4534.590861150071</v>
      </c>
      <c r="E25" s="5">
        <f>IF($G25=0,0,((Title_RESULTS!$H$14*((1+Title_RESULTS!$H$15/100)^($A25-Title_RESULTS!$H$7))*'EUE_Line Losses'!$B$25*Partcipation!$C$26))/1000)</f>
        <v>41.18736314251208</v>
      </c>
      <c r="F25" s="5">
        <f>IF($G25=0,0,(Title_RESULTS!$H$19/100*((1+Title_RESULTS!$H$20/100)^($A25-Title_RESULTS!$H$7))*$D25*1000)/1000)</f>
        <v>11.788458336470011</v>
      </c>
      <c r="G25" s="5">
        <f>(+Title_RESULTS!$H$22/100*((1+Title_RESULTS!$H$23/100)^(+'Sheet4(F_22)'!A25-Title_RESULTS!$H$7)))*'Sheet3(F_21)'!D25</f>
        <v>253.5781552110528</v>
      </c>
      <c r="H25" s="5">
        <f>IF($G25=0,0,(($D25))*(Partcipation!$G25/100))</f>
        <v>189.35537770455412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514.2312166144756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406.5614004520906</v>
      </c>
      <c r="D26" s="5">
        <f>IF((Title_RESULTS!$H$8-Title_RESULTS!$H$7)&lt;=('Sheet3(F_21)'!A26-Title_RESULTS!$H$7),((Title_RESULTS!$C$8*Partcipation!$C$26*8760*Title_RESULTS!$H$21/100000)),0)</f>
        <v>4534.590861150071</v>
      </c>
      <c r="E26" s="5">
        <f>IF($G26=0,0,((Title_RESULTS!$H$14*((1+Title_RESULTS!$H$15/100)^($A26-Title_RESULTS!$H$7))*'EUE_Line Losses'!$B$25*Partcipation!$C$26))/1000)</f>
        <v>42.17585985793237</v>
      </c>
      <c r="F26" s="5">
        <f>IF($G26=0,0,(Title_RESULTS!$H$19/100*((1+Title_RESULTS!$H$20/100)^($A26-Title_RESULTS!$H$7))*$D26*1000)/1000)</f>
        <v>12.071381336545292</v>
      </c>
      <c r="G26" s="5">
        <f>(+Title_RESULTS!$H$22/100*((1+Title_RESULTS!$H$23/100)^(+'Sheet4(F_22)'!A26-Title_RESULTS!$H$7)))*'Sheet3(F_21)'!D26</f>
        <v>265.09060345763464</v>
      </c>
      <c r="H26" s="5">
        <f>IF($G26=0,0,(($D26))*(Partcipation!$G26/100))</f>
        <v>203.43450043422598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522.4647446699769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416.3188740629408</v>
      </c>
      <c r="D27" s="5">
        <f>IF((Title_RESULTS!$H$8-Title_RESULTS!$H$7)&lt;=('Sheet3(F_21)'!A27-Title_RESULTS!$H$7),((Title_RESULTS!$C$8*Partcipation!$C$26*8760*Title_RESULTS!$H$21/100000)),0)</f>
        <v>4534.590861150071</v>
      </c>
      <c r="E27" s="5">
        <f>IF($G27=0,0,((Title_RESULTS!$H$14*((1+Title_RESULTS!$H$15/100)^($A27-Title_RESULTS!$H$7))*'EUE_Line Losses'!$B$25*Partcipation!$C$26))/1000)</f>
        <v>43.188080494522765</v>
      </c>
      <c r="F27" s="5">
        <f>IF($G27=0,0,(Title_RESULTS!$H$19/100*((1+Title_RESULTS!$H$20/100)^($A27-Title_RESULTS!$H$7))*$D27*1000)/1000)</f>
        <v>12.361094488622381</v>
      </c>
      <c r="G27" s="5">
        <f>(+Title_RESULTS!$H$22/100*((1+Title_RESULTS!$H$23/100)^(+'Sheet4(F_22)'!A27-Title_RESULTS!$H$7)))*'Sheet3(F_21)'!D27</f>
        <v>277.12571685461126</v>
      </c>
      <c r="H27" s="5">
        <f>IF($G27=0,0,(($D27))*(Partcipation!$G27/100))</f>
        <v>208.49331768799516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540.5004482127019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426.3105270404514</v>
      </c>
      <c r="D28" s="5">
        <f>IF((Title_RESULTS!$H$8-Title_RESULTS!$H$7)&lt;=('Sheet3(F_21)'!A28-Title_RESULTS!$H$7),((Title_RESULTS!$C$8*Partcipation!$C$26*8760*Title_RESULTS!$H$21/100000)),0)</f>
        <v>4534.590861150071</v>
      </c>
      <c r="E28" s="5">
        <f>IF($G28=0,0,((Title_RESULTS!$H$14*((1+Title_RESULTS!$H$15/100)^($A28-Title_RESULTS!$H$7))*'EUE_Line Losses'!$B$25*Partcipation!$C$26))/1000)</f>
        <v>44.224594426391306</v>
      </c>
      <c r="F28" s="5">
        <f>IF($G28=0,0,(Title_RESULTS!$H$19/100*((1+Title_RESULTS!$H$20/100)^($A28-Title_RESULTS!$H$7))*$D28*1000)/1000)</f>
        <v>12.657760756349317</v>
      </c>
      <c r="G28" s="5">
        <f>(+Title_RESULTS!$H$22/100*((1+Title_RESULTS!$H$23/100)^(+'Sheet4(F_22)'!A28-Title_RESULTS!$H$7)))*'Sheet3(F_21)'!D28</f>
        <v>289.7072243998106</v>
      </c>
      <c r="H28" s="5">
        <f>IF($G28=0,0,(($D28))*(Partcipation!$G28/100))</f>
        <v>221.0049832279976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551.8951233950049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436.54197968942225</v>
      </c>
      <c r="D29" s="5">
        <f>IF((Title_RESULTS!$H$8-Title_RESULTS!$H$7)&lt;=('Sheet3(F_21)'!A29-Title_RESULTS!$H$7),((Title_RESULTS!$C$8*Partcipation!$C$26*8760*Title_RESULTS!$H$21/100000)),0)</f>
        <v>4534.590861150071</v>
      </c>
      <c r="E29" s="5">
        <f>IF($G29=0,0,((Title_RESULTS!$H$14*((1+Title_RESULTS!$H$15/100)^($A29-Title_RESULTS!$H$7))*'EUE_Line Losses'!$B$25*Partcipation!$C$26))/1000)</f>
        <v>45.285984692624695</v>
      </c>
      <c r="F29" s="5">
        <f>IF($G29=0,0,(Title_RESULTS!$H$19/100*((1+Title_RESULTS!$H$20/100)^($A29-Title_RESULTS!$H$7))*$D29*1000)/1000)</f>
        <v>12.9615470145017</v>
      </c>
      <c r="G29" s="5">
        <f>(+Title_RESULTS!$H$22/100*((1+Title_RESULTS!$H$23/100)^(+'Sheet4(F_22)'!A29-Title_RESULTS!$H$7)))*'Sheet3(F_21)'!D29</f>
        <v>302.859932387562</v>
      </c>
      <c r="H29" s="5">
        <f>IF($G29=0,0,(($D29))*(Partcipation!$G29/100))</f>
        <v>226.0455452857587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571.6038984983518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447.01898720196834</v>
      </c>
      <c r="D30" s="5">
        <f>IF((Title_RESULTS!$H$8-Title_RESULTS!$H$7)&lt;=('Sheet3(F_21)'!A30-Title_RESULTS!$H$7),((Title_RESULTS!$C$8*Partcipation!$C$26*8760*Title_RESULTS!$H$21/100000)),0)</f>
        <v>4534.590861150071</v>
      </c>
      <c r="E30" s="5">
        <f>IF($G30=0,0,((Title_RESULTS!$H$14*((1+Title_RESULTS!$H$15/100)^($A30-Title_RESULTS!$H$7))*'EUE_Line Losses'!$B$25*Partcipation!$C$26))/1000)</f>
        <v>46.37284832524769</v>
      </c>
      <c r="F30" s="5">
        <f>IF($G30=0,0,(Title_RESULTS!$H$19/100*((1+Title_RESULTS!$H$20/100)^($A30-Title_RESULTS!$H$7))*$D30*1000)/1000)</f>
        <v>13.272624142849741</v>
      </c>
      <c r="G30" s="5">
        <f>(+Title_RESULTS!$H$22/100*((1+Title_RESULTS!$H$23/100)^(+'Sheet4(F_22)'!A30-Title_RESULTS!$H$7)))*'Sheet3(F_21)'!D30</f>
        <v>316.6097733179574</v>
      </c>
      <c r="H30" s="5">
        <f>IF($G30=0,0,(($D30))*(Partcipation!$G30/100))</f>
        <v>240.63160835436219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582.642624633661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4724.022567918559</v>
      </c>
      <c r="D32" s="9">
        <f t="shared" si="1"/>
        <v>54415.09033380085</v>
      </c>
      <c r="E32" s="9">
        <f t="shared" si="1"/>
        <v>490.0605752752013</v>
      </c>
      <c r="F32" s="9">
        <f t="shared" si="1"/>
        <v>140.26289213973422</v>
      </c>
      <c r="G32" s="9">
        <f t="shared" si="1"/>
        <v>3011.208838507921</v>
      </c>
      <c r="H32" s="9">
        <f t="shared" si="1"/>
        <v>2250.646295215905</v>
      </c>
      <c r="I32" s="9">
        <f t="shared" si="1"/>
        <v>0</v>
      </c>
      <c r="J32" s="9">
        <f t="shared" si="1"/>
        <v>6114.908578625511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2663.7406070782604</v>
      </c>
      <c r="D34" s="5"/>
      <c r="E34" s="5">
        <f>NPV(Title_RESULTS!$C$37,E17:E31)+'Sheet3(F_21)'!E16</f>
        <v>276.33107918530817</v>
      </c>
      <c r="F34" s="5">
        <f>NPV(Title_RESULTS!$C$37,F17:F31)+'Sheet3(F_21)'!F16</f>
        <v>79.0902151899477</v>
      </c>
      <c r="G34" s="5">
        <f>NPV(Title_RESULTS!$C$37,G17:G31)+'Sheet3(F_21)'!G16</f>
        <v>1669.632988877346</v>
      </c>
      <c r="H34" s="5">
        <f>NPV(Title_RESULTS!$C$37,H17:H31)+'Sheet3(F_21)'!H16</f>
        <v>1244.5501494347038</v>
      </c>
      <c r="I34" s="5">
        <f>NPV(Title_RESULTS!$C$37,I17:I31)+'Sheet3(F_21)'!I16</f>
        <v>0</v>
      </c>
      <c r="J34" s="5">
        <f>NPV(Title_RESULTS!$C$37,J17:J31)+'Sheet3(F_21)'!J16</f>
        <v>3444.2447408961575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VSD Controlled Compressor</v>
      </c>
      <c r="F2" t="s">
        <v>55</v>
      </c>
    </row>
    <row r="3" spans="6:7" ht="12.75">
      <c r="F3" s="35">
        <f>+Title_RESULTS!I4</f>
        <v>43599.320777546294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6941.012658227848</v>
      </c>
      <c r="C16" s="5">
        <f>$B16*'Sheet2(F_12)'!$E16/100</f>
        <v>201.33862214959308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201.33862214959308</v>
      </c>
      <c r="G16" s="5">
        <f>+$F16*'Sheet2(F_12)'!$I16</f>
        <v>201.33862214959308</v>
      </c>
    </row>
    <row r="17" spans="1:7" ht="12.75">
      <c r="A17">
        <f>+A16+1</f>
        <v>2021</v>
      </c>
      <c r="B17" s="5">
        <f>(+Partcipation!$C16+(Partcipation!$C17-Partcipation!$C16)/2)*Title_RESULTS!$C$10/1000</f>
        <v>20823.037974683546</v>
      </c>
      <c r="C17" s="5">
        <f>$B17*'Sheet2(F_12)'!$E17/100</f>
        <v>599.1028900641581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599.1028900641581</v>
      </c>
      <c r="G17" s="5">
        <f>+$F17*'Sheet2(F_12)'!$I17</f>
        <v>599.1028900641581</v>
      </c>
    </row>
    <row r="18" spans="1:7" ht="12.75">
      <c r="A18">
        <f>+A17+1</f>
        <v>2022</v>
      </c>
      <c r="B18" s="5">
        <f>(+Partcipation!$C17+(Partcipation!$C18-Partcipation!$C17)/2)*Title_RESULTS!$C$10/1000</f>
        <v>34705.06329113924</v>
      </c>
      <c r="C18" s="5">
        <f>$B18*'Sheet2(F_12)'!$E18/100</f>
        <v>1030.5238032483671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1030.5238032483671</v>
      </c>
      <c r="G18" s="5">
        <f>+$F18*'Sheet2(F_12)'!$I18</f>
        <v>1030.5238032483671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41646.07594936709</v>
      </c>
      <c r="C19" s="5">
        <f>$B19*'Sheet2(F_12)'!$E19/100</f>
        <v>1287.359759840472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1287.359759840472</v>
      </c>
      <c r="G19" s="5">
        <f>+$F19*'Sheet2(F_12)'!$I19</f>
        <v>1287.359759840472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41646.07594936709</v>
      </c>
      <c r="C20" s="5">
        <f>$B20*'Sheet2(F_12)'!$E20/100</f>
        <v>1337.9481460538148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1337.9481460538148</v>
      </c>
      <c r="G20" s="5">
        <f>+$F20*'Sheet2(F_12)'!$I20</f>
        <v>1337.9481460538148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41646.07594936709</v>
      </c>
      <c r="C21" s="5">
        <f>$B21*'Sheet2(F_12)'!$E21/100</f>
        <v>1436.5534990462977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1436.5534990462977</v>
      </c>
      <c r="G21" s="5">
        <f>+$F21*'Sheet2(F_12)'!$I21</f>
        <v>1436.5534990462977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41646.07594936709</v>
      </c>
      <c r="C22" s="5">
        <f>$B22*'Sheet2(F_12)'!$E22/100</f>
        <v>1482.630413213109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1482.630413213109</v>
      </c>
      <c r="G22" s="5">
        <f>+$F22*'Sheet2(F_12)'!$I22</f>
        <v>1482.630413213109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41646.07594936709</v>
      </c>
      <c r="C23" s="5">
        <f>$B23*'Sheet2(F_12)'!$E23/100</f>
        <v>1575.288178082192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1575.288178082192</v>
      </c>
      <c r="G23" s="5">
        <f>+$F23*'Sheet2(F_12)'!$I23</f>
        <v>1575.288178082192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41646.07594936709</v>
      </c>
      <c r="C24" s="5">
        <f>$B24*'Sheet2(F_12)'!$E24/100</f>
        <v>1745.6014684927716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1745.6014684927716</v>
      </c>
      <c r="G24" s="5">
        <f>+$F24*'Sheet2(F_12)'!$I24</f>
        <v>1745.6014684927716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41646.07594936709</v>
      </c>
      <c r="C25" s="5">
        <f>$B25*'Sheet2(F_12)'!$E25/100</f>
        <v>1870.1750407490897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1870.1750407490897</v>
      </c>
      <c r="G25" s="5">
        <f>+$F25*'Sheet2(F_12)'!$I25</f>
        <v>1870.1750407490897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41646.07594936709</v>
      </c>
      <c r="C26" s="5">
        <f>$B26*'Sheet2(F_12)'!$E26/100</f>
        <v>2088.8819124328083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2088.8819124328083</v>
      </c>
      <c r="G26" s="5">
        <f>+$F26*'Sheet2(F_12)'!$I26</f>
        <v>2088.8819124328083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41646.07594936709</v>
      </c>
      <c r="C27" s="5">
        <f>$B27*'Sheet2(F_12)'!$E27/100</f>
        <v>2081.1136831975036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2081.1136831975036</v>
      </c>
      <c r="G27" s="5">
        <f>+$F27*'Sheet2(F_12)'!$I27</f>
        <v>2081.1136831975036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41646.07594936709</v>
      </c>
      <c r="C28" s="5">
        <f>$B28*'Sheet2(F_12)'!$E28/100</f>
        <v>2274.4649111157214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2274.4649111157214</v>
      </c>
      <c r="G28" s="5">
        <f>+$F28*'Sheet2(F_12)'!$I28</f>
        <v>2274.4649111157214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41646.07594936709</v>
      </c>
      <c r="C29" s="5">
        <f>$B29*'Sheet2(F_12)'!$E29/100</f>
        <v>2425.5099334142533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2425.5099334142533</v>
      </c>
      <c r="G29" s="5">
        <f>+$F29*'Sheet2(F_12)'!$I29</f>
        <v>2425.5099334142533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41646.07594936709</v>
      </c>
      <c r="C30" s="5">
        <f>$B30*'Sheet2(F_12)'!$E30/100</f>
        <v>2538.4471820704002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2538.4471820704002</v>
      </c>
      <c r="G30" s="5">
        <f>+$F30*'Sheet2(F_12)'!$I30</f>
        <v>2538.4471820704002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562222.0253164556</v>
      </c>
      <c r="C32" s="5">
        <f t="shared" si="2"/>
        <v>23974.93944317055</v>
      </c>
      <c r="D32" s="5">
        <f t="shared" si="2"/>
        <v>0</v>
      </c>
      <c r="E32" s="5">
        <f t="shared" si="2"/>
        <v>0</v>
      </c>
      <c r="F32" s="5">
        <f t="shared" si="2"/>
        <v>23974.93944317055</v>
      </c>
      <c r="G32" s="5">
        <f t="shared" si="2"/>
        <v>23974.93944317055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13732.38121523022</v>
      </c>
      <c r="D34" s="5"/>
      <c r="E34" s="5">
        <f>NPV(+Title_RESULTS!$C$37,E17:E31)+E16</f>
        <v>0</v>
      </c>
      <c r="F34" s="5">
        <f>NPV(+Title_RESULTS!$C$37,F17:F31)+F16</f>
        <v>13732.38121523022</v>
      </c>
      <c r="G34" s="5">
        <f>NPV(+Title_RESULTS!$C$37,G17:G31)+G16</f>
        <v>13732.38121523022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VSD Controlled Compressor</v>
      </c>
      <c r="J2" t="s">
        <v>42</v>
      </c>
    </row>
    <row r="3" spans="9:10" ht="12.75">
      <c r="I3" s="4"/>
      <c r="J3" s="35">
        <f>+Title_RESULTS!I4</f>
        <v>43599.320777546294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VSD Controlled Compressor</v>
      </c>
      <c r="H2" t="s">
        <v>108</v>
      </c>
    </row>
    <row r="3" ht="12.75">
      <c r="H3" s="35">
        <f>+Title_RESULTS!I4</f>
        <v>43599.320777546294</v>
      </c>
    </row>
    <row r="5" spans="3:6" ht="12.75">
      <c r="C5" t="s">
        <v>60</v>
      </c>
      <c r="F5" s="38">
        <f>+'Value of Defferal'!L4</f>
        <v>203.27546879999997</v>
      </c>
    </row>
    <row r="6" spans="3:6" ht="12.75">
      <c r="C6" t="s">
        <v>62</v>
      </c>
      <c r="F6" s="38">
        <f>+'Value of Defferal'!L5</f>
        <v>463.0643712000001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201.33862214959308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20.088150082940675</v>
      </c>
      <c r="C17" s="5">
        <f>IF(+Title_RESULTS!$H$9&lt;='Sheet4(F_22)'!$A17,(+Title_RESULTS!$H$16*((1+Title_RESULTS!$H$18/100)^('Sheet4(F_22)'!$A17-Title_RESULTS!$H$7))*Title_RESULTS!$C$8*Partcipation!$C$26/1000),0)</f>
        <v>16.193374600146935</v>
      </c>
      <c r="D17" s="5">
        <f>(+B17+C17)*+Partcipation!$H17</f>
        <v>36.28152468308761</v>
      </c>
      <c r="E17" s="5">
        <f>VLOOKUP(A17,'Value of Defferal'!$I24:$P$58,'Value of Defferal'!$K$13)</f>
        <v>45.7610878560087</v>
      </c>
      <c r="F17" s="5">
        <f>IF(+'Value of Defferal'!P24=0,0,Title_RESULTS!$H$17*Title_RESULTS!$C$7*Partcipation!$C$26*(1+Title_RESULTS!$H$18/100)^('Sheet4(F_22)'!A17-Title_RESULTS!$H$7))/1000</f>
        <v>63.75075840000001</v>
      </c>
      <c r="G17" s="5">
        <f>(+E17+F17)*Partcipation!$H17</f>
        <v>109.51184625600871</v>
      </c>
      <c r="H17" s="5">
        <f>+'Sheet5(p_5)'!$F17*'Sheet2(F_12)'!$I17</f>
        <v>599.1028900641581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20.570265684931254</v>
      </c>
      <c r="C18" s="5">
        <f>IF(+Title_RESULTS!$H$9&lt;='Sheet4(F_22)'!$A18,(+Title_RESULTS!$H$16*((1+Title_RESULTS!$H$18/100)^('Sheet4(F_22)'!$A18-Title_RESULTS!$H$7))*Title_RESULTS!$C$8*Partcipation!$C$26/1000),0)</f>
        <v>16.58201559055046</v>
      </c>
      <c r="D18" s="5">
        <f>(+B18+C18)*+Partcipation!$H18</f>
        <v>37.15228127548171</v>
      </c>
      <c r="E18" s="5">
        <f>VLOOKUP(A18,'Value of Defferal'!$I25:$P$58,'Value of Defferal'!$K$13)</f>
        <v>46.85935396455291</v>
      </c>
      <c r="F18" s="5">
        <f>IF(+'Value of Defferal'!P25=0,0,Title_RESULTS!$H$17*Title_RESULTS!$C$7*Partcipation!$C$26*(1+Title_RESULTS!$H$18/100)^('Sheet4(F_22)'!A18-Title_RESULTS!$H$7))/1000</f>
        <v>65.2807766016</v>
      </c>
      <c r="G18" s="5">
        <f>(+E18+F18)*Partcipation!$H18</f>
        <v>112.1401305661529</v>
      </c>
      <c r="H18" s="5">
        <f>+'Sheet5(p_5)'!$F18*'Sheet2(F_12)'!$I18</f>
        <v>1030.5238032483671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21.063952061369605</v>
      </c>
      <c r="C19" s="5">
        <f>IF(+Title_RESULTS!$H$9&lt;='Sheet4(F_22)'!$A19,(+Title_RESULTS!$H$16*((1+Title_RESULTS!$H$18/100)^('Sheet4(F_22)'!$A19-Title_RESULTS!$H$7))*Title_RESULTS!$C$8*Partcipation!$C$26/1000),0)</f>
        <v>16.979983964723672</v>
      </c>
      <c r="D19" s="5">
        <f>(+B19+C19)*+Partcipation!$H19</f>
        <v>38.04393602609328</v>
      </c>
      <c r="E19" s="5">
        <f>VLOOKUP(A19,'Value of Defferal'!$I26:$P$58,'Value of Defferal'!$K$13)</f>
        <v>47.98397845970218</v>
      </c>
      <c r="F19" s="5">
        <f>IF(+'Value of Defferal'!P26=0,0,Title_RESULTS!$H$17*Title_RESULTS!$C$7*Partcipation!$C$26*(1+Title_RESULTS!$H$18/100)^('Sheet4(F_22)'!A19-Title_RESULTS!$H$7))/1000</f>
        <v>66.8475152400384</v>
      </c>
      <c r="G19" s="5">
        <f>(+E19+F19)*Partcipation!$H19</f>
        <v>114.83149369974058</v>
      </c>
      <c r="H19" s="5">
        <f>+'Sheet5(p_5)'!$F19*'Sheet2(F_12)'!$I19</f>
        <v>1287.359759840472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21.569486910842475</v>
      </c>
      <c r="C20" s="5">
        <f>IF(+Title_RESULTS!$H$9&lt;='Sheet4(F_22)'!$A20,(+Title_RESULTS!$H$16*((1+Title_RESULTS!$H$18/100)^('Sheet4(F_22)'!$A20-Title_RESULTS!$H$7))*Title_RESULTS!$C$8*Partcipation!$C$26/1000),0)</f>
        <v>17.387503579877038</v>
      </c>
      <c r="D20" s="5">
        <f>(+B20+C20)*+Partcipation!$H20</f>
        <v>38.95699049071951</v>
      </c>
      <c r="E20" s="5">
        <f>VLOOKUP(A20,'Value of Defferal'!$I27:$P$58,'Value of Defferal'!$K$13)</f>
        <v>49.135593942735035</v>
      </c>
      <c r="F20" s="5">
        <f>IF(+'Value of Defferal'!P27=0,0,Title_RESULTS!$H$17*Title_RESULTS!$C$7*Partcipation!$C$26*(1+Title_RESULTS!$H$18/100)^('Sheet4(F_22)'!A20-Title_RESULTS!$H$7))/1000</f>
        <v>68.45185560579932</v>
      </c>
      <c r="G20" s="5">
        <f>(+E20+F20)*Partcipation!$H20</f>
        <v>117.58744954853435</v>
      </c>
      <c r="H20" s="5">
        <f>+'Sheet5(p_5)'!$F20*'Sheet2(F_12)'!$I20</f>
        <v>1337.9481460538148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22.087154596702693</v>
      </c>
      <c r="C21" s="5">
        <f>IF(+Title_RESULTS!$H$9&lt;='Sheet4(F_22)'!$A21,(+Title_RESULTS!$H$16*((1+Title_RESULTS!$H$18/100)^('Sheet4(F_22)'!$A21-Title_RESULTS!$H$7))*Title_RESULTS!$C$8*Partcipation!$C$26/1000),0)</f>
        <v>17.80480366579409</v>
      </c>
      <c r="D21" s="5">
        <f>(+B21+C21)*+Partcipation!$H21</f>
        <v>39.891958262496786</v>
      </c>
      <c r="E21" s="5">
        <f>VLOOKUP(A21,'Value of Defferal'!$I28:$P$58,'Value of Defferal'!$K$13)</f>
        <v>50.314848197360675</v>
      </c>
      <c r="F21" s="5">
        <f>IF(+'Value of Defferal'!P28=0,0,Title_RESULTS!$H$17*Title_RESULTS!$C$7*Partcipation!$C$26*(1+Title_RESULTS!$H$18/100)^('Sheet4(F_22)'!A21-Title_RESULTS!$H$7))/1000</f>
        <v>70.09470014033852</v>
      </c>
      <c r="G21" s="5">
        <f>(+E21+F21)*Partcipation!$H21</f>
        <v>120.40954833769919</v>
      </c>
      <c r="H21" s="5">
        <f>+'Sheet5(p_5)'!$F21*'Sheet2(F_12)'!$I21</f>
        <v>1436.5534990462977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22.61724630702356</v>
      </c>
      <c r="C22" s="5">
        <f>IF(+Title_RESULTS!$H$9&lt;='Sheet4(F_22)'!$A22,(+Title_RESULTS!$H$16*((1+Title_RESULTS!$H$18/100)^('Sheet4(F_22)'!$A22-Title_RESULTS!$H$7))*Title_RESULTS!$C$8*Partcipation!$C$26/1000),0)</f>
        <v>18.232118953773142</v>
      </c>
      <c r="D22" s="5">
        <f>(+B22+C22)*+Partcipation!$H22</f>
        <v>40.8493652607967</v>
      </c>
      <c r="E22" s="5">
        <f>VLOOKUP(A22,'Value of Defferal'!$I29:$P$58,'Value of Defferal'!$K$13)</f>
        <v>51.522404554097335</v>
      </c>
      <c r="F22" s="5">
        <f>IF(+'Value of Defferal'!P29=0,0,Title_RESULTS!$H$17*Title_RESULTS!$C$7*Partcipation!$C$26*(1+Title_RESULTS!$H$18/100)^('Sheet4(F_22)'!A22-Title_RESULTS!$H$7))/1000</f>
        <v>71.77697294370662</v>
      </c>
      <c r="G22" s="5">
        <f>(+E22+F22)*Partcipation!$H22</f>
        <v>123.29937749780396</v>
      </c>
      <c r="H22" s="5">
        <f>+'Sheet5(p_5)'!$F22*'Sheet2(F_12)'!$I22</f>
        <v>1482.630413213109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23.160060218392122</v>
      </c>
      <c r="C23" s="5">
        <f>IF(+Title_RESULTS!$H$9&lt;='Sheet4(F_22)'!$A23,(+Title_RESULTS!$H$16*((1+Title_RESULTS!$H$18/100)^('Sheet4(F_22)'!$A23-Title_RESULTS!$H$7))*Title_RESULTS!$C$8*Partcipation!$C$26/1000),0)</f>
        <v>18.6696898086637</v>
      </c>
      <c r="D23" s="5">
        <f>(+B23+C23)*+Partcipation!$H23</f>
        <v>41.82975002705582</v>
      </c>
      <c r="E23" s="5">
        <f>VLOOKUP(A23,'Value of Defferal'!$I30:$P$58,'Value of Defferal'!$K$13)</f>
        <v>52.75894226339567</v>
      </c>
      <c r="F23" s="5">
        <f>IF(+'Value of Defferal'!P30=0,0,Title_RESULTS!$H$17*Title_RESULTS!$C$7*Partcipation!$C$26*(1+Title_RESULTS!$H$18/100)^('Sheet4(F_22)'!A23-Title_RESULTS!$H$7))/1000</f>
        <v>73.4996202943556</v>
      </c>
      <c r="G23" s="5">
        <f>(+E23+F23)*Partcipation!$H23</f>
        <v>126.25856255775126</v>
      </c>
      <c r="H23" s="5">
        <f>+'Sheet5(p_5)'!$F23*'Sheet2(F_12)'!$I23</f>
        <v>1575.288178082192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23.715901663633534</v>
      </c>
      <c r="C24" s="5">
        <f>IF(+Title_RESULTS!$H$9&lt;='Sheet4(F_22)'!$A24,(+Title_RESULTS!$H$16*((1+Title_RESULTS!$H$18/100)^('Sheet4(F_22)'!$A24-Title_RESULTS!$H$7))*Title_RESULTS!$C$8*Partcipation!$C$26/1000),0)</f>
        <v>19.117762364071627</v>
      </c>
      <c r="D24" s="5">
        <f>(+B24+C24)*+Partcipation!$H24</f>
        <v>42.83366402770516</v>
      </c>
      <c r="E24" s="5">
        <f>VLOOKUP(A24,'Value of Defferal'!$I31:$P$58,'Value of Defferal'!$K$13)</f>
        <v>54.02515687771716</v>
      </c>
      <c r="F24" s="5">
        <f>IF(+'Value of Defferal'!P31=0,0,Title_RESULTS!$H$17*Title_RESULTS!$C$7*Partcipation!$C$26*(1+Title_RESULTS!$H$18/100)^('Sheet4(F_22)'!A24-Title_RESULTS!$H$7))/1000</f>
        <v>75.26361118142013</v>
      </c>
      <c r="G24" s="5">
        <f>(+E24+F24)*Partcipation!$H24</f>
        <v>129.28876805913728</v>
      </c>
      <c r="H24" s="5">
        <f>+'Sheet5(p_5)'!$F24*'Sheet2(F_12)'!$I24</f>
        <v>1745.6014684927716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24.28508330356074</v>
      </c>
      <c r="C25" s="5">
        <f>IF(+Title_RESULTS!$H$9&lt;='Sheet4(F_22)'!$A25,(+Title_RESULTS!$H$16*((1+Title_RESULTS!$H$18/100)^('Sheet4(F_22)'!$A25-Title_RESULTS!$H$7))*Title_RESULTS!$C$8*Partcipation!$C$26/1000),0)</f>
        <v>19.576588660809346</v>
      </c>
      <c r="D25" s="5">
        <f>(+B25+C25)*+Partcipation!$H25</f>
        <v>43.86167196437009</v>
      </c>
      <c r="E25" s="5">
        <f>VLOOKUP(A25,'Value of Defferal'!$I32:$P$58,'Value of Defferal'!$K$13)</f>
        <v>55.32176064278238</v>
      </c>
      <c r="F25" s="5">
        <f>IF(+'Value of Defferal'!P32=0,0,Title_RESULTS!$H$17*Title_RESULTS!$C$7*Partcipation!$C$26*(1+Title_RESULTS!$H$18/100)^('Sheet4(F_22)'!A25-Title_RESULTS!$H$7))/1000</f>
        <v>77.0699378497742</v>
      </c>
      <c r="G25" s="5">
        <f>(+E25+F25)*Partcipation!$H25</f>
        <v>132.3916984925566</v>
      </c>
      <c r="H25" s="5">
        <f>+'Sheet5(p_5)'!$F25*'Sheet2(F_12)'!$I25</f>
        <v>1870.1750407490897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24.8679253028462</v>
      </c>
      <c r="C26" s="5">
        <f>IF(+Title_RESULTS!$H$9&lt;='Sheet4(F_22)'!$A26,(+Title_RESULTS!$H$16*((1+Title_RESULTS!$H$18/100)^('Sheet4(F_22)'!$A26-Title_RESULTS!$H$7))*Title_RESULTS!$C$8*Partcipation!$C$26/1000),0)</f>
        <v>20.046426788668775</v>
      </c>
      <c r="D26" s="5">
        <f>(+B26+C26)*+Partcipation!$H26</f>
        <v>44.91435209151497</v>
      </c>
      <c r="E26" s="5">
        <f>VLOOKUP(A26,'Value of Defferal'!$I33:$P$58,'Value of Defferal'!$K$13)</f>
        <v>56.64948289820916</v>
      </c>
      <c r="F26" s="5">
        <f>IF(+'Value of Defferal'!P33=0,0,Title_RESULTS!$H$17*Title_RESULTS!$C$7*Partcipation!$C$26*(1+Title_RESULTS!$H$18/100)^('Sheet4(F_22)'!A26-Title_RESULTS!$H$7))/1000</f>
        <v>78.91961635816878</v>
      </c>
      <c r="G26" s="5">
        <f>(+E26+F26)*Partcipation!$H26</f>
        <v>135.56909925637794</v>
      </c>
      <c r="H26" s="5">
        <f>+'Sheet5(p_5)'!$F26*'Sheet2(F_12)'!$I26</f>
        <v>2088.8819124328083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25.46475551011451</v>
      </c>
      <c r="C27" s="5">
        <f>IF(+Title_RESULTS!$H$9&lt;='Sheet4(F_22)'!$A27,(+Title_RESULTS!$H$16*((1+Title_RESULTS!$H$18/100)^('Sheet4(F_22)'!$A27-Title_RESULTS!$H$7))*Title_RESULTS!$C$8*Partcipation!$C$26/1000),0)</f>
        <v>20.527541031596826</v>
      </c>
      <c r="D27" s="5">
        <f>(+B27+C27)*+Partcipation!$H27</f>
        <v>45.99229654171134</v>
      </c>
      <c r="E27" s="5">
        <f>VLOOKUP(A27,'Value of Defferal'!$I34:$P$58,'Value of Defferal'!$K$13)</f>
        <v>58.00907048776618</v>
      </c>
      <c r="F27" s="5">
        <f>IF(+'Value of Defferal'!P34=0,0,Title_RESULTS!$H$17*Title_RESULTS!$C$7*Partcipation!$C$26*(1+Title_RESULTS!$H$18/100)^('Sheet4(F_22)'!A27-Title_RESULTS!$H$7))/1000</f>
        <v>80.81368715076485</v>
      </c>
      <c r="G27" s="5">
        <f>(+E27+F27)*Partcipation!$H27</f>
        <v>138.82275763853102</v>
      </c>
      <c r="H27" s="5">
        <f>+'Sheet5(p_5)'!$F27*'Sheet2(F_12)'!$I27</f>
        <v>2081.1136831975036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26.075909642357257</v>
      </c>
      <c r="C28" s="5">
        <f>IF(+Title_RESULTS!$H$9&lt;='Sheet4(F_22)'!$A28,(+Title_RESULTS!$H$16*((1+Title_RESULTS!$H$18/100)^('Sheet4(F_22)'!$A28-Title_RESULTS!$H$7))*Title_RESULTS!$C$8*Partcipation!$C$26/1000),0)</f>
        <v>21.020202016355146</v>
      </c>
      <c r="D28" s="5">
        <f>(+B28+C28)*+Partcipation!$H28</f>
        <v>47.0961116587124</v>
      </c>
      <c r="E28" s="5">
        <f>VLOOKUP(A28,'Value of Defferal'!$I35:$P$58,'Value of Defferal'!$K$13)</f>
        <v>59.401288179472566</v>
      </c>
      <c r="F28" s="5">
        <f>IF(+'Value of Defferal'!P35=0,0,Title_RESULTS!$H$17*Title_RESULTS!$C$7*Partcipation!$C$26*(1+Title_RESULTS!$H$18/100)^('Sheet4(F_22)'!A28-Title_RESULTS!$H$7))/1000</f>
        <v>82.7532156423832</v>
      </c>
      <c r="G28" s="5">
        <f>(+E28+F28)*Partcipation!$H28</f>
        <v>142.15450382185577</v>
      </c>
      <c r="H28" s="5">
        <f>+'Sheet5(p_5)'!$F28*'Sheet2(F_12)'!$I28</f>
        <v>2274.4649111157214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26.701731473773833</v>
      </c>
      <c r="C29" s="5">
        <f>IF(+Title_RESULTS!$H$9&lt;='Sheet4(F_22)'!$A29,(+Title_RESULTS!$H$16*((1+Title_RESULTS!$H$18/100)^('Sheet4(F_22)'!$A29-Title_RESULTS!$H$7))*Title_RESULTS!$C$8*Partcipation!$C$26/1000),0)</f>
        <v>21.524686864747668</v>
      </c>
      <c r="D29" s="5">
        <f>(+B29+C29)*+Partcipation!$H29</f>
        <v>48.2264183385215</v>
      </c>
      <c r="E29" s="5">
        <f>VLOOKUP(A29,'Value of Defferal'!$I36:$P$58,'Value of Defferal'!$K$13)</f>
        <v>60.826919095779914</v>
      </c>
      <c r="F29" s="5">
        <f>IF(+'Value of Defferal'!P36=0,0,Title_RESULTS!$H$17*Title_RESULTS!$C$7*Partcipation!$C$26*(1+Title_RESULTS!$H$18/100)^('Sheet4(F_22)'!A29-Title_RESULTS!$H$7))/1000</f>
        <v>84.73929281780039</v>
      </c>
      <c r="G29" s="5">
        <f>(+E29+F29)*Partcipation!$H29</f>
        <v>145.5662119135803</v>
      </c>
      <c r="H29" s="5">
        <f>+'Sheet5(p_5)'!$F29*'Sheet2(F_12)'!$I29</f>
        <v>2425.5099334142533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27.342573029144404</v>
      </c>
      <c r="C30" s="5">
        <f>IF(+Title_RESULTS!$H$9&lt;='Sheet4(F_22)'!$A30,(+Title_RESULTS!$H$16*((1+Title_RESULTS!$H$18/100)^('Sheet4(F_22)'!$A30-Title_RESULTS!$H$7))*Title_RESULTS!$C$8*Partcipation!$C$26/1000),0)</f>
        <v>22.041279349501615</v>
      </c>
      <c r="D30" s="5">
        <f>(+B30+C30)*+Partcipation!$H30</f>
        <v>49.38385237864602</v>
      </c>
      <c r="E30" s="5">
        <f>VLOOKUP(A30,'Value of Defferal'!$I37:$P$58,'Value of Defferal'!$K$13)</f>
        <v>62.28676515407862</v>
      </c>
      <c r="F30" s="5">
        <f>IF(+'Value of Defferal'!P37=0,0,Title_RESULTS!$H$17*Title_RESULTS!$C$7*Partcipation!$C$26*(1+Title_RESULTS!$H$18/100)^('Sheet4(F_22)'!A30-Title_RESULTS!$H$7))/1000</f>
        <v>86.7730358454276</v>
      </c>
      <c r="G30" s="5">
        <f>(+E30+F30)*Partcipation!$H30</f>
        <v>149.05980099950622</v>
      </c>
      <c r="H30" s="5">
        <f>+'Sheet5(p_5)'!$F30*'Sheet2(F_12)'!$I30</f>
        <v>2538.4471820704002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329.61019578763285</v>
      </c>
      <c r="C32" s="5">
        <f t="shared" si="1"/>
        <v>265.70397723928005</v>
      </c>
      <c r="D32" s="5">
        <f t="shared" si="1"/>
        <v>595.3141730269128</v>
      </c>
      <c r="E32" s="5">
        <f t="shared" si="1"/>
        <v>750.8566525736584</v>
      </c>
      <c r="F32" s="5">
        <f t="shared" si="1"/>
        <v>1046.0345960715777</v>
      </c>
      <c r="G32" s="5">
        <f t="shared" si="1"/>
        <v>1796.8912486452361</v>
      </c>
      <c r="H32" s="5">
        <f t="shared" si="1"/>
        <v>23974.93944317055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199.63158367308318</v>
      </c>
      <c r="C34" s="5">
        <f>NPV(Title_RESULTS!$C$37,'Sheet4(F_22)'!C17:C31)+'Sheet4(F_22)'!C16</f>
        <v>160.92616806881105</v>
      </c>
      <c r="D34" s="5">
        <f>NPV(Title_RESULTS!$C$37,'Sheet4(F_22)'!D17:D31)+'Sheet4(F_22)'!D16</f>
        <v>360.55775174189415</v>
      </c>
      <c r="E34" s="5">
        <f>NPV(Title_RESULTS!$C$37,'Sheet4(F_22)'!E17:E31)+'Sheet4(F_22)'!E16</f>
        <v>454.76354973353517</v>
      </c>
      <c r="F34" s="5">
        <f>NPV(Title_RESULTS!$C$37,'Sheet4(F_22)'!F17:F31)+'Sheet4(F_22)'!F16</f>
        <v>633.5409088047331</v>
      </c>
      <c r="G34" s="5">
        <f>NPV(Title_RESULTS!$C$37,'Sheet4(F_22)'!G17:G31)+'Sheet4(F_22)'!G16</f>
        <v>1088.3044585382684</v>
      </c>
      <c r="H34" s="5">
        <f>NPV(Title_RESULTS!$C$37,'Sheet4(F_22)'!H17:H31)+'Sheet4(F_22)'!H16</f>
        <v>13732.38121523022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VSD Controlled Compressor</v>
      </c>
      <c r="P2" t="s">
        <v>121</v>
      </c>
    </row>
    <row r="3" ht="12.75">
      <c r="P3" s="35">
        <f>+Title_RESULTS!I4</f>
        <v>43599.320777546294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2411.27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2411.27</v>
      </c>
      <c r="H16" s="5">
        <f>IF(Partcipation!$B17&lt;Partcipation!$B16,0,IF(Partcipation!$B16=0,0,(Partcipation!$B16-Partcipation!$B15)*(+Title_RESULTS!$C$29*(1+Title_RESULTS!$C$30/100)^(+'Sheet8(F_24)'!$A16-Title_RESULTS!$H$7))/1000))</f>
        <v>3986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3986</v>
      </c>
      <c r="K16" s="5">
        <f>(+Partcipation!$B15+(Partcipation!$B16-Partcipation!$B15)/2)*(+Title_RESULTS!$C$14)/1000</f>
        <v>6580.08</v>
      </c>
      <c r="L16" s="5">
        <f>($K16)*Partcipation!$E73*Title_RESULTS!$C$12/100</f>
        <v>160.1994529247918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230.4085644</v>
      </c>
      <c r="N16" s="5">
        <f>'Sheet2(F_12)'!$I16*('Sheet6(p_6)'!$L16+'Sheet6(p_6)'!$M16)</f>
        <v>390.60801732479183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2411.27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2411.27</v>
      </c>
      <c r="H17" s="5">
        <f>IF(Partcipation!$B18&lt;Partcipation!$B17,0,IF(Partcipation!$B17=0,0,(Partcipation!$B17-Partcipation!$B16)*(+Title_RESULTS!$C$29*(1+Title_RESULTS!$C$30/100)^(+'Sheet8(F_24)'!$A17-Title_RESULTS!$H$7))/1000))</f>
        <v>4077.6779999999994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4077.6779999999994</v>
      </c>
      <c r="K17" s="5">
        <f>(+Partcipation!$B16+(Partcipation!$B17-Partcipation!$B16)/2)*(+Title_RESULTS!$C$14)/1000</f>
        <v>19740.24</v>
      </c>
      <c r="L17" s="5">
        <f>($K17)*Partcipation!$E74*Title_RESULTS!$C$12/100</f>
        <v>503.4717089768572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698.137950132</v>
      </c>
      <c r="N17" s="5">
        <f>'Sheet2(F_12)'!$I17*('Sheet6(p_6)'!$L17+'Sheet6(p_6)'!$M17)</f>
        <v>1201.6096591088572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2411.27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2411.27</v>
      </c>
      <c r="H18" s="5">
        <f>IF(Partcipation!$B19&lt;Partcipation!$B18,0,IF(Partcipation!$B18=0,0,(Partcipation!$B18-Partcipation!$B17)*(+Title_RESULTS!$C$29*(1+Title_RESULTS!$C$30/100)^(+'Sheet8(F_24)'!$A18-Title_RESULTS!$H$7))/1000))</f>
        <v>4171.464593999999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4171.464593999999</v>
      </c>
      <c r="K18" s="5">
        <f>(+Partcipation!$B17+(Partcipation!$B18-Partcipation!$B17)/2)*(+Title_RESULTS!$C$14)/1000</f>
        <v>32900.4</v>
      </c>
      <c r="L18" s="5">
        <f>($K18)*Partcipation!$E75*Title_RESULTS!$C$12/100</f>
        <v>870.0288079403655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1175.1988827222</v>
      </c>
      <c r="N18" s="5">
        <f>'Sheet2(F_12)'!$I18*('Sheet6(p_6)'!$L18+'Sheet6(p_6)'!$M18)</f>
        <v>2045.2276906625657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39480.48</v>
      </c>
      <c r="L19" s="5">
        <f>($K19)*Partcipation!$E76*Title_RESULTS!$C$12/100</f>
        <v>1035.4762125776026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1424.3410458593064</v>
      </c>
      <c r="N19" s="5">
        <f>'Sheet2(F_12)'!$I19*('Sheet6(p_6)'!$L19+'Sheet6(p_6)'!$M19)</f>
        <v>2459.817258436909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39480.48</v>
      </c>
      <c r="L20" s="5">
        <f>($K20)*Partcipation!$E77*Title_RESULTS!$C$12/100</f>
        <v>1094.2081474474307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1438.5844563178996</v>
      </c>
      <c r="N20" s="5">
        <f>'Sheet2(F_12)'!$I20*('Sheet6(p_6)'!$L20+'Sheet6(p_6)'!$M20)</f>
        <v>2532.7926037653306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39480.48</v>
      </c>
      <c r="L21" s="5">
        <f>($K21)*Partcipation!$E78*Title_RESULTS!$C$12/100</f>
        <v>1157.0142474022487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1452.9703008810784</v>
      </c>
      <c r="N21" s="5">
        <f>'Sheet2(F_12)'!$I21*('Sheet6(p_6)'!$L21+'Sheet6(p_6)'!$M21)</f>
        <v>2609.984548283327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39480.48</v>
      </c>
      <c r="L22" s="5">
        <f>($K22)*Partcipation!$E79*Title_RESULTS!$C$12/100</f>
        <v>1209.3276821828977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1467.5000038898895</v>
      </c>
      <c r="N22" s="5">
        <f>'Sheet2(F_12)'!$I22*('Sheet6(p_6)'!$L22+'Sheet6(p_6)'!$M22)</f>
        <v>2676.8276860727874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39480.48</v>
      </c>
      <c r="L23" s="5">
        <f>($K23)*Partcipation!$E80*Title_RESULTS!$C$12/100</f>
        <v>1280.5340666500597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1482.175003928788</v>
      </c>
      <c r="N23" s="5">
        <f>'Sheet2(F_12)'!$I23*('Sheet6(p_6)'!$L23+'Sheet6(p_6)'!$M23)</f>
        <v>2762.709070578848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39480.48</v>
      </c>
      <c r="L24" s="5">
        <f>($K24)*Partcipation!$E81*Title_RESULTS!$C$12/100</f>
        <v>1401.7943827979057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1496.9967539680763</v>
      </c>
      <c r="N24" s="5">
        <f>'Sheet2(F_12)'!$I24*('Sheet6(p_6)'!$L24+'Sheet6(p_6)'!$M24)</f>
        <v>2898.7911367659817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39480.48</v>
      </c>
      <c r="L25" s="5">
        <f>($K25)*Partcipation!$E82*Title_RESULTS!$C$12/100</f>
        <v>1473.2126501283262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1511.966721507757</v>
      </c>
      <c r="N25" s="5">
        <f>'Sheet2(F_12)'!$I25*('Sheet6(p_6)'!$L25+'Sheet6(p_6)'!$M25)</f>
        <v>2985.1793716360835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39480.48</v>
      </c>
      <c r="L26" s="5">
        <f>($K26)*Partcipation!$E83*Title_RESULTS!$C$12/100</f>
        <v>1605.1417705454255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1527.0863887228347</v>
      </c>
      <c r="N26" s="5">
        <f>'Sheet2(F_12)'!$I26*('Sheet6(p_6)'!$L26+'Sheet6(p_6)'!$M26)</f>
        <v>3132.2281592682602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39480.48</v>
      </c>
      <c r="L27" s="5">
        <f>($K27)*Partcipation!$E84*Title_RESULTS!$C$12/100</f>
        <v>1660.4743494399306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1542.3572526100627</v>
      </c>
      <c r="N27" s="5">
        <f>'Sheet2(F_12)'!$I27*('Sheet6(p_6)'!$L27+'Sheet6(p_6)'!$M27)</f>
        <v>3202.8316020499933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39480.48</v>
      </c>
      <c r="L28" s="5">
        <f>($K28)*Partcipation!$E85*Title_RESULTS!$C$12/100</f>
        <v>1778.950934188317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1557.7808251361635</v>
      </c>
      <c r="N28" s="5">
        <f>'Sheet2(F_12)'!$I28*('Sheet6(p_6)'!$L28+'Sheet6(p_6)'!$M28)</f>
        <v>3336.7317593244807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39480.48</v>
      </c>
      <c r="L29" s="5">
        <f>($K29)*Partcipation!$E86*Title_RESULTS!$C$12/100</f>
        <v>1816.2651128089885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1573.358633387525</v>
      </c>
      <c r="N29" s="5">
        <f>'Sheet2(F_12)'!$I29*('Sheet6(p_6)'!$L29+'Sheet6(p_6)'!$M29)</f>
        <v>3389.623746196514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39480.48</v>
      </c>
      <c r="L30" s="5">
        <f>($K30)*Partcipation!$E87*Title_RESULTS!$C$12/100</f>
        <v>1936.2199157595255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1589.0922197214006</v>
      </c>
      <c r="N30" s="5">
        <f>'Sheet2(F_12)'!$I30*('Sheet6(p_6)'!$L30+'Sheet6(p_6)'!$M30)</f>
        <v>3525.3121354809264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7233.8099999999995</v>
      </c>
      <c r="F32" s="5">
        <f t="shared" si="4"/>
        <v>0</v>
      </c>
      <c r="G32" s="5">
        <f t="shared" si="4"/>
        <v>7233.8099999999995</v>
      </c>
      <c r="H32" s="5">
        <f t="shared" si="4"/>
        <v>12235.142593999999</v>
      </c>
      <c r="I32" s="5">
        <f t="shared" si="4"/>
        <v>0</v>
      </c>
      <c r="J32" s="5">
        <f t="shared" si="4"/>
        <v>12235.142593999999</v>
      </c>
      <c r="K32" s="5">
        <f t="shared" si="4"/>
        <v>532986.48</v>
      </c>
      <c r="L32" s="5">
        <f t="shared" si="4"/>
        <v>18982.31944177067</v>
      </c>
      <c r="M32" s="5">
        <f t="shared" si="4"/>
        <v>20167.955003184983</v>
      </c>
      <c r="N32" s="5">
        <f t="shared" si="4"/>
        <v>39150.274444955656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6766.060573388411</v>
      </c>
      <c r="F34" s="5">
        <f>NPV(Title_RESULTS!$C$37,'Sheet6(p_6)'!F17:F31)+'Sheet6(p_6)'!F16</f>
        <v>0</v>
      </c>
      <c r="G34" s="5">
        <f>NPV(Title_RESULTS!$C$37,'Sheet6(p_6)'!G17:G31)+'Sheet6(p_6)'!G16</f>
        <v>6766.060573388411</v>
      </c>
      <c r="H34" s="5">
        <f>NPV(Title_RESULTS!$C$37,'Sheet6(p_6)'!H17:H31)+'Sheet6(p_6)'!H16</f>
        <v>11432.14344771221</v>
      </c>
      <c r="I34" s="5">
        <f>NPV(Title_RESULTS!$C$37,'Sheet6(p_6)'!I17:I31)+'Sheet6(p_6)'!I16</f>
        <v>0</v>
      </c>
      <c r="J34" s="5">
        <f>NPV(Title_RESULTS!$C$37,'Sheet6(p_6)'!J17:J31)+'Sheet6(p_6)'!J16</f>
        <v>11432.14344771221</v>
      </c>
      <c r="K34" s="5"/>
      <c r="L34" s="5">
        <f>NPV(Title_RESULTS!$C$37,'Sheet6(p_6)'!L17:L31)+'Sheet6(p_6)'!L16</f>
        <v>10953.745943900381</v>
      </c>
      <c r="M34" s="5">
        <f>NPV(Title_RESULTS!$C$37,'Sheet6(p_6)'!M17:M31)+'Sheet6(p_6)'!M16</f>
        <v>12207.56678757479</v>
      </c>
      <c r="N34" s="5">
        <f>NPV(Title_RESULTS!$C$37,'Sheet6(p_6)'!N17:N31)+'Sheet6(p_6)'!N16</f>
        <v>23161.31273147517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VSD Controlled Compressor</v>
      </c>
      <c r="M2" t="s">
        <v>55</v>
      </c>
    </row>
    <row r="3" ht="12.75">
      <c r="M3" s="35">
        <f>+Title_RESULTS!I4</f>
        <v>43599.320777546294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3986</v>
      </c>
      <c r="E16" s="5">
        <f>IF(A16&gt;=(Title_RESULTS!$H$7+Title_RESULTS!$C$17),0,(+'f-11B'!$N15))</f>
        <v>0</v>
      </c>
      <c r="F16" s="5">
        <f>IF(A16&gt;=(Title_RESULTS!$H$7+Title_RESULTS!$C$17),0,(SUM(B16:E16)))</f>
        <v>4111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201.33862214959308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201.33862214959308</v>
      </c>
      <c r="L16" s="23">
        <f>IF(A16&gt;=(Title_RESULTS!$H$7+Title_RESULTS!$C$17),0,(+$K16-$F16))</f>
        <v>-3909.661377850407</v>
      </c>
      <c r="M16" s="23">
        <f>IF(A16&gt;=(Title_RESULTS!$H$7+Title_RESULTS!$C$17),0,(+$L16/(1+Title_RESULTS!$C$37)^('Sheet7(F_23)'!$A16-Title_RESULTS!$H$7)))</f>
        <v>-3909.661377850407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4077.6779999999994</v>
      </c>
      <c r="E17" s="5">
        <f>IF(A17&gt;=(Title_RESULTS!$H$7+Title_RESULTS!$C$17),0,(+'f-11B'!$N16))</f>
        <v>0</v>
      </c>
      <c r="F17" s="5">
        <f>IF(A17&gt;=(Title_RESULTS!$H$7+Title_RESULTS!$C$17),0,(SUM(B17:E17)))</f>
        <v>4205.678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145.79337093909632</v>
      </c>
      <c r="I17" s="5">
        <f>IF(A17&gt;=(Title_RESULTS!$H$7+Title_RESULTS!$C$17),0,(+'Sheet4(F_22)'!$H17))</f>
        <v>599.1028900641581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744.8962610032545</v>
      </c>
      <c r="L17" s="23">
        <f>IF(A17&gt;=(Title_RESULTS!$H$7+Title_RESULTS!$C$17),0,(+$K17-$F17))</f>
        <v>-3460.7817389967454</v>
      </c>
      <c r="M17" s="23">
        <f>IF(A17&gt;=(Title_RESULTS!$H$7+Title_RESULTS!$C$17),0,(+M16+$L17/(1+Title_RESULTS!$C$37)^('Sheet7(F_23)'!$A17-Title_RESULTS!$H$7)))</f>
        <v>-7141.620416883602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4171.464593999999</v>
      </c>
      <c r="E18" s="5">
        <f>IF(A18&gt;=(Title_RESULTS!$H$7+Title_RESULTS!$C$17),0,(+'f-11B'!$N17))</f>
        <v>0</v>
      </c>
      <c r="F18" s="5">
        <f>IF(A18&gt;=(Title_RESULTS!$H$7+Title_RESULTS!$C$17),0,(SUM(B18:E18)))</f>
        <v>4302.536593999999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149.29241184163462</v>
      </c>
      <c r="I18" s="5">
        <f>IF(A18&gt;=(Title_RESULTS!$H$7+Title_RESULTS!$C$17),0,(+'Sheet4(F_22)'!$H18))</f>
        <v>1030.5238032483671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1179.8162150900018</v>
      </c>
      <c r="L18" s="23">
        <f>IF(A18&gt;=(Title_RESULTS!$H$7+Title_RESULTS!$C$17),0,(+$K18-$F18))</f>
        <v>-3122.7203789099976</v>
      </c>
      <c r="M18" s="23">
        <f>IF(A18&gt;=(Title_RESULTS!$H$7+Title_RESULTS!$C$17),0,(+M17+$L18/(1+Title_RESULTS!$C$37)^('Sheet7(F_23)'!$A18-Title_RESULTS!$H$7)))</f>
        <v>-9865.05139084356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440.72939740561355</v>
      </c>
      <c r="H19" s="5">
        <f>IF(A19&gt;=(Title_RESULTS!$H$7+Title_RESULTS!$C$17),0,(+'Sheet4(F_22)'!$D19+'Sheet4(F_22)'!$G19))</f>
        <v>152.87542972583384</v>
      </c>
      <c r="I19" s="5">
        <f>IF(A19&gt;=(Title_RESULTS!$H$7+Title_RESULTS!$C$17),0,(+'Sheet4(F_22)'!$H19))</f>
        <v>1287.359759840472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1880.9645869719193</v>
      </c>
      <c r="L19" s="23">
        <f>IF(A19&gt;=(Title_RESULTS!$H$7+Title_RESULTS!$C$17),0,(+$K19-$F19))</f>
        <v>1880.9645869719193</v>
      </c>
      <c r="M19" s="23">
        <f>IF(A19&gt;=(Title_RESULTS!$H$7+Title_RESULTS!$C$17),0,(+M18+$L19/(1+Title_RESULTS!$C$37)^('Sheet7(F_23)'!$A19-Title_RESULTS!$H$7)))</f>
        <v>-8333.062797876648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452.48141847263923</v>
      </c>
      <c r="H20" s="5">
        <f>IF(A20&gt;=(Title_RESULTS!$H$7+Title_RESULTS!$C$17),0,(+'Sheet4(F_22)'!$D20+'Sheet4(F_22)'!$G20))</f>
        <v>156.54444003925386</v>
      </c>
      <c r="I20" s="5">
        <f>IF(A20&gt;=(Title_RESULTS!$H$7+Title_RESULTS!$C$17),0,(+'Sheet4(F_22)'!$H20))</f>
        <v>1337.9481460538148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1946.974004565708</v>
      </c>
      <c r="L20" s="23">
        <f>IF(A20&gt;=(Title_RESULTS!$H$7+Title_RESULTS!$C$17),0,(+$K20-$F20))</f>
        <v>1946.974004565708</v>
      </c>
      <c r="M20" s="23">
        <f>IF(A20&gt;=(Title_RESULTS!$H$7+Title_RESULTS!$C$17),0,(+M19+$L20/(1+Title_RESULTS!$C$37)^('Sheet7(F_23)'!$A20-Title_RESULTS!$H$7)))</f>
        <v>-6852.1594909483165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465.3382490229413</v>
      </c>
      <c r="H21" s="5">
        <f>IF(A21&gt;=(Title_RESULTS!$H$7+Title_RESULTS!$C$17),0,(+'Sheet4(F_22)'!$D21+'Sheet4(F_22)'!$G21))</f>
        <v>160.30150660019598</v>
      </c>
      <c r="I21" s="5">
        <f>IF(A21&gt;=(Title_RESULTS!$H$7+Title_RESULTS!$C$17),0,(+'Sheet4(F_22)'!$H21))</f>
        <v>1436.5534990462977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2062.193254669435</v>
      </c>
      <c r="L21" s="23">
        <f>IF(A21&gt;=(Title_RESULTS!$H$7+Title_RESULTS!$C$17),0,(+$K21-$F21))</f>
        <v>2062.193254669435</v>
      </c>
      <c r="M21" s="23">
        <f>IF(A21&gt;=(Title_RESULTS!$H$7+Title_RESULTS!$C$17),0,(+M20+$L21/(1+Title_RESULTS!$C$37)^('Sheet7(F_23)'!$A21-Title_RESULTS!$H$7)))</f>
        <v>-5387.328399566282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479.73730047384606</v>
      </c>
      <c r="H22" s="5">
        <f>IF(A22&gt;=(Title_RESULTS!$H$7+Title_RESULTS!$C$17),0,(+'Sheet4(F_22)'!$D22+'Sheet4(F_22)'!$G22))</f>
        <v>164.14874275860066</v>
      </c>
      <c r="I22" s="5">
        <f>IF(A22&gt;=(Title_RESULTS!$H$7+Title_RESULTS!$C$17),0,(+'Sheet4(F_22)'!$H22))</f>
        <v>1482.630413213109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2126.516456445556</v>
      </c>
      <c r="L22" s="23">
        <f>IF(A22&gt;=(Title_RESULTS!$H$7+Title_RESULTS!$C$17),0,(+$K22-$F22))</f>
        <v>2126.516456445556</v>
      </c>
      <c r="M22" s="23">
        <f>IF(A22&gt;=(Title_RESULTS!$H$7+Title_RESULTS!$C$17),0,(+M21+$L22/(1+Title_RESULTS!$C$37)^('Sheet7(F_23)'!$A22-Title_RESULTS!$H$7)))</f>
        <v>-3976.6806744195737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492.6518678090698</v>
      </c>
      <c r="H23" s="5">
        <f>IF(A23&gt;=(Title_RESULTS!$H$7+Title_RESULTS!$C$17),0,(+'Sheet4(F_22)'!$D23+'Sheet4(F_22)'!$G23))</f>
        <v>168.08831258480708</v>
      </c>
      <c r="I23" s="5">
        <f>IF(A23&gt;=(Title_RESULTS!$H$7+Title_RESULTS!$C$17),0,(+'Sheet4(F_22)'!$H23))</f>
        <v>1575.288178082192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2236.028358476069</v>
      </c>
      <c r="L23" s="23">
        <f>IF(A23&gt;=(Title_RESULTS!$H$7+Title_RESULTS!$C$17),0,(+$K23-$F23))</f>
        <v>2236.028358476069</v>
      </c>
      <c r="M23" s="23">
        <f>IF(A23&gt;=(Title_RESULTS!$H$7+Title_RESULTS!$C$17),0,(+M22+$L23/(1+Title_RESULTS!$C$37)^('Sheet7(F_23)'!$A23-Title_RESULTS!$H$7)))</f>
        <v>-2591.46062253552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500.63228941722855</v>
      </c>
      <c r="H24" s="5">
        <f>IF(A24&gt;=(Title_RESULTS!$H$7+Title_RESULTS!$C$17),0,(+'Sheet4(F_22)'!$D24+'Sheet4(F_22)'!$G24))</f>
        <v>172.12243208684245</v>
      </c>
      <c r="I24" s="5">
        <f>IF(A24&gt;=(Title_RESULTS!$H$7+Title_RESULTS!$C$17),0,(+'Sheet4(F_22)'!$H24))</f>
        <v>1745.6014684927716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2418.3561899968427</v>
      </c>
      <c r="L24" s="23">
        <f>IF(A24&gt;=(Title_RESULTS!$H$7+Title_RESULTS!$C$17),0,(+$K24-$F24))</f>
        <v>2418.3561899968427</v>
      </c>
      <c r="M24" s="23">
        <f>IF(A24&gt;=(Title_RESULTS!$H$7+Title_RESULTS!$C$17),0,(+M23+$L24/(1+Title_RESULTS!$C$37)^('Sheet7(F_23)'!$A24-Title_RESULTS!$H$7)))</f>
        <v>-1192.3457710587388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514.2312166144756</v>
      </c>
      <c r="H25" s="5">
        <f>IF(A25&gt;=(Title_RESULTS!$H$7+Title_RESULTS!$C$17),0,(+'Sheet4(F_22)'!$D25+'Sheet4(F_22)'!$G25))</f>
        <v>176.2533704569267</v>
      </c>
      <c r="I25" s="5">
        <f>IF(A25&gt;=(Title_RESULTS!$H$7+Title_RESULTS!$C$17),0,(+'Sheet4(F_22)'!$H25))</f>
        <v>1870.1750407490897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2560.659627820492</v>
      </c>
      <c r="L25" s="23">
        <f>IF(A25&gt;=(Title_RESULTS!$H$7+Title_RESULTS!$C$17),0,(+$K25-$F25))</f>
        <v>2560.659627820492</v>
      </c>
      <c r="M25" s="23">
        <f>IF(A25&gt;=(Title_RESULTS!$H$7+Title_RESULTS!$C$17),0,(+M24+$L25/(1+Title_RESULTS!$C$37)^('Sheet7(F_23)'!$A25-Title_RESULTS!$H$7)))</f>
        <v>191.14603615106012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522.4647446699769</v>
      </c>
      <c r="H26" s="5">
        <f>IF(A26&gt;=(Title_RESULTS!$H$7+Title_RESULTS!$C$17),0,(+'Sheet4(F_22)'!$D26+'Sheet4(F_22)'!$G26))</f>
        <v>180.48345134789292</v>
      </c>
      <c r="I26" s="5">
        <f>IF(A26&gt;=(Title_RESULTS!$H$7+Title_RESULTS!$C$17),0,(+'Sheet4(F_22)'!$H26))</f>
        <v>2088.8819124328083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2791.8301084506784</v>
      </c>
      <c r="L26" s="23">
        <f>IF(A26&gt;=(Title_RESULTS!$H$7+Title_RESULTS!$C$17),0,(+$K26-$F26))</f>
        <v>2791.8301084506784</v>
      </c>
      <c r="M26" s="23">
        <f>IF(A26&gt;=(Title_RESULTS!$H$7+Title_RESULTS!$C$17),0,(+M25+$L26/(1+Title_RESULTS!$C$37)^('Sheet7(F_23)'!$A26-Title_RESULTS!$H$7)))</f>
        <v>1599.803372507749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540.5004482127019</v>
      </c>
      <c r="H27" s="5">
        <f>IF(A27&gt;=(Title_RESULTS!$H$7+Title_RESULTS!$C$17),0,(+'Sheet4(F_22)'!$D27+'Sheet4(F_22)'!$G27))</f>
        <v>184.81505418024236</v>
      </c>
      <c r="I27" s="5">
        <f>IF(A27&gt;=(Title_RESULTS!$H$7+Title_RESULTS!$C$17),0,(+'Sheet4(F_22)'!$H27))</f>
        <v>2081.1136831975036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2806.429185590448</v>
      </c>
      <c r="L27" s="23">
        <f>IF(A27&gt;=(Title_RESULTS!$H$7+Title_RESULTS!$C$17),0,(+$K27-$F27))</f>
        <v>2806.429185590448</v>
      </c>
      <c r="M27" s="23">
        <f>IF(A27&gt;=(Title_RESULTS!$H$7+Title_RESULTS!$C$17),0,(+M26+$L27/(1+Title_RESULTS!$C$37)^('Sheet7(F_23)'!$A27-Title_RESULTS!$H$7)))</f>
        <v>2922.2011190962057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551.8951233950049</v>
      </c>
      <c r="H28" s="5">
        <f>IF(A28&gt;=(Title_RESULTS!$H$7+Title_RESULTS!$C$17),0,(+'Sheet4(F_22)'!$D28+'Sheet4(F_22)'!$G28))</f>
        <v>189.25061548056817</v>
      </c>
      <c r="I28" s="5">
        <f>IF(A28&gt;=(Title_RESULTS!$H$7+Title_RESULTS!$C$17),0,(+'Sheet4(F_22)'!$H28))</f>
        <v>2274.4649111157214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3015.6106499912944</v>
      </c>
      <c r="L28" s="23">
        <f>IF(A28&gt;=(Title_RESULTS!$H$7+Title_RESULTS!$C$17),0,(+$K28-$F28))</f>
        <v>3015.6106499912944</v>
      </c>
      <c r="M28" s="23">
        <f>IF(A28&gt;=(Title_RESULTS!$H$7+Title_RESULTS!$C$17),0,(+M27+$L28/(1+Title_RESULTS!$C$37)^('Sheet7(F_23)'!$A28-Title_RESULTS!$H$7)))</f>
        <v>4249.213327105145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571.6038984983518</v>
      </c>
      <c r="H29" s="5">
        <f>IF(A29&gt;=(Title_RESULTS!$H$7+Title_RESULTS!$C$17),0,(+'Sheet4(F_22)'!$D29+'Sheet4(F_22)'!$G29))</f>
        <v>193.7926302521018</v>
      </c>
      <c r="I29" s="5">
        <f>IF(A29&gt;=(Title_RESULTS!$H$7+Title_RESULTS!$C$17),0,(+'Sheet4(F_22)'!$H29))</f>
        <v>2425.5099334142533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3190.9064621647067</v>
      </c>
      <c r="L29" s="23">
        <f>IF(A29&gt;=(Title_RESULTS!$H$7+Title_RESULTS!$C$17),0,(+$K29-$F29))</f>
        <v>3190.9064621647067</v>
      </c>
      <c r="M29" s="23">
        <f>IF(A29&gt;=(Title_RESULTS!$H$7+Title_RESULTS!$C$17),0,(+M28+$L29/(1+Title_RESULTS!$C$37)^('Sheet7(F_23)'!$A29-Title_RESULTS!$H$7)))</f>
        <v>5560.523289957249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582.642624633661</v>
      </c>
      <c r="H30" s="5">
        <f>IF(A30&gt;=(Title_RESULTS!$H$7+Title_RESULTS!$C$17),0,(+'Sheet4(F_22)'!$D30+'Sheet4(F_22)'!$G30))</f>
        <v>198.44365337815225</v>
      </c>
      <c r="I30" s="5">
        <f>IF(A30&gt;=(Title_RESULTS!$H$7+Title_RESULTS!$C$17),0,(+'Sheet4(F_22)'!$H30))</f>
        <v>2538.4471820704002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3319.5334600822134</v>
      </c>
      <c r="L30" s="23">
        <f>IF(A30&gt;=(Title_RESULTS!$H$7+Title_RESULTS!$C$17),0,(+$K30-$F30))</f>
        <v>3319.5334600822134</v>
      </c>
      <c r="M30" s="23">
        <f>IF(A30&gt;=(Title_RESULTS!$H$7+Title_RESULTS!$C$17),0,(+M29+$L30/(1+Title_RESULTS!$C$37)^('Sheet7(F_23)'!$A30-Title_RESULTS!$H$7)))</f>
        <v>6834.495561057277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12235.142593999999</v>
      </c>
      <c r="E32" s="5">
        <f t="shared" si="1"/>
        <v>0</v>
      </c>
      <c r="F32" s="5">
        <f t="shared" si="1"/>
        <v>12619.214594</v>
      </c>
      <c r="G32" s="5">
        <f t="shared" si="1"/>
        <v>6114.908578625511</v>
      </c>
      <c r="H32" s="5">
        <f t="shared" si="1"/>
        <v>2392.205421672149</v>
      </c>
      <c r="I32" s="5">
        <f t="shared" si="1"/>
        <v>23974.93944317055</v>
      </c>
      <c r="J32" s="5">
        <f t="shared" si="1"/>
        <v>0</v>
      </c>
      <c r="K32" s="5">
        <f t="shared" si="1"/>
        <v>32482.05344346821</v>
      </c>
      <c r="L32" s="5">
        <f t="shared" si="1"/>
        <v>19862.83884946821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11432.14344771221</v>
      </c>
      <c r="E34" s="5">
        <f>NPV(Title_RESULTS!$C$37,'Sheet7(F_23)'!E17:E31)+'Sheet7(F_23)'!E16</f>
        <v>0</v>
      </c>
      <c r="F34" s="5">
        <f>NPV(Title_RESULTS!$C$37,'Sheet7(F_23)'!F17:F31)+'Sheet7(F_23)'!F16</f>
        <v>11790.992605349267</v>
      </c>
      <c r="G34" s="5">
        <f>NPV(Title_RESULTS!$C$37,'Sheet7(F_23)'!G17:G31)+'Sheet7(F_23)'!G16</f>
        <v>3444.2447408961575</v>
      </c>
      <c r="H34" s="5">
        <f>NPV(Title_RESULTS!$C$37,'Sheet7(F_23)'!H17:H31)+'Sheet7(F_23)'!H16</f>
        <v>1448.8622102801626</v>
      </c>
      <c r="I34" s="5">
        <f>NPV(Title_RESULTS!$C$37,'Sheet7(F_23)'!I17:I31)+'Sheet7(F_23)'!I16</f>
        <v>13732.38121523022</v>
      </c>
      <c r="J34" s="5">
        <f>NPV(Title_RESULTS!$C$37,'Sheet7(F_23)'!J17:J31)+'Sheet7(F_23)'!J16</f>
        <v>0</v>
      </c>
      <c r="K34" s="5">
        <f>NPV(Title_RESULTS!$C$37,'Sheet7(F_23)'!K17:K31)+'Sheet7(F_23)'!K16</f>
        <v>18625.48816640654</v>
      </c>
      <c r="L34" s="5">
        <f>NPV(Title_RESULTS!$C$37,'Sheet7(F_23)'!L17:L31)+'Sheet7(F_23)'!L16</f>
        <v>6834.495561057274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1.579636998326726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VSD Controlled Compressor</v>
      </c>
      <c r="L2" t="s">
        <v>55</v>
      </c>
    </row>
    <row r="3" ht="12.75">
      <c r="L3" s="35">
        <f>+Title_RESULTS!I4</f>
        <v>43599.320777546294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390.60801732479183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2411.27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2801.878017324792</v>
      </c>
      <c r="G16" s="5">
        <f>IF(A16&gt;=(Title_RESULTS!$H$7+Title_RESULTS!$C$17),0,(+'Sheet6(p_6)'!$H16))</f>
        <v>3986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3986</v>
      </c>
      <c r="K16" s="23">
        <f>IF(A16&gt;=(Title_RESULTS!$H$7+Title_RESULTS!$C$17),0,(+F16-J16))</f>
        <v>-1184.121982675208</v>
      </c>
      <c r="L16" s="23">
        <f>IF(A16&gt;=(Title_RESULTS!$H$7+Title_RESULTS!$C$17),0,(+$K16/((1+Title_RESULTS!$C$37)^('Sheet8(F_24)'!$A16-Title_RESULTS!$H$7))))</f>
        <v>-1184.121982675208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1201.6096591088572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2411.27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3612.879659108857</v>
      </c>
      <c r="G17" s="5">
        <f>IF(A17&gt;=(Title_RESULTS!$H$7+Title_RESULTS!$C$17),0,(+'Sheet6(p_6)'!$H17))</f>
        <v>4077.6779999999994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4077.6779999999994</v>
      </c>
      <c r="K17" s="23">
        <f>IF(A17&gt;=(Title_RESULTS!$H$7+Title_RESULTS!$C$17),0,(+F17-J17))</f>
        <v>-464.7983408911423</v>
      </c>
      <c r="L17" s="23">
        <f>IF(A16&gt;=(Title_RESULTS!$H$7+Title_RESULTS!$C$17),0,(+$K17/((1+Title_RESULTS!$C$37)^('Sheet8(F_24)'!$A17-Title_RESULTS!$H$7))+L16))</f>
        <v>-1618.1884198167306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2045.2276906625657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2411.27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4456.497690662565</v>
      </c>
      <c r="G18" s="5">
        <f>IF(A18&gt;=(Title_RESULTS!$H$7+Title_RESULTS!$C$17),0,(+'Sheet6(p_6)'!$H18))</f>
        <v>4171.464593999999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4171.464593999999</v>
      </c>
      <c r="K18" s="23">
        <f>IF(A18&gt;=(Title_RESULTS!$H$7+Title_RESULTS!$C$17),0,(+F18-J18))</f>
        <v>285.0330966625661</v>
      </c>
      <c r="L18" s="23">
        <f>IF(A17&gt;=(Title_RESULTS!$H$7+Title_RESULTS!$C$17),0,(+$K18/((1+Title_RESULTS!$C$37)^('Sheet8(F_24)'!$A18-Title_RESULTS!$H$7))+L17))</f>
        <v>-1369.6013323217192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2459.817258436909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2459.817258436909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2459.817258436909</v>
      </c>
      <c r="L19" s="23">
        <f>IF(A18&gt;=(Title_RESULTS!$H$7+Title_RESULTS!$C$17),0,(+$K19/((1+Title_RESULTS!$C$37)^('Sheet8(F_24)'!$A19-Title_RESULTS!$H$7))+L18))</f>
        <v>633.8452008079055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2532.7926037653306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2532.7926037653306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2532.7926037653306</v>
      </c>
      <c r="L20" s="23">
        <f>IF(A19&gt;=(Title_RESULTS!$H$7+Title_RESULTS!$C$17),0,(+$K20/((1+Title_RESULTS!$C$37)^('Sheet8(F_24)'!$A20-Title_RESULTS!$H$7))+L19))</f>
        <v>2560.332628931711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2609.984548283327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2609.984548283327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2609.984548283327</v>
      </c>
      <c r="L21" s="23">
        <f>IF(A20&gt;=(Title_RESULTS!$H$7+Title_RESULTS!$C$17),0,(+$K21/((1+Title_RESULTS!$C$37)^('Sheet8(F_24)'!$A21-Title_RESULTS!$H$7))+L20))</f>
        <v>4414.274545236232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2676.8276860727874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2676.8276860727874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2676.8276860727874</v>
      </c>
      <c r="L22" s="23">
        <f>IF(A21&gt;=(Title_RESULTS!$H$7+Title_RESULTS!$C$17),0,(+$K22/((1+Title_RESULTS!$C$37)^('Sheet8(F_24)'!$A22-Title_RESULTS!$H$7))+L21))</f>
        <v>6189.977185355906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2762.709070578848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2762.709070578848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2762.709070578848</v>
      </c>
      <c r="L23" s="23">
        <f>IF(A22&gt;=(Title_RESULTS!$H$7+Title_RESULTS!$C$17),0,(+$K23/((1+Title_RESULTS!$C$37)^('Sheet8(F_24)'!$A23-Title_RESULTS!$H$7))+L22))</f>
        <v>7901.476052345224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2898.7911367659817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2898.7911367659817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2898.7911367659817</v>
      </c>
      <c r="L24" s="23">
        <f>IF(A23&gt;=(Title_RESULTS!$H$7+Title_RESULTS!$C$17),0,(+$K24/((1+Title_RESULTS!$C$37)^('Sheet8(F_24)'!$A24-Title_RESULTS!$H$7))+L23))</f>
        <v>9578.54155144519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2985.1793716360835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2985.1793716360835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2985.1793716360835</v>
      </c>
      <c r="L25" s="23">
        <f>IF(A24&gt;=(Title_RESULTS!$H$7+Title_RESULTS!$C$17),0,(+$K25/((1+Title_RESULTS!$C$37)^('Sheet8(F_24)'!$A25-Title_RESULTS!$H$7))+L24))</f>
        <v>11191.39597334485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3132.2281592682602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3132.2281592682602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3132.2281592682602</v>
      </c>
      <c r="L26" s="23">
        <f>IF(A25&gt;=(Title_RESULTS!$H$7+Title_RESULTS!$C$17),0,(+$K26/((1+Title_RESULTS!$C$37)^('Sheet8(F_24)'!$A26-Title_RESULTS!$H$7))+L25))</f>
        <v>12771.805956868096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3202.8316020499933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3202.8316020499933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3202.8316020499933</v>
      </c>
      <c r="L27" s="23">
        <f>IF(A26&gt;=(Title_RESULTS!$H$7+Title_RESULTS!$C$17),0,(+$K27/((1+Title_RESULTS!$C$37)^('Sheet8(F_24)'!$A27-Title_RESULTS!$H$7))+L26))</f>
        <v>14280.989696475663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3336.7317593244807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3336.7317593244807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3336.7317593244807</v>
      </c>
      <c r="L28" s="23">
        <f>IF(A27&gt;=(Title_RESULTS!$H$7+Title_RESULTS!$C$17),0,(+$K28/((1+Title_RESULTS!$C$37)^('Sheet8(F_24)'!$A28-Title_RESULTS!$H$7))+L27))</f>
        <v>15749.310475714028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3389.623746196514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3389.623746196514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3389.623746196514</v>
      </c>
      <c r="L29" s="23">
        <f>IF(A28&gt;=(Title_RESULTS!$H$7+Title_RESULTS!$C$17),0,(+$K29/((1+Title_RESULTS!$C$37)^('Sheet8(F_24)'!$A29-Title_RESULTS!$H$7))+L28))</f>
        <v>17142.283739396655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3525.3121354809264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3525.3121354809264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3525.3121354809264</v>
      </c>
      <c r="L30" s="23">
        <f>IF(A29&gt;=(Title_RESULTS!$H$7+Title_RESULTS!$C$17),0,(+$K30/((1+Title_RESULTS!$C$37)^('Sheet8(F_24)'!$A30-Title_RESULTS!$H$7))+L29))</f>
        <v>18495.229857151375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39150.274444955656</v>
      </c>
      <c r="C32" s="5">
        <f t="shared" si="1"/>
        <v>0</v>
      </c>
      <c r="D32" s="5">
        <f t="shared" si="1"/>
        <v>7233.8099999999995</v>
      </c>
      <c r="E32" s="5">
        <f t="shared" si="1"/>
        <v>0</v>
      </c>
      <c r="F32" s="5">
        <f t="shared" si="1"/>
        <v>46384.08444495565</v>
      </c>
      <c r="G32" s="5">
        <f t="shared" si="1"/>
        <v>12235.142593999999</v>
      </c>
      <c r="H32" s="5">
        <f t="shared" si="1"/>
        <v>0</v>
      </c>
      <c r="I32" s="5">
        <f t="shared" si="1"/>
        <v>0</v>
      </c>
      <c r="J32" s="5">
        <f t="shared" si="1"/>
        <v>12235.142593999999</v>
      </c>
      <c r="K32" s="5">
        <f t="shared" si="1"/>
        <v>34148.941850955656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23161.31273147517</v>
      </c>
      <c r="C34" s="5">
        <f>NPV(Title_RESULTS!$C$37,'Sheet8(F_24)'!C17:C31)+'Sheet8(F_24)'!C16</f>
        <v>0</v>
      </c>
      <c r="D34" s="5">
        <f>NPV(Title_RESULTS!$C$37,'Sheet8(F_24)'!D17:D31)+'Sheet8(F_24)'!D16</f>
        <v>6766.060573388411</v>
      </c>
      <c r="E34" s="5">
        <f>NPV(Title_RESULTS!$C$37,'Sheet8(F_24)'!E17:E31)+'Sheet8(F_24)'!E16</f>
        <v>0</v>
      </c>
      <c r="F34" s="5">
        <f>NPV(Title_RESULTS!$C$37,'Sheet8(F_24)'!F17:F31)+'Sheet8(F_24)'!F16</f>
        <v>29927.37330486358</v>
      </c>
      <c r="G34" s="5">
        <f>NPV(Title_RESULTS!$C$37,'Sheet8(F_24)'!G17:G31)+'Sheet8(F_24)'!G16</f>
        <v>11432.14344771221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11432.14344771221</v>
      </c>
      <c r="K34" s="5">
        <f>NPV(Title_RESULTS!$C$37,'Sheet8(F_24)'!K17:K31)+'Sheet8(F_24)'!K16</f>
        <v>18495.22985715137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2.6178269579754634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VSD Controlled Compressor</v>
      </c>
      <c r="N2" t="s">
        <v>55</v>
      </c>
    </row>
    <row r="3" ht="12.75">
      <c r="N3" s="35">
        <f>+Title_RESULTS!I4</f>
        <v>43599.320777546294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2411.27</v>
      </c>
      <c r="E16" s="5">
        <f>+'Sheet6(p_6)'!M16</f>
        <v>230.4085644</v>
      </c>
      <c r="F16">
        <f>IF(A16&gt;=(Title_RESULTS!$H$7+Title_RESULTS!$C$17),0,(+'f-11B'!$R15))</f>
        <v>0</v>
      </c>
      <c r="G16" s="5">
        <f>IF(A16&gt;=(Title_RESULTS!$H$7+Title_RESULTS!$C$17),0,(SUM(B16:F16)))</f>
        <v>2766.6785644</v>
      </c>
      <c r="H16" s="5">
        <f>IF(A16&gt;=(Title_RESULTS!$H$7+Title_RESULTS!$C$17),0,(+'Sheet3(F_21)'!$J16+'Sheet4(F_22)'!$H16))</f>
        <v>201.33862214959308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201.33862214959308</v>
      </c>
      <c r="M16" s="23">
        <f>IF(A16&gt;=(Title_RESULTS!$H$7+Title_RESULTS!$C$17),0,(+L16-G16))</f>
        <v>-2565.339942250407</v>
      </c>
      <c r="N16" s="24">
        <f>IF(A16&gt;=(Title_RESULTS!$H$7+Title_RESULTS!$C$17),0,(+$M16/((1+Title_RESULTS!$C$37)^('Sheet9(F_25)'!$A16-Title_RESULTS!$H$7))))</f>
        <v>-2565.339942250407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2411.27</v>
      </c>
      <c r="E17" s="5">
        <f>+'Sheet6(p_6)'!M17</f>
        <v>698.137950132</v>
      </c>
      <c r="F17">
        <f>IF(A17&gt;=(Title_RESULTS!$H$7+Title_RESULTS!$C$17),0,(+'f-11B'!$R16))</f>
        <v>0</v>
      </c>
      <c r="G17" s="5">
        <f>IF(A17&gt;=(Title_RESULTS!$H$7+Title_RESULTS!$C$17),0,(SUM(B17:F17)))</f>
        <v>3237.407950132</v>
      </c>
      <c r="H17" s="5">
        <f>IF(A17&gt;=(Title_RESULTS!$H$7+Title_RESULTS!$C$17),0,(+'Sheet3(F_21)'!$J17+'Sheet4(F_22)'!$H17))</f>
        <v>599.1028900641581</v>
      </c>
      <c r="I17" s="5">
        <f>IF(A17&gt;=(Title_RESULTS!$H$7+Title_RESULTS!$C$17),0,(+'Sheet4(F_22)'!$D17+'Sheet4(F_22)'!$G17))</f>
        <v>145.79337093909632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744.8962610032545</v>
      </c>
      <c r="M17" s="23">
        <f>IF(A17&gt;=(Title_RESULTS!$H$7+Title_RESULTS!$C$17),0,(+L17-G17))</f>
        <v>-2492.5116891287457</v>
      </c>
      <c r="N17" s="24">
        <f>(IF(A16&gt;=(Title_RESULTS!$H$7+Title_RESULTS!$C$17),0,(+$M17/((1+Title_RESULTS!$C$37)^('Sheet9(F_25)'!$A17-Title_RESULTS!$H$7))+N16)))</f>
        <v>-4893.049775205904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2411.27</v>
      </c>
      <c r="E18" s="5">
        <f>+'Sheet6(p_6)'!M18</f>
        <v>1175.1988827222</v>
      </c>
      <c r="F18">
        <f>IF(A18&gt;=(Title_RESULTS!$H$7+Title_RESULTS!$C$17),0,(+'f-11B'!$R17))</f>
        <v>0</v>
      </c>
      <c r="G18" s="5">
        <f>IF(A18&gt;=(Title_RESULTS!$H$7+Title_RESULTS!$C$17),0,(SUM(B18:F18)))</f>
        <v>3717.5408827222</v>
      </c>
      <c r="H18" s="5">
        <f>IF(A18&gt;=(Title_RESULTS!$H$7+Title_RESULTS!$C$17),0,(+'Sheet3(F_21)'!$J18+'Sheet4(F_22)'!$H18))</f>
        <v>1030.5238032483671</v>
      </c>
      <c r="I18" s="5">
        <f>IF(A18&gt;=(Title_RESULTS!$H$7+Title_RESULTS!$C$17),0,(+'Sheet4(F_22)'!$D18+'Sheet4(F_22)'!$G18))</f>
        <v>149.29241184163462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1179.8162150900018</v>
      </c>
      <c r="M18" s="23">
        <f>IF(A18&gt;=(Title_RESULTS!$H$7+Title_RESULTS!$C$17),0,(+L18-G18))</f>
        <v>-2537.7246676321984</v>
      </c>
      <c r="N18" s="24">
        <f>(IF(A17&gt;=(Title_RESULTS!$H$7+Title_RESULTS!$C$17),0,(+$M18/((1+Title_RESULTS!$C$37)^('Sheet9(F_25)'!$A18-Title_RESULTS!$H$7))+N17)))</f>
        <v>-7106.286032249258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1424.3410458593064</v>
      </c>
      <c r="F19">
        <f>IF(A19&gt;=(Title_RESULTS!$H$7+Title_RESULTS!$C$17),0,(+'f-11B'!$R18))</f>
        <v>0</v>
      </c>
      <c r="G19" s="5">
        <f>IF(A19&gt;=(Title_RESULTS!$H$7+Title_RESULTS!$C$17),0,(SUM(B19:F19)))</f>
        <v>1424.3410458593064</v>
      </c>
      <c r="H19" s="5">
        <f>IF(A19&gt;=(Title_RESULTS!$H$7+Title_RESULTS!$C$17),0,(+'Sheet3(F_21)'!$J19+'Sheet4(F_22)'!$H19))</f>
        <v>1728.0891572460855</v>
      </c>
      <c r="I19" s="5">
        <f>IF(A19&gt;=(Title_RESULTS!$H$7+Title_RESULTS!$C$17),0,(+'Sheet4(F_22)'!$D19+'Sheet4(F_22)'!$G19))</f>
        <v>152.87542972583384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1880.9645869719193</v>
      </c>
      <c r="M19" s="23">
        <f>IF(A19&gt;=(Title_RESULTS!$H$7+Title_RESULTS!$C$17),0,(+L19-G19))</f>
        <v>456.6235411126129</v>
      </c>
      <c r="N19" s="24">
        <f>(IF(A18&gt;=(Title_RESULTS!$H$7+Title_RESULTS!$C$17),0,(+$M19/((1+Title_RESULTS!$C$37)^('Sheet9(F_25)'!$A19-Title_RESULTS!$H$7))+N18)))</f>
        <v>-6734.380010673996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1438.5844563178996</v>
      </c>
      <c r="F20">
        <f>IF(A20&gt;=(Title_RESULTS!$H$7+Title_RESULTS!$C$17),0,(+'f-11B'!$R19))</f>
        <v>0</v>
      </c>
      <c r="G20" s="5">
        <f>IF(A20&gt;=(Title_RESULTS!$H$7+Title_RESULTS!$C$17),0,(SUM(B20:F20)))</f>
        <v>1438.5844563178996</v>
      </c>
      <c r="H20" s="5">
        <f>IF(A20&gt;=(Title_RESULTS!$H$7+Title_RESULTS!$C$17),0,(+'Sheet3(F_21)'!$J20+'Sheet4(F_22)'!$H20))</f>
        <v>1790.429564526454</v>
      </c>
      <c r="I20" s="5">
        <f>IF(A20&gt;=(Title_RESULTS!$H$7+Title_RESULTS!$C$17),0,(+'Sheet4(F_22)'!$D20+'Sheet4(F_22)'!$G20))</f>
        <v>156.54444003925386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1946.974004565708</v>
      </c>
      <c r="M20" s="23">
        <f>IF(A20&gt;=(Title_RESULTS!$H$7+Title_RESULTS!$C$17),0,(+L20-G20))</f>
        <v>508.3895482478083</v>
      </c>
      <c r="N20" s="24">
        <f>(IF(A19&gt;=(Title_RESULTS!$H$7+Title_RESULTS!$C$17),0,(+$M20/((1+Title_RESULTS!$C$37)^('Sheet9(F_25)'!$A20-Title_RESULTS!$H$7))+N19)))</f>
        <v>-6347.689812734802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1452.9703008810784</v>
      </c>
      <c r="F21">
        <f>IF(A21&gt;=(Title_RESULTS!$H$7+Title_RESULTS!$C$17),0,(+'f-11B'!$R20))</f>
        <v>0</v>
      </c>
      <c r="G21" s="5">
        <f>IF(A21&gt;=(Title_RESULTS!$H$7+Title_RESULTS!$C$17),0,(SUM(B21:F21)))</f>
        <v>1452.9703008810784</v>
      </c>
      <c r="H21" s="5">
        <f>IF(A21&gt;=(Title_RESULTS!$H$7+Title_RESULTS!$C$17),0,(+'Sheet3(F_21)'!$J21+'Sheet4(F_22)'!$H21))</f>
        <v>1901.891748069239</v>
      </c>
      <c r="I21" s="5">
        <f>IF(A21&gt;=(Title_RESULTS!$H$7+Title_RESULTS!$C$17),0,(+'Sheet4(F_22)'!$D21+'Sheet4(F_22)'!$G21))</f>
        <v>160.30150660019598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2062.1932546694347</v>
      </c>
      <c r="M21" s="23">
        <f>IF(A21&gt;=(Title_RESULTS!$H$7+Title_RESULTS!$C$17),0,(+L21-G21))</f>
        <v>609.2229537883563</v>
      </c>
      <c r="N21" s="24">
        <f>(IF(A20&gt;=(Title_RESULTS!$H$7+Title_RESULTS!$C$17),0,(+$M21/((1+Title_RESULTS!$C$37)^('Sheet9(F_25)'!$A21-Title_RESULTS!$H$7))+N20)))</f>
        <v>-5914.942434538264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1467.5000038898895</v>
      </c>
      <c r="F22">
        <f>IF(A22&gt;=(Title_RESULTS!$H$7+Title_RESULTS!$C$17),0,(+'f-11B'!$R21))</f>
        <v>0</v>
      </c>
      <c r="G22" s="5">
        <f>IF(A22&gt;=(Title_RESULTS!$H$7+Title_RESULTS!$C$17),0,(SUM(B22:F22)))</f>
        <v>1467.5000038898895</v>
      </c>
      <c r="H22" s="5">
        <f>IF(A22&gt;=(Title_RESULTS!$H$7+Title_RESULTS!$C$17),0,(+'Sheet3(F_21)'!$J22+'Sheet4(F_22)'!$H22))</f>
        <v>1962.367713686955</v>
      </c>
      <c r="I22" s="5">
        <f>IF(A22&gt;=(Title_RESULTS!$H$7+Title_RESULTS!$C$17),0,(+'Sheet4(F_22)'!$D22+'Sheet4(F_22)'!$G22))</f>
        <v>164.14874275860066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2126.516456445556</v>
      </c>
      <c r="M22" s="23">
        <f>IF(A22&gt;=(Title_RESULTS!$H$7+Title_RESULTS!$C$17),0,(+L22-G22))</f>
        <v>659.0164525556663</v>
      </c>
      <c r="N22" s="24">
        <f>(IF(A21&gt;=(Title_RESULTS!$H$7+Title_RESULTS!$C$17),0,(+$M22/((1+Title_RESULTS!$C$37)^('Sheet9(F_25)'!$A22-Title_RESULTS!$H$7))+N21)))</f>
        <v>-5477.776732474625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1482.175003928788</v>
      </c>
      <c r="F23">
        <f>IF(A23&gt;=(Title_RESULTS!$H$7+Title_RESULTS!$C$17),0,(+'f-11B'!$R22))</f>
        <v>0</v>
      </c>
      <c r="G23" s="5">
        <f>IF(A23&gt;=(Title_RESULTS!$H$7+Title_RESULTS!$C$17),0,(SUM(B23:F23)))</f>
        <v>1482.175003928788</v>
      </c>
      <c r="H23" s="5">
        <f>IF(A23&gt;=(Title_RESULTS!$H$7+Title_RESULTS!$C$17),0,(+'Sheet3(F_21)'!$J23+'Sheet4(F_22)'!$H23))</f>
        <v>2067.940045891262</v>
      </c>
      <c r="I23" s="5">
        <f>IF(A23&gt;=(Title_RESULTS!$H$7+Title_RESULTS!$C$17),0,(+'Sheet4(F_22)'!$D23+'Sheet4(F_22)'!$G23))</f>
        <v>168.08831258480708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2236.028358476069</v>
      </c>
      <c r="M23" s="23">
        <f>IF(A23&gt;=(Title_RESULTS!$H$7+Title_RESULTS!$C$17),0,(+L23-G23))</f>
        <v>753.853354547281</v>
      </c>
      <c r="N23" s="24">
        <f>(IF(A22&gt;=(Title_RESULTS!$H$7+Title_RESULTS!$C$17),0,(+$M23/((1+Title_RESULTS!$C$37)^('Sheet9(F_25)'!$A23-Title_RESULTS!$H$7))+N22)))</f>
        <v>-5010.764416221781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1496.9967539680763</v>
      </c>
      <c r="F24">
        <f>IF(A24&gt;=(Title_RESULTS!$H$7+Title_RESULTS!$C$17),0,(+'f-11B'!$R23))</f>
        <v>0</v>
      </c>
      <c r="G24" s="5">
        <f>IF(A24&gt;=(Title_RESULTS!$H$7+Title_RESULTS!$C$17),0,(SUM(B24:F24)))</f>
        <v>1496.9967539680763</v>
      </c>
      <c r="H24" s="5">
        <f>IF(A24&gt;=(Title_RESULTS!$H$7+Title_RESULTS!$C$17),0,(+'Sheet3(F_21)'!$J24+'Sheet4(F_22)'!$H24))</f>
        <v>2246.2337579100003</v>
      </c>
      <c r="I24" s="5">
        <f>IF(A24&gt;=(Title_RESULTS!$H$7+Title_RESULTS!$C$17),0,(+'Sheet4(F_22)'!$D24+'Sheet4(F_22)'!$G24))</f>
        <v>172.12243208684245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2418.3561899968427</v>
      </c>
      <c r="M24" s="23">
        <f>IF(A24&gt;=(Title_RESULTS!$H$7+Title_RESULTS!$C$17),0,(+L24-G24))</f>
        <v>921.3594360287664</v>
      </c>
      <c r="N24" s="24">
        <f>(IF(A23&gt;=(Title_RESULTS!$H$7+Title_RESULTS!$C$17),0,(+$M24/((1+Title_RESULTS!$C$37)^('Sheet9(F_25)'!$A24-Title_RESULTS!$H$7))+N23)))</f>
        <v>-4477.721485726997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1511.966721507757</v>
      </c>
      <c r="F25">
        <f>IF(A25&gt;=(Title_RESULTS!$H$7+Title_RESULTS!$C$17),0,(+'f-11B'!$R24))</f>
        <v>0</v>
      </c>
      <c r="G25" s="5">
        <f>IF(A25&gt;=(Title_RESULTS!$H$7+Title_RESULTS!$C$17),0,(SUM(B25:F25)))</f>
        <v>1511.966721507757</v>
      </c>
      <c r="H25" s="5">
        <f>IF(A25&gt;=(Title_RESULTS!$H$7+Title_RESULTS!$C$17),0,(+'Sheet3(F_21)'!$J25+'Sheet4(F_22)'!$H25))</f>
        <v>2384.406257363565</v>
      </c>
      <c r="I25" s="5">
        <f>IF(A25&gt;=(Title_RESULTS!$H$7+Title_RESULTS!$C$17),0,(+'Sheet4(F_22)'!$D25+'Sheet4(F_22)'!$G25))</f>
        <v>176.2533704569267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2560.659627820492</v>
      </c>
      <c r="M25" s="23">
        <f>IF(A25&gt;=(Title_RESULTS!$H$7+Title_RESULTS!$C$17),0,(+L25-G25))</f>
        <v>1048.692906312735</v>
      </c>
      <c r="N25" s="24">
        <f>(IF(A24&gt;=(Title_RESULTS!$H$7+Title_RESULTS!$C$17),0,(+$M25/((1+Title_RESULTS!$C$37)^('Sheet9(F_25)'!$A25-Title_RESULTS!$H$7))+N24)))</f>
        <v>-3911.126055237237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1527.0863887228347</v>
      </c>
      <c r="F26">
        <f>IF(A26&gt;=(Title_RESULTS!$H$7+Title_RESULTS!$C$17),0,(+'f-11B'!$R25))</f>
        <v>0</v>
      </c>
      <c r="G26" s="5">
        <f>IF(A26&gt;=(Title_RESULTS!$H$7+Title_RESULTS!$C$17),0,(SUM(B26:F26)))</f>
        <v>1527.0863887228347</v>
      </c>
      <c r="H26" s="5">
        <f>IF(A26&gt;=(Title_RESULTS!$H$7+Title_RESULTS!$C$17),0,(+'Sheet3(F_21)'!$J26+'Sheet4(F_22)'!$H26))</f>
        <v>2611.3466571027852</v>
      </c>
      <c r="I26" s="5">
        <f>IF(A26&gt;=(Title_RESULTS!$H$7+Title_RESULTS!$C$17),0,(+'Sheet4(F_22)'!$D26+'Sheet4(F_22)'!$G26))</f>
        <v>180.48345134789292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2791.8301084506784</v>
      </c>
      <c r="M26" s="23">
        <f>IF(A26&gt;=(Title_RESULTS!$H$7+Title_RESULTS!$C$17),0,(+L26-G26))</f>
        <v>1264.7437197278437</v>
      </c>
      <c r="N26" s="24">
        <f>(IF(A25&gt;=(Title_RESULTS!$H$7+Title_RESULTS!$C$17),0,(+$M26/((1+Title_RESULTS!$C$37)^('Sheet9(F_25)'!$A26-Title_RESULTS!$H$7))+N25)))</f>
        <v>-3272.981737639643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1542.3572526100627</v>
      </c>
      <c r="F27">
        <f>IF(A27&gt;=(Title_RESULTS!$H$7+Title_RESULTS!$C$17),0,(+'f-11B'!$R26))</f>
        <v>0</v>
      </c>
      <c r="G27" s="5">
        <f>IF(A27&gt;=(Title_RESULTS!$H$7+Title_RESULTS!$C$17),0,(SUM(B27:F27)))</f>
        <v>1542.3572526100627</v>
      </c>
      <c r="H27" s="5">
        <f>IF(A27&gt;=(Title_RESULTS!$H$7+Title_RESULTS!$C$17),0,(+'Sheet3(F_21)'!$J27+'Sheet4(F_22)'!$H27))</f>
        <v>2621.6141314102056</v>
      </c>
      <c r="I27" s="5">
        <f>IF(A27&gt;=(Title_RESULTS!$H$7+Title_RESULTS!$C$17),0,(+'Sheet4(F_22)'!$D27+'Sheet4(F_22)'!$G27))</f>
        <v>184.81505418024236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2806.429185590448</v>
      </c>
      <c r="M27" s="23">
        <f>IF(A27&gt;=(Title_RESULTS!$H$7+Title_RESULTS!$C$17),0,(+L27-G27))</f>
        <v>1264.0719329803853</v>
      </c>
      <c r="N27" s="24">
        <f>(IF(A26&gt;=(Title_RESULTS!$H$7+Title_RESULTS!$C$17),0,(+$M27/((1+Title_RESULTS!$C$37)^('Sheet9(F_25)'!$A27-Title_RESULTS!$H$7))+N26)))</f>
        <v>-2677.3472978747623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1557.7808251361635</v>
      </c>
      <c r="F28">
        <f>IF(A28&gt;=(Title_RESULTS!$H$7+Title_RESULTS!$C$17),0,(+'f-11B'!$R27))</f>
        <v>0</v>
      </c>
      <c r="G28" s="5">
        <f>IF(A28&gt;=(Title_RESULTS!$H$7+Title_RESULTS!$C$17),0,(SUM(B28:F28)))</f>
        <v>1557.7808251361635</v>
      </c>
      <c r="H28" s="5">
        <f>IF(A28&gt;=(Title_RESULTS!$H$7+Title_RESULTS!$C$17),0,(+'Sheet3(F_21)'!$J28+'Sheet4(F_22)'!$H28))</f>
        <v>2826.360034510726</v>
      </c>
      <c r="I28" s="5">
        <f>IF(A28&gt;=(Title_RESULTS!$H$7+Title_RESULTS!$C$17),0,(+'Sheet4(F_22)'!$D28+'Sheet4(F_22)'!$G28))</f>
        <v>189.25061548056817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3015.6106499912944</v>
      </c>
      <c r="M28" s="23">
        <f>IF(A28&gt;=(Title_RESULTS!$H$7+Title_RESULTS!$C$17),0,(+L28-G28))</f>
        <v>1457.829824855131</v>
      </c>
      <c r="N28" s="24">
        <f>(IF(A27&gt;=(Title_RESULTS!$H$7+Title_RESULTS!$C$17),0,(+$M28/((1+Title_RESULTS!$C$37)^('Sheet9(F_25)'!$A28-Title_RESULTS!$H$7))+N27)))</f>
        <v>-2035.8327924170112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1573.358633387525</v>
      </c>
      <c r="F29">
        <f>IF(A29&gt;=(Title_RESULTS!$H$7+Title_RESULTS!$C$17),0,(+'f-11B'!$R28))</f>
        <v>0</v>
      </c>
      <c r="G29" s="5">
        <f>IF(A29&gt;=(Title_RESULTS!$H$7+Title_RESULTS!$C$17),0,(SUM(B29:F29)))</f>
        <v>1573.358633387525</v>
      </c>
      <c r="H29" s="5">
        <f>IF(A29&gt;=(Title_RESULTS!$H$7+Title_RESULTS!$C$17),0,(+'Sheet3(F_21)'!$J29+'Sheet4(F_22)'!$H29))</f>
        <v>2997.113831912605</v>
      </c>
      <c r="I29" s="5">
        <f>IF(A29&gt;=(Title_RESULTS!$H$7+Title_RESULTS!$C$17),0,(+'Sheet4(F_22)'!$D29+'Sheet4(F_22)'!$G29))</f>
        <v>193.7926302521018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3190.9064621647067</v>
      </c>
      <c r="M29" s="23">
        <f>IF(A29&gt;=(Title_RESULTS!$H$7+Title_RESULTS!$C$17),0,(+L29-G29))</f>
        <v>1617.5478287771816</v>
      </c>
      <c r="N29" s="24">
        <f>(IF(A28&gt;=(Title_RESULTS!$H$7+Title_RESULTS!$C$17),0,(+$M29/((1+Title_RESULTS!$C$37)^('Sheet9(F_25)'!$A29-Title_RESULTS!$H$7))+N28)))</f>
        <v>-1371.0979879294014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1589.0922197214006</v>
      </c>
      <c r="F30">
        <f>IF(A30&gt;=(Title_RESULTS!$H$7+Title_RESULTS!$C$17),0,(+'f-11B'!$R29))</f>
        <v>0</v>
      </c>
      <c r="G30" s="5">
        <f>IF(A30&gt;=(Title_RESULTS!$H$7+Title_RESULTS!$C$17),0,(SUM(B30:F30)))</f>
        <v>1589.0922197214006</v>
      </c>
      <c r="H30" s="5">
        <f>IF(A30&gt;=(Title_RESULTS!$H$7+Title_RESULTS!$C$17),0,(+'Sheet3(F_21)'!$J30+'Sheet4(F_22)'!$H30))</f>
        <v>3121.089806704061</v>
      </c>
      <c r="I30" s="5">
        <f>IF(A30&gt;=(Title_RESULTS!$H$7+Title_RESULTS!$C$17),0,(+'Sheet4(F_22)'!$D30+'Sheet4(F_22)'!$G30))</f>
        <v>198.44365337815225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3319.5334600822134</v>
      </c>
      <c r="M30" s="23">
        <f>IF(A30&gt;=(Title_RESULTS!$H$7+Title_RESULTS!$C$17),0,(+L30-G30))</f>
        <v>1730.4412403608128</v>
      </c>
      <c r="N30" s="24">
        <f>(IF(A29&gt;=(Title_RESULTS!$H$7+Title_RESULTS!$C$17),0,(+$M30/((1+Title_RESULTS!$C$37)^('Sheet9(F_25)'!$A30-Title_RESULTS!$H$7))+N29)))</f>
        <v>-706.9883521937176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7233.8099999999995</v>
      </c>
      <c r="E32" s="5">
        <f t="shared" si="1"/>
        <v>20167.955003184983</v>
      </c>
      <c r="F32" s="5">
        <f t="shared" si="1"/>
        <v>0</v>
      </c>
      <c r="G32" s="5">
        <f t="shared" si="1"/>
        <v>27785.83700318498</v>
      </c>
      <c r="H32" s="5">
        <f t="shared" si="1"/>
        <v>30089.848021796064</v>
      </c>
      <c r="I32" s="5">
        <f t="shared" si="1"/>
        <v>2392.205421672149</v>
      </c>
      <c r="J32" s="5">
        <f t="shared" si="1"/>
        <v>0</v>
      </c>
      <c r="K32" s="9">
        <f t="shared" si="1"/>
        <v>0</v>
      </c>
      <c r="L32" s="5">
        <f t="shared" si="1"/>
        <v>32482.05344346821</v>
      </c>
      <c r="M32" s="5">
        <f t="shared" si="1"/>
        <v>4696.216440283229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6766.060573388411</v>
      </c>
      <c r="E34" s="5">
        <f>NPV(Title_RESULTS!$C$37,'Sheet9(F_25)'!E17:E31)+'Sheet9(F_25)'!E16</f>
        <v>12207.56678757479</v>
      </c>
      <c r="F34" s="5">
        <f>NPV(Title_RESULTS!$C$37,'Sheet9(F_25)'!F17:F31)+'Sheet9(F_25)'!F16</f>
        <v>0</v>
      </c>
      <c r="G34" s="5">
        <f>NPV(Title_RESULTS!$C$37,'Sheet9(F_25)'!G17:G31)+'Sheet9(F_25)'!G16</f>
        <v>19332.476518600255</v>
      </c>
      <c r="H34" s="5">
        <f>NPV(Title_RESULTS!$C$37,'Sheet9(F_25)'!H17:H31)+'Sheet9(F_25)'!H16</f>
        <v>17176.62595612638</v>
      </c>
      <c r="I34" s="5">
        <f>NPV(Title_RESULTS!$C$37,'Sheet9(F_25)'!I17:I31)+'Sheet9(F_25)'!I16</f>
        <v>1448.8622102801626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18625.48816640654</v>
      </c>
      <c r="M34" s="5">
        <f>NPV(Title_RESULTS!$C$37,'Sheet9(F_25)'!M17:M31)+'Sheet9(F_25)'!M16</f>
        <v>-706.9883521937172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0.9634300162468319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3484.748775106081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203.27546879999997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463.0643712000001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20.088150082940675</v>
      </c>
      <c r="P24" s="48">
        <f aca="true" t="shared" si="4" ref="P24:P61">N24*$L$5</f>
        <v>45.7610878560087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20.570265684931254</v>
      </c>
      <c r="P25" s="48">
        <f t="shared" si="4"/>
        <v>46.85935396455291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479.46889178462493</v>
      </c>
      <c r="E26" s="11">
        <f>IF(B26=Title_RESULTS!$H$8,$F$16,+E25*(1+$F$7))</f>
        <v>0.09882230355451863</v>
      </c>
      <c r="F26" s="9">
        <f t="shared" si="1"/>
        <v>344.3709012647701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27.96880637387386</v>
      </c>
      <c r="L26" s="5">
        <f t="shared" si="3"/>
        <v>63.71333350348891</v>
      </c>
      <c r="N26" s="11">
        <f>IF(+B26=Title_RESULTS!$H$9,'Value of Defferal'!$O$16,+'Value of Defferal'!N25*(1+'Value of Defferal'!$F$7))</f>
        <v>0.10362269577198292</v>
      </c>
      <c r="O26" s="5">
        <f t="shared" si="7"/>
        <v>21.063952061369605</v>
      </c>
      <c r="P26" s="48">
        <f t="shared" si="4"/>
        <v>47.98397845970218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465.31023097218525</v>
      </c>
      <c r="E27" s="11">
        <f>IF(B27=Title_RESULTS!$H$8,$F$16,+E26*(1+$F$7))</f>
        <v>0.10119403883982707</v>
      </c>
      <c r="F27" s="9">
        <f t="shared" si="1"/>
        <v>352.6358028951246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27.14289076274311</v>
      </c>
      <c r="L27" s="5">
        <f t="shared" si="3"/>
        <v>61.83188614837882</v>
      </c>
      <c r="N27" s="11">
        <f>IF(+B27=Title_RESULTS!$H$9,'Value of Defferal'!$O$16,+'Value of Defferal'!N26*(1+'Value of Defferal'!$F$7))</f>
        <v>0.10610964047051051</v>
      </c>
      <c r="O27" s="5">
        <f t="shared" si="7"/>
        <v>21.569486910842475</v>
      </c>
      <c r="P27" s="48">
        <f t="shared" si="4"/>
        <v>49.135593942735035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449.67917269564424</v>
      </c>
      <c r="E28" s="11">
        <f>IF(B28=Title_RESULTS!$H$8,$F$16,+E27*(1+$F$7))</f>
        <v>0.10362269577198292</v>
      </c>
      <c r="F28" s="9">
        <f t="shared" si="1"/>
        <v>361.0990621646076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26.23108595153193</v>
      </c>
      <c r="L28" s="5">
        <f t="shared" si="3"/>
        <v>59.75478198990282</v>
      </c>
      <c r="N28" s="11">
        <f>IF(+B28=Title_RESULTS!$H$9,'Value of Defferal'!$O$16,+'Value of Defferal'!N27*(1+'Value of Defferal'!$F$7))</f>
        <v>0.10865627184180277</v>
      </c>
      <c r="O28" s="5">
        <f t="shared" si="7"/>
        <v>22.087154596702693</v>
      </c>
      <c r="P28" s="48">
        <f t="shared" si="4"/>
        <v>50.314848197360675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434.79675594662524</v>
      </c>
      <c r="E29" s="11">
        <f>IF(B29=Title_RESULTS!$H$8,$F$16,+E28*(1+$F$7))</f>
        <v>0.10610964047051051</v>
      </c>
      <c r="F29" s="9">
        <f t="shared" si="1"/>
        <v>369.76543965655816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25.362951564587</v>
      </c>
      <c r="L29" s="5">
        <f t="shared" si="3"/>
        <v>57.77715967088469</v>
      </c>
      <c r="N29" s="11">
        <f>IF(+B29=Title_RESULTS!$H$9,'Value of Defferal'!$O$16,+'Value of Defferal'!N28*(1+'Value of Defferal'!$F$7))</f>
        <v>0.11126402236600604</v>
      </c>
      <c r="O29" s="5">
        <f t="shared" si="7"/>
        <v>22.61724630702356</v>
      </c>
      <c r="P29" s="48">
        <f t="shared" si="4"/>
        <v>51.522404554097335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420.5879091924513</v>
      </c>
      <c r="E30" s="11">
        <f>IF(B30=Title_RESULTS!$H$8,$F$16,+E29*(1+$F$7))</f>
        <v>0.10865627184180277</v>
      </c>
      <c r="F30" s="9">
        <f t="shared" si="1"/>
        <v>378.63981020831557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24.534108462411254</v>
      </c>
      <c r="L30" s="5">
        <f t="shared" si="3"/>
        <v>55.889043450082404</v>
      </c>
      <c r="N30" s="11">
        <f>IF(+B30=Title_RESULTS!$H$9,'Value of Defferal'!$O$16,+'Value of Defferal'!N29*(1+'Value of Defferal'!$F$7))</f>
        <v>0.11393435890279018</v>
      </c>
      <c r="O30" s="5">
        <f t="shared" si="7"/>
        <v>23.160060218392122</v>
      </c>
      <c r="P30" s="48">
        <f t="shared" si="4"/>
        <v>52.75894226339567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406.98585609742673</v>
      </c>
      <c r="E31" s="11">
        <f>IF(B31=Title_RESULTS!$H$8,$F$16,+E30*(1+$F$7))</f>
        <v>0.11126402236600604</v>
      </c>
      <c r="F31" s="9">
        <f t="shared" si="1"/>
        <v>387.7271656533152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23.740661388324988</v>
      </c>
      <c r="L31" s="5">
        <f t="shared" si="3"/>
        <v>54.08155987810387</v>
      </c>
      <c r="N31" s="11">
        <f>IF(+B31=Title_RESULTS!$H$9,'Value of Defferal'!$O$16,+'Value of Defferal'!N30*(1+'Value of Defferal'!$F$7))</f>
        <v>0.11666878351645714</v>
      </c>
      <c r="O31" s="5">
        <f t="shared" si="7"/>
        <v>23.715901663633534</v>
      </c>
      <c r="P31" s="48">
        <f t="shared" si="4"/>
        <v>54.02515687771716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393.80727280827466</v>
      </c>
      <c r="E32" s="11">
        <f>IF(B32=Title_RESULTS!$H$8,$F$16,+E31*(1+$F$7))</f>
        <v>0.11393435890279018</v>
      </c>
      <c r="F32" s="9">
        <f t="shared" si="1"/>
        <v>397.0326176289947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22.971916532064675</v>
      </c>
      <c r="L32" s="5">
        <f t="shared" si="3"/>
        <v>52.330348305065215</v>
      </c>
      <c r="N32" s="11">
        <f>IF(+B32=Title_RESULTS!$H$9,'Value of Defferal'!$O$16,+'Value of Defferal'!N31*(1+'Value of Defferal'!$F$7))</f>
        <v>0.11946883432085212</v>
      </c>
      <c r="O32" s="5">
        <f t="shared" si="7"/>
        <v>24.28508330356074</v>
      </c>
      <c r="P32" s="48">
        <f t="shared" si="4"/>
        <v>55.32176064278238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380.7643159897596</v>
      </c>
      <c r="E33" s="11">
        <f>IF(B33=Title_RESULTS!$H$8,$F$16,+E32*(1+$F$7))</f>
        <v>0.11666878351645714</v>
      </c>
      <c r="F33" s="9">
        <f t="shared" si="1"/>
        <v>406.5614004520906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22.211083159868114</v>
      </c>
      <c r="L33" s="5">
        <f t="shared" si="3"/>
        <v>50.597159203773245</v>
      </c>
      <c r="N33" s="11">
        <f>IF(+B33=Title_RESULTS!$H$9,'Value of Defferal'!$O$16,+'Value of Defferal'!N32*(1+'Value of Defferal'!$F$7))</f>
        <v>0.12233608634455258</v>
      </c>
      <c r="O33" s="5">
        <f t="shared" si="7"/>
        <v>24.8679253028462</v>
      </c>
      <c r="P33" s="48">
        <f t="shared" si="4"/>
        <v>56.64948289820916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367.7213591712445</v>
      </c>
      <c r="E34" s="11">
        <f>IF(B34=Title_RESULTS!$H$8,$F$16,+E33*(1+$F$7))</f>
        <v>0.11946883432085212</v>
      </c>
      <c r="F34" s="9">
        <f t="shared" si="1"/>
        <v>416.3188740629408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21.450249787671545</v>
      </c>
      <c r="L34" s="5">
        <f t="shared" si="3"/>
        <v>48.863970102481254</v>
      </c>
      <c r="N34" s="11">
        <f>IF(+B34=Title_RESULTS!$H$9,'Value of Defferal'!$O$16,+'Value of Defferal'!N33*(1+'Value of Defferal'!$F$7))</f>
        <v>0.12527215241682185</v>
      </c>
      <c r="O34" s="5">
        <f t="shared" si="7"/>
        <v>25.46475551011451</v>
      </c>
      <c r="P34" s="48">
        <f t="shared" si="4"/>
        <v>58.00907048776618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354.6784023527294</v>
      </c>
      <c r="E35" s="11">
        <f>IF(B35=Title_RESULTS!$H$8,$F$16,+E34*(1+$F$7))</f>
        <v>0.12233608634455258</v>
      </c>
      <c r="F35" s="9">
        <f t="shared" si="1"/>
        <v>426.3105270404514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20.689416415474977</v>
      </c>
      <c r="L35" s="5">
        <f t="shared" si="3"/>
        <v>47.13078100118927</v>
      </c>
      <c r="N35" s="11">
        <f>IF(+B35=Title_RESULTS!$H$9,'Value of Defferal'!$O$16,+'Value of Defferal'!N34*(1+'Value of Defferal'!$F$7))</f>
        <v>0.12827868407482557</v>
      </c>
      <c r="O35" s="5">
        <f t="shared" si="7"/>
        <v>26.075909642357257</v>
      </c>
      <c r="P35" s="48">
        <f t="shared" si="4"/>
        <v>59.401288179472566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341.63544553421434</v>
      </c>
      <c r="E36" s="11">
        <f>IF(B36=Title_RESULTS!$H$8,$F$16,+E35*(1+$F$7))</f>
        <v>0.12527215241682185</v>
      </c>
      <c r="F36" s="9">
        <f t="shared" si="1"/>
        <v>436.54197968942225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19.928583043278415</v>
      </c>
      <c r="L36" s="5">
        <f t="shared" si="3"/>
        <v>45.39759189989729</v>
      </c>
      <c r="N36" s="11">
        <f>IF(+B36=Title_RESULTS!$H$9,'Value of Defferal'!$O$16,+'Value of Defferal'!N35*(1+'Value of Defferal'!$F$7))</f>
        <v>0.1313573724926214</v>
      </c>
      <c r="O36" s="5">
        <f t="shared" si="7"/>
        <v>26.701731473773833</v>
      </c>
      <c r="P36" s="48">
        <f t="shared" si="4"/>
        <v>60.826919095779914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328.5924887156992</v>
      </c>
      <c r="E37" s="11">
        <f>IF(B37&gt;Title_RESULTS!$H$8-1+Title_RESULTS!$C$18,0,+E36*(1+$F$7))</f>
        <v>0.12827868407482557</v>
      </c>
      <c r="F37" s="9">
        <f t="shared" si="1"/>
        <v>447.01898720196834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19.167749671081847</v>
      </c>
      <c r="L37" s="5">
        <f t="shared" si="3"/>
        <v>43.6644027986053</v>
      </c>
      <c r="N37" s="11">
        <f>IF(+B37=Title_RESULTS!$H$9,'Value of Defferal'!$O$16,+'Value of Defferal'!N36*(1+'Value of Defferal'!$F$7))</f>
        <v>0.1345099494324443</v>
      </c>
      <c r="O37" s="5">
        <f t="shared" si="7"/>
        <v>27.342573029144404</v>
      </c>
      <c r="P37" s="48">
        <f t="shared" si="4"/>
        <v>62.28676515407862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315.54953189718407</v>
      </c>
      <c r="E38" s="11">
        <f>IF(B38&gt;Title_RESULTS!$H$8-1+Title_RESULTS!$C$18,0,+E37*(1+$F$7))</f>
        <v>0.1313573724926214</v>
      </c>
      <c r="F38" s="9">
        <f t="shared" si="1"/>
        <v>457.7474428948156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18.406916298885278</v>
      </c>
      <c r="L38" s="5">
        <f t="shared" si="3"/>
        <v>41.93121369731332</v>
      </c>
      <c r="N38" s="11">
        <f>IF(+B38=Title_RESULTS!$H$9,'Value of Defferal'!$O$16,+'Value of Defferal'!N37*(1+'Value of Defferal'!$F$7))</f>
        <v>0.13773818821882297</v>
      </c>
      <c r="O38" s="5">
        <f t="shared" si="7"/>
        <v>27.998794781843873</v>
      </c>
      <c r="P38" s="48">
        <f t="shared" si="4"/>
        <v>63.78164751777652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302.5065750786689</v>
      </c>
      <c r="E39" s="11">
        <f>IF(B39&gt;Title_RESULTS!$H$8-1+Title_RESULTS!$C$18,0,+E38*(1+$F$7))</f>
        <v>0.1345099494324443</v>
      </c>
      <c r="F39" s="9">
        <f t="shared" si="1"/>
        <v>468.7333815242912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17.64608292668871</v>
      </c>
      <c r="L39" s="5">
        <f t="shared" si="3"/>
        <v>40.19802459602133</v>
      </c>
      <c r="N39" s="11">
        <f>IF(+B39&gt;Title_RESULTS!$H$9+Title_RESULTS!$C$19-1,0,+'Value of Defferal'!N38*(1+'Value of Defferal'!$F$7))</f>
        <v>0.14104390473607473</v>
      </c>
      <c r="O39" s="5">
        <f t="shared" si="7"/>
        <v>28.670765856608128</v>
      </c>
      <c r="P39" s="48">
        <f t="shared" si="4"/>
        <v>65.31240705820316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289.4636182601539</v>
      </c>
      <c r="E40" s="11">
        <f>IF(B40&gt;Title_RESULTS!$H$8-1+Title_RESULTS!$C$18,0,+E39*(1+$F$7))</f>
        <v>0.13773818821882297</v>
      </c>
      <c r="F40" s="9">
        <f t="shared" si="1"/>
        <v>479.9829826808742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16.885249554492148</v>
      </c>
      <c r="L40" s="5">
        <f t="shared" si="3"/>
        <v>38.46483549472936</v>
      </c>
      <c r="N40" s="11">
        <f>IF(+B40&gt;Title_RESULTS!$H$9+Title_RESULTS!$C$19-1,0,+'Value of Defferal'!N39*(1+'Value of Defferal'!$F$7))</f>
        <v>0.14442895844974052</v>
      </c>
      <c r="O40" s="5">
        <f t="shared" si="7"/>
        <v>29.35886423716672</v>
      </c>
      <c r="P40" s="48">
        <f t="shared" si="4"/>
        <v>66.87990482760003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277.64544727586156</v>
      </c>
      <c r="E41" s="11">
        <f>IF(B41&gt;Title_RESULTS!$H$8-1+Title_RESULTS!$C$18,0,+E40*(1+$F$7))</f>
        <v>0.14104390473607473</v>
      </c>
      <c r="F41" s="9">
        <f t="shared" si="1"/>
        <v>491.50257426521523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16.195861480277976</v>
      </c>
      <c r="L41" s="5">
        <f t="shared" si="3"/>
        <v>36.8943997850823</v>
      </c>
      <c r="N41" s="11">
        <f>IF(+B41&gt;Title_RESULTS!$H$9+Title_RESULTS!$C$19-1,0,+'Value of Defferal'!N40*(1+'Value of Defferal'!$F$7))</f>
        <v>0.1478952534525343</v>
      </c>
      <c r="O41" s="5">
        <f t="shared" si="7"/>
        <v>30.063476978858723</v>
      </c>
      <c r="P41" s="48">
        <f t="shared" si="4"/>
        <v>68.48502254346243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268.27643320016585</v>
      </c>
      <c r="E42" s="11">
        <f>IF(B42&gt;Title_RESULTS!$H$8-1+Title_RESULTS!$C$18,0,+E41*(1+$F$7))</f>
        <v>0.14442895844974052</v>
      </c>
      <c r="F42" s="9">
        <f t="shared" si="1"/>
        <v>503.2986360475804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15.649339807887726</v>
      </c>
      <c r="L42" s="5">
        <f t="shared" si="3"/>
        <v>35.64941574413263</v>
      </c>
      <c r="N42" s="11">
        <f>IF(+B42&gt;Title_RESULTS!$H$9+Title_RESULTS!$C$19-1,0,+'Value of Defferal'!N41*(1+'Value of Defferal'!$F$7))</f>
        <v>0.1514447395353951</v>
      </c>
      <c r="O42" s="5">
        <f t="shared" si="7"/>
        <v>30.78500042635133</v>
      </c>
      <c r="P42" s="48">
        <f t="shared" si="4"/>
        <v>70.12866308450553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260.13179019884393</v>
      </c>
      <c r="E43" s="11">
        <f>IF(B43&gt;Title_RESULTS!$H$8-1+Title_RESULTS!$C$18,0,+E42*(1+$F$7))</f>
        <v>0.1478952534525343</v>
      </c>
      <c r="F43" s="9">
        <f t="shared" si="1"/>
        <v>515.3778033127223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15.174239239339007</v>
      </c>
      <c r="L43" s="5">
        <f t="shared" si="3"/>
        <v>34.5671299802354</v>
      </c>
      <c r="N43" s="11">
        <f>IF(+B43&gt;Title_RESULTS!$H$9+Title_RESULTS!$C$19-1,0,+'Value of Defferal'!N42*(1+'Value of Defferal'!$F$7))</f>
        <v>0.1550794132842446</v>
      </c>
      <c r="O43" s="5">
        <f t="shared" si="7"/>
        <v>31.523840436583765</v>
      </c>
      <c r="P43" s="48">
        <f t="shared" si="4"/>
        <v>71.81175099853367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251.98714719752203</v>
      </c>
      <c r="E44" s="11">
        <f>IF(B44&gt;Title_RESULTS!$H$8-1+Title_RESULTS!$C$18,0,+E43*(1+$F$7))</f>
        <v>0.1514447395353951</v>
      </c>
      <c r="F44" s="9">
        <f t="shared" si="1"/>
        <v>527.7468705922277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14.69913867079029</v>
      </c>
      <c r="L44" s="5">
        <f t="shared" si="3"/>
        <v>33.484844216338175</v>
      </c>
      <c r="N44" s="11">
        <f>IF(+B44&gt;Title_RESULTS!$H$9+Title_RESULTS!$C$19-1,0,+'Value of Defferal'!N43*(1+'Value of Defferal'!$F$7))</f>
        <v>0.15880131920306648</v>
      </c>
      <c r="O44" s="5">
        <f t="shared" si="7"/>
        <v>32.28041260706178</v>
      </c>
      <c r="P44" s="48">
        <f t="shared" si="4"/>
        <v>73.53523302249847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243.84250419620003</v>
      </c>
      <c r="E45" s="11">
        <f>IF(B45&gt;Title_RESULTS!$H$8-1+Title_RESULTS!$C$18,0,+E44*(1+$F$7))</f>
        <v>0.1550794132842446</v>
      </c>
      <c r="F45" s="9">
        <f t="shared" si="1"/>
        <v>540.4127954864412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14.224038102241565</v>
      </c>
      <c r="L45" s="5">
        <f t="shared" si="3"/>
        <v>32.402558452440935</v>
      </c>
      <c r="N45" s="11">
        <f>IF(+B45&gt;Title_RESULTS!$H$9+Title_RESULTS!$C$19-1,0,+'Value of Defferal'!N44*(1+'Value of Defferal'!$F$7))</f>
        <v>0.16261255086394008</v>
      </c>
      <c r="O45" s="5">
        <f t="shared" si="7"/>
        <v>33.05514250963126</v>
      </c>
      <c r="P45" s="48">
        <f t="shared" si="4"/>
        <v>75.30007861503844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235.6978611948781</v>
      </c>
      <c r="E46" s="11">
        <f>IF(B46&gt;Title_RESULTS!$H$8-1+Title_RESULTS!$C$18,0,+E45*(1+$F$7))</f>
        <v>0.15880131920306648</v>
      </c>
      <c r="F46" s="9">
        <f t="shared" si="1"/>
        <v>553.3827025781158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13.748937533692844</v>
      </c>
      <c r="L46" s="5">
        <f t="shared" si="3"/>
        <v>31.320272688543707</v>
      </c>
      <c r="N46" s="11">
        <f>IF(+B46&gt;Title_RESULTS!$H$9+Title_RESULTS!$C$19-1,0,+'Value of Defferal'!N45*(1+'Value of Defferal'!$F$7))</f>
        <v>0.16651525208467466</v>
      </c>
      <c r="O46" s="5">
        <f t="shared" si="7"/>
        <v>33.848465929862414</v>
      </c>
      <c r="P46" s="48">
        <f t="shared" si="4"/>
        <v>77.10728050179938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227.5532181935562</v>
      </c>
      <c r="E47" s="11">
        <f>IF(B47&gt;Title_RESULTS!$H$8-1+Title_RESULTS!$C$18,0,+E46*(1+$F$7))</f>
        <v>0.16261255086394008</v>
      </c>
      <c r="F47" s="9">
        <f t="shared" si="1"/>
        <v>566.6638874399905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13.273836965144127</v>
      </c>
      <c r="L47" s="5">
        <f t="shared" si="3"/>
        <v>30.237986924646485</v>
      </c>
      <c r="N47" s="11">
        <f>IF(+B47&gt;Title_RESULTS!$H$9+Title_RESULTS!$C$19-1,0,+'Value of Defferal'!N46*(1+'Value of Defferal'!$F$7))</f>
        <v>0.17051161813470686</v>
      </c>
      <c r="O47" s="5">
        <f t="shared" si="7"/>
        <v>34.660829112179115</v>
      </c>
      <c r="P47" s="48">
        <f t="shared" si="4"/>
        <v>78.95785523384257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219.40857519223428</v>
      </c>
      <c r="E48" s="11">
        <f>IF(B48&gt;Title_RESULTS!$H$8-1+Title_RESULTS!$C$18,0,+E47*(1+$F$7))</f>
        <v>0.16651525208467466</v>
      </c>
      <c r="F48" s="9">
        <f t="shared" si="1"/>
        <v>580.2638207385504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12.798736396595409</v>
      </c>
      <c r="L48" s="5">
        <f t="shared" si="3"/>
        <v>29.155701160749253</v>
      </c>
      <c r="N48" s="11">
        <f>IF(+B48&gt;Title_RESULTS!$H$9+Title_RESULTS!$C$19-1,0,+'Value of Defferal'!N47*(1+'Value of Defferal'!$F$7))</f>
        <v>0.17460389696993983</v>
      </c>
      <c r="O48" s="5">
        <f t="shared" si="7"/>
        <v>35.492689010871416</v>
      </c>
      <c r="P48" s="48">
        <f t="shared" si="4"/>
        <v>80.85284375945479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211.2639321909123</v>
      </c>
      <c r="E49" s="11">
        <f>IF(B49&gt;Title_RESULTS!$H$8-1+Title_RESULTS!$C$18,0,+E48*(1+$F$7))</f>
        <v>0.17051161813470686</v>
      </c>
      <c r="F49" s="9">
        <f t="shared" si="1"/>
        <v>594.1901524362756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12.323635828046685</v>
      </c>
      <c r="L49" s="5">
        <f t="shared" si="3"/>
        <v>28.073415396852013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203.11928918959038</v>
      </c>
      <c r="E50" s="11">
        <f>IF(B50&gt;Title_RESULTS!$H$8-1+Title_RESULTS!$C$18,0,+E49*(1+$F$7))</f>
        <v>0.17460389696993983</v>
      </c>
      <c r="F50" s="9">
        <f t="shared" si="1"/>
        <v>608.4507160947462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11.848535259497964</v>
      </c>
      <c r="L50" s="5">
        <f t="shared" si="3"/>
        <v>26.991129632954785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194.97464618826845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11.373434690949246</v>
      </c>
      <c r="L51" s="5">
        <f t="shared" si="3"/>
        <v>25.90884386905756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8325.448670714919</v>
      </c>
      <c r="F63" s="9">
        <f>SUM(F23:F61)</f>
        <v>11611.776334010407</v>
      </c>
      <c r="J63" t="s">
        <v>87</v>
      </c>
      <c r="K63" s="9">
        <f>SUM(K23:K61)</f>
        <v>485.6474858674407</v>
      </c>
      <c r="O63" s="9">
        <f>SUM(O23:O61)</f>
        <v>677.3484776746515</v>
      </c>
    </row>
    <row r="64" spans="3:15" ht="12.75">
      <c r="C64" t="s">
        <v>89</v>
      </c>
      <c r="D64" s="9">
        <f>NPV(+Title_RESULTS!$C$37,'Value of Defferal'!D24:D61)+'Value of Defferal'!D23</f>
        <v>3717.3631829277588</v>
      </c>
      <c r="F64" s="9">
        <f>NPV(+Title_RESULTS!$C$37,'Value of Defferal'!F24:F61)+'Value of Defferal'!F23</f>
        <v>4317.787371926304</v>
      </c>
      <c r="J64" t="s">
        <v>89</v>
      </c>
      <c r="K64" s="9">
        <f>NPV(+Title_RESULTS!$C$37,'Value of Defferal'!K24:K61)+'Value of Defferal'!K23</f>
        <v>216.84453958563975</v>
      </c>
      <c r="O64" s="9">
        <f>NPV(+Title_RESULTS!$C$37,'Value of Defferal'!O24:O61)+'Value of Defferal'!O23</f>
        <v>288.7961997435937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1.9022805595199013</v>
      </c>
      <c r="C25" t="s">
        <v>372</v>
      </c>
    </row>
    <row r="26" spans="2:3" ht="18">
      <c r="B26" s="15">
        <f>+((Input!$C$6*'EUE_Line Losses'!C4)+(Input!$C$7*'EUE_Line Losses'!C3))/'EUE_Line Losses'!C22</f>
        <v>1.8961441706182243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1.21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1.83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13160.16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3986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2411.27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VSD Controlled Compressor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43599.320777546294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1.83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1.8961441706182243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13882.025316455696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13160.16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3986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2411.27</v>
      </c>
      <c r="D39" s="13" t="s">
        <v>189</v>
      </c>
      <c r="G39" s="20" t="s">
        <v>346</v>
      </c>
      <c r="H39" s="79">
        <f>+'Sheet7(F_23)'!H36</f>
        <v>1.579636998326726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18495.22985715137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0.9634300162468319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2019-05-14T11:41:56Z</dcterms:created>
  <dcterms:modified xsi:type="dcterms:W3CDTF">2019-05-14T11:41:59Z</dcterms:modified>
  <cp:category/>
  <cp:version/>
  <cp:contentType/>
  <cp:contentStatus/>
</cp:coreProperties>
</file>