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8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'Sheet2(F_12)'!$A$1:$K$40</definedName>
    <definedName name="_xlnm.Print_Area" localSheetId="11">'Sheet3(F_21)'!$A$1:$J$29</definedName>
    <definedName name="_xlnm.Print_Area" localSheetId="14">'Sheet4(F_22)'!$A$1:$J$29</definedName>
    <definedName name="_xlnm.Print_Area" localSheetId="12">'Sheet5(p_5)'!$A$1:$H$29</definedName>
    <definedName name="_xlnm.Print_Area" localSheetId="15">'Sheet6(p_6)'!$A$1:$R$29</definedName>
    <definedName name="_xlnm.Print_Area" localSheetId="16">'Sheet7(F_23)'!$A$1:$M$29</definedName>
    <definedName name="_xlnm.Print_Area" localSheetId="17">'Sheet8(F_24)'!$A$1:$M$29</definedName>
    <definedName name="_xlnm.Print_Area" localSheetId="18">'Sheet9(F_25)'!$A$1:$N$29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<sst xmlns="http://schemas.openxmlformats.org/spreadsheetml/2006/main" count="1258" uniqueCount="468">
  <si>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</si>
  <si>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</si>
  <si>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</si>
  <si>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</si>
  <si>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</si>
  <si>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</si>
  <si>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</si>
  <si>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</si>
  <si>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</si>
  <si>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</si>
  <si>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</si>
  <si>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</si>
  <si>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</si>
  <si>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</si>
  <si>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</si>
  <si>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</si>
  <si>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</si>
  <si>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</si>
  <si>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</si>
  <si>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</si>
  <si>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</si>
  <si>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</si>
  <si>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</si>
  <si>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</si>
  <si>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</si>
  <si>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</si>
  <si>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</si>
  <si>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</si>
  <si>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</si>
  <si>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</si>
  <si>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</si>
  <si>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</si>
  <si>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</si>
  <si>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</si>
  <si>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</si>
  <si>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</si>
  <si>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</si>
  <si>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</si>
  <si>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</si>
  <si>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</si>
  <si>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</si>
  <si>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</si>
  <si>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</si>
  <si>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</si>
  <si>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</si>
  <si>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</si>
  <si>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</si>
  <si>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</si>
  <si>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</si>
  <si>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</si>
  <si>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</si>
  <si>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</si>
  <si>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</si>
  <si>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</si>
  <si>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</si>
  <si>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</si>
  <si>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</si>
  <si>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</si>
  <si>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</si>
  <si>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</si>
  <si>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</si>
  <si>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</si>
  <si>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</si>
  <si>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</si>
  <si>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</si>
  <si>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</si>
  <si>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</si>
  <si>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</si>
  <si>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</si>
  <si>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</si>
  <si>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</si>
  <si>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</si>
  <si>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</si>
  <si>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</si>
  <si>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</si>
  <si>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</si>
  <si>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</si>
  <si>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</si>
  <si>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</si>
  <si>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</si>
  <si>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</si>
  <si>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</si>
  <si>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</si>
  <si>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</si>
  <si>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</si>
  <si>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</si>
  <si>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</si>
  <si>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</si>
  <si>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</si>
  <si>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</si>
  <si>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</si>
  <si>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</si>
  <si>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</si>
  <si>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</si>
  <si>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</si>
  <si>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</si>
  <si>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</si>
  <si>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</si>
  <si>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</si>
  <si>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</si>
  <si>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</si>
  <si>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</si>
  <si>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</si>
  <si>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</si>
  <si>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</si>
  <si>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</si>
  <si>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</si>
  <si>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</si>
  <si>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</si>
  <si>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</si>
  <si>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</si>
  <si>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</si>
  <si>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</si>
  <si>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</si>
  <si>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</si>
  <si>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</si>
  <si>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</si>
  <si>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</si>
  <si>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</si>
  <si>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</si>
  <si>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</si>
  <si>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</si>
  <si>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</si>
  <si>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</si>
  <si>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</si>
  <si>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</si>
  <si>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</si>
  <si>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</si>
  <si>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</si>
  <si>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</si>
  <si>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</si>
  <si>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</si>
  <si>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</si>
  <si>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</si>
  <si>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</si>
  <si>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</si>
  <si>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</si>
  <si>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</si>
  <si>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</si>
  <si>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</si>
  <si>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</si>
  <si>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</si>
  <si>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</si>
  <si>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</si>
  <si>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</si>
  <si>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</si>
  <si>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</si>
  <si>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</si>
  <si>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</si>
  <si>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</si>
  <si>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</si>
  <si>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</si>
  <si>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</si>
  <si>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</si>
  <si>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</si>
  <si>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</si>
  <si>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</si>
  <si>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</si>
  <si>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</si>
  <si>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</si>
  <si>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</si>
  <si>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</si>
  <si>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</si>
  <si>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</si>
  <si>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</si>
  <si>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</si>
  <si>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</si>
  <si>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</si>
  <si>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</si>
  <si>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</si>
  <si>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</si>
  <si>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</si>
  <si>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</si>
  <si>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</si>
  <si>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</si>
  <si>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</si>
  <si>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</si>
  <si>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</si>
  <si>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</si>
  <si>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</si>
  <si>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</si>
  <si>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</si>
  <si>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</si>
  <si>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</si>
  <si>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</si>
  <si>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</si>
  <si>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</si>
  <si>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</si>
  <si>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</si>
  <si>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</si>
  <si>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</si>
  <si>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</si>
  <si>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</si>
  <si>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</si>
  <si>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</si>
  <si>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</si>
  <si>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</si>
  <si>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</si>
  <si>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</si>
  <si>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</si>
  <si>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</si>
  <si>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</si>
  <si>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</si>
  <si>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</si>
  <si>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</si>
  <si>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</si>
  <si>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</si>
  <si>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</si>
  <si>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</si>
  <si>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</si>
  <si>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</si>
  <si>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</si>
  <si>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</si>
  <si>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</si>
  <si>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</si>
  <si>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</si>
  <si>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</si>
  <si>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</si>
  <si>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</si>
  <si>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</si>
  <si>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</si>
  <si>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</si>
  <si>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</si>
  <si>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</si>
  <si>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</si>
  <si>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</si>
  <si>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</si>
  <si>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</si>
  <si>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</si>
  <si>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</si>
  <si>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</si>
  <si>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</si>
  <si>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</si>
  <si>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</si>
  <si>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</si>
  <si>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</si>
  <si>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</si>
  <si>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</si>
  <si>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</si>
  <si>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</si>
  <si>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</si>
  <si>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</si>
  <si>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</si>
  <si>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</si>
  <si>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</si>
  <si>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</si>
  <si>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</si>
  <si>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</si>
  <si>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</si>
  <si>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</si>
  <si>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</si>
  <si>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</si>
  <si>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</si>
  <si>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</si>
  <si>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</si>
  <si>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</si>
  <si>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</si>
  <si>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</si>
  <si>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</si>
  <si>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</si>
  <si>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</si>
  <si>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</si>
  <si>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</si>
  <si>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</si>
  <si>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</si>
  <si>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</si>
  <si>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</si>
  <si>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</si>
  <si>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</si>
  <si>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</si>
  <si>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</si>
  <si>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</si>
  <si>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</si>
  <si>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</si>
  <si>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</si>
  <si>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</si>
  <si>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</si>
  <si>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</si>
  <si>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</si>
  <si>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</si>
  <si>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</si>
  <si>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</si>
  <si>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</si>
  <si>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</si>
  <si>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</si>
  <si>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</si>
  <si>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</si>
  <si>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</si>
  <si>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</si>
  <si>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</si>
  <si>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</si>
  <si>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</si>
  <si>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</si>
  <si>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</si>
  <si>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</si>
  <si>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</si>
  <si>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</si>
  <si>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</si>
  <si>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</si>
  <si>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</si>
  <si>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</si>
  <si>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</si>
  <si>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</si>
  <si>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</si>
  <si>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</si>
  <si>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</si>
  <si>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</si>
  <si>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</si>
  <si>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</si>
  <si>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</si>
  <si>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</si>
  <si>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</si>
  <si>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</si>
  <si>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</si>
  <si>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</si>
  <si>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</si>
  <si>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</si>
  <si>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</si>
  <si>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</si>
  <si>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</si>
  <si>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</si>
  <si>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</si>
  <si>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</si>
  <si>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</si>
  <si>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</si>
  <si>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</si>
  <si>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</si>
  <si>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</si>
  <si>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</si>
  <si>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</si>
  <si>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</si>
  <si>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</si>
  <si>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</si>
  <si>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</si>
  <si>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</si>
  <si>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</si>
  <si>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</si>
  <si>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</si>
  <si>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</si>
  <si>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</si>
  <si>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</si>
  <si>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</si>
  <si>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</si>
  <si>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</si>
  <si>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</si>
  <si>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</si>
  <si>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</si>
  <si>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</si>
  <si>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</si>
  <si>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</si>
  <si>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</si>
  <si>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</si>
  <si>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</si>
  <si>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</si>
  <si>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</si>
  <si>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</si>
  <si>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</si>
  <si>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</si>
  <si>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</si>
  <si>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</si>
  <si>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</si>
  <si>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</si>
  <si>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</si>
  <si>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</si>
  <si>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</si>
  <si>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</si>
  <si>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</si>
  <si>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</si>
  <si>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</si>
  <si>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</si>
  <si>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</si>
  <si>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</si>
  <si>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</si>
  <si>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</si>
  <si>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</si>
  <si>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</si>
  <si>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</si>
  <si>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</si>
  <si>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</si>
  <si>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</si>
  <si>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</si>
  <si>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</si>
  <si>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</si>
  <si>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</si>
  <si>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</si>
  <si>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</si>
  <si>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</si>
  <si>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</si>
  <si>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</si>
  <si>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</si>
  <si>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</si>
  <si>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</si>
  <si>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</si>
  <si>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</si>
  <si>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</si>
  <si>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</si>
  <si>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</si>
  <si>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</si>
  <si>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</si>
  <si>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</si>
  <si>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</si>
  <si>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</si>
  <si>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</si>
  <si>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</si>
  <si>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</si>
  <si>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</si>
  <si>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</si>
  <si>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</si>
  <si>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</si>
  <si>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</si>
  <si>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</si>
  <si>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</si>
  <si>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</si>
  <si>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</si>
  <si>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</si>
  <si>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</si>
  <si>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</si>
  <si>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</si>
  <si>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</si>
  <si>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</si>
  <si>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</si>
  <si>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</si>
  <si>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</si>
  <si>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</si>
  <si>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</si>
  <si>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</si>
  <si>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</si>
  <si>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</si>
  <si>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</si>
  <si>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</si>
  <si>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</si>
  <si>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</si>
  <si>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</si>
  <si>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</si>
  <si>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</si>
  <si>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</si>
  <si>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</si>
  <si>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</si>
  <si>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</si>
  <si>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</si>
  <si>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</si>
  <si>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</si>
  <si>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</si>
  <si>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</si>
  <si>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</si>
  <si>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</si>
  <si>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</si>
  <si>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</si>
  <si>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</si>
  <si>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</si>
  <si>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</si>
  <si>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</si>
  <si>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</si>
  <si>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</si>
  <si>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</si>
  <si>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</si>
  <si>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</si>
  <si>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</si>
  <si>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</si>
  <si>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</si>
  <si>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</si>
  <si>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</si>
  <si>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</si>
  <si>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</si>
  <si>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</si>
  <si>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</si>
  <si>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</si>
  <si>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Anti-sweat controls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</si>
</sst>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43599.32086111111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420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43599.32086111111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Anti-sweat controls</v>
      </c>
      <c r="J2" t="s">
        <v>55</v>
      </c>
    </row>
    <row r="3" ht="12.75">
      <c r="J3" s="35">
        <f>+Title_RESULTS!I4</f>
        <v>43599.32086111111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420</v>
      </c>
      <c r="H5" t="s">
        <v>59</v>
      </c>
    </row>
    <row r="6" spans="3:7" ht="12.75">
      <c r="C6" t="s">
        <v>61</v>
      </c>
      <c r="G6" s="36">
        <f>+'Value of Defferal'!E3</f>
        <v>257.3126732673267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 aca="true" t="shared" si="0" ref="A18:A23"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t="shared" si="0"/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25.42823110604843</v>
      </c>
      <c r="D19" s="5">
        <f>IF((Title_RESULTS!$H$8-Title_RESULTS!$H$7)&lt;=('Sheet3(F_21)'!A19-Title_RESULTS!$H$7),((Title_RESULTS!$C$8*Partcipation!$C$26*8760*Title_RESULTS!$H$21/100000)),0)</f>
        <v>335.1926563814867</v>
      </c>
      <c r="E19" s="5">
        <f>IF($G19=0,0,((Title_RESULTS!$H$14*((1+Title_RESULTS!$H$15/100)^($A19-Title_RESULTS!$H$7))*'EUE_Line Losses'!$B$25*Partcipation!$C$26))/1000)</f>
        <v>2.640709548793405</v>
      </c>
      <c r="F19" s="5">
        <f>IF($G19=0,0,(Title_RESULTS!$H$19/100*((1+Title_RESULTS!$H$20/100)^($A19-Title_RESULTS!$H$7))*$D19*1000)/1000)</f>
        <v>0.7558117859343718</v>
      </c>
      <c r="G19" s="5">
        <f>(+Title_RESULTS!$H$22/100*((1+Title_RESULTS!$H$23/100)^(+'Sheet4(F_22)'!A19-Title_RESULTS!$H$7)))*'Sheet3(F_21)'!D19</f>
        <v>14.36062198042907</v>
      </c>
      <c r="H19" s="5">
        <f>IF($G19=0,0,(($D19))*(Partcipation!$G19/100))</f>
        <v>10.634414655534647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32.550959765670626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26.038508652593592</v>
      </c>
      <c r="D20" s="5">
        <f>IF((Title_RESULTS!$H$8-Title_RESULTS!$H$7)&lt;=('Sheet3(F_21)'!A20-Title_RESULTS!$H$7),((Title_RESULTS!$C$8*Partcipation!$C$26*8760*Title_RESULTS!$H$21/100000)),0)</f>
        <v>335.1926563814867</v>
      </c>
      <c r="E20" s="5">
        <f>IF($G20=0,0,((Title_RESULTS!$H$14*((1+Title_RESULTS!$H$15/100)^($A20-Title_RESULTS!$H$7))*'EUE_Line Losses'!$B$25*Partcipation!$C$26))/1000)</f>
        <v>2.7040865779644463</v>
      </c>
      <c r="F20" s="5">
        <f>IF($G20=0,0,(Title_RESULTS!$H$19/100*((1+Title_RESULTS!$H$20/100)^($A20-Title_RESULTS!$H$7))*$D20*1000)/1000)</f>
        <v>0.7739512687967967</v>
      </c>
      <c r="G20" s="5">
        <f>(+Title_RESULTS!$H$22/100*((1+Title_RESULTS!$H$23/100)^(+'Sheet4(F_22)'!A20-Title_RESULTS!$H$7)))*'Sheet3(F_21)'!D20</f>
        <v>15.012594218340553</v>
      </c>
      <c r="H20" s="5">
        <f>IF($G20=0,0,(($D20))*(Partcipation!$G20/100))</f>
        <v>11.110138843496403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33.41900187419898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26.66343286025584</v>
      </c>
      <c r="D21" s="5">
        <f>IF((Title_RESULTS!$H$8-Title_RESULTS!$H$7)&lt;=('Sheet3(F_21)'!A21-Title_RESULTS!$H$7),((Title_RESULTS!$C$8*Partcipation!$C$26*8760*Title_RESULTS!$H$21/100000)),0)</f>
        <v>335.1926563814867</v>
      </c>
      <c r="E21" s="5">
        <f>IF($G21=0,0,((Title_RESULTS!$H$14*((1+Title_RESULTS!$H$15/100)^($A21-Title_RESULTS!$H$7))*'EUE_Line Losses'!$B$25*Partcipation!$C$26))/1000)</f>
        <v>2.7689846558355935</v>
      </c>
      <c r="F21" s="5">
        <f>IF($G21=0,0,(Title_RESULTS!$H$19/100*((1+Title_RESULTS!$H$20/100)^($A21-Title_RESULTS!$H$7))*$D21*1000)/1000)</f>
        <v>0.7925260992479198</v>
      </c>
      <c r="G21" s="5">
        <f>(+Title_RESULTS!$H$22/100*((1+Title_RESULTS!$H$23/100)^(+'Sheet4(F_22)'!A21-Title_RESULTS!$H$7)))*'Sheet3(F_21)'!D21</f>
        <v>15.694165995853215</v>
      </c>
      <c r="H21" s="5">
        <f>IF($G21=0,0,(($D21))*(Partcipation!$G21/100))</f>
        <v>11.550414906601459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34.36869470459111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27.30335524890198</v>
      </c>
      <c r="D22" s="5">
        <f>IF((Title_RESULTS!$H$8-Title_RESULTS!$H$7)&lt;=('Sheet3(F_21)'!A22-Title_RESULTS!$H$7),((Title_RESULTS!$C$8*Partcipation!$C$26*8760*Title_RESULTS!$H$21/100000)),0)</f>
        <v>335.1926563814867</v>
      </c>
      <c r="E22" s="5">
        <f>IF($G22=0,0,((Title_RESULTS!$H$14*((1+Title_RESULTS!$H$15/100)^($A22-Title_RESULTS!$H$7))*'EUE_Line Losses'!$B$25*Partcipation!$C$26))/1000)</f>
        <v>2.835440287575647</v>
      </c>
      <c r="F22" s="5">
        <f>IF($G22=0,0,(Title_RESULTS!$H$19/100*((1+Title_RESULTS!$H$20/100)^($A22-Title_RESULTS!$H$7))*$D22*1000)/1000)</f>
        <v>0.8115467256298698</v>
      </c>
      <c r="G22" s="5">
        <f>(+Title_RESULTS!$H$22/100*((1+Title_RESULTS!$H$23/100)^(+'Sheet4(F_22)'!A22-Title_RESULTS!$H$7)))*'Sheet3(F_21)'!D22</f>
        <v>16.406681132064953</v>
      </c>
      <c r="H22" s="5">
        <f>IF($G22=0,0,(($D22))*(Partcipation!$G22/100))</f>
        <v>11.924652478085683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35.43237091608676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27.958635774875628</v>
      </c>
      <c r="D23" s="5">
        <f>IF((Title_RESULTS!$H$8-Title_RESULTS!$H$7)&lt;=('Sheet3(F_21)'!A23-Title_RESULTS!$H$7),((Title_RESULTS!$C$8*Partcipation!$C$26*8760*Title_RESULTS!$H$21/100000)),0)</f>
        <v>335.1926563814867</v>
      </c>
      <c r="E23" s="5">
        <f>IF($G23=0,0,((Title_RESULTS!$H$14*((1+Title_RESULTS!$H$15/100)^($A23-Title_RESULTS!$H$7))*'EUE_Line Losses'!$B$25*Partcipation!$C$26))/1000)</f>
        <v>2.9034908544774636</v>
      </c>
      <c r="F23" s="5">
        <f>IF($G23=0,0,(Title_RESULTS!$H$19/100*((1+Title_RESULTS!$H$20/100)^($A23-Title_RESULTS!$H$7))*$D23*1000)/1000)</f>
        <v>0.8310238470449868</v>
      </c>
      <c r="G23" s="5">
        <f>(+Title_RESULTS!$H$22/100*((1+Title_RESULTS!$H$23/100)^(+'Sheet4(F_22)'!A23-Title_RESULTS!$H$7)))*'Sheet3(F_21)'!D23</f>
        <v>17.151544455460705</v>
      </c>
      <c r="H23" s="5">
        <f>IF($G23=0,0,(($D23))*(Partcipation!$G23/100))</f>
        <v>12.458395974813838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36.38629895704494</v>
      </c>
    </row>
    <row r="24" spans="3:10" ht="12.75">
      <c r="C24" s="5"/>
      <c r="D24" s="5"/>
      <c r="E24" s="5"/>
      <c r="F24" s="5"/>
      <c r="G24" s="5"/>
      <c r="H24" s="5"/>
      <c r="I24" s="5"/>
      <c r="J24" s="5"/>
    </row>
    <row r="25" spans="1:10" ht="12.75">
      <c r="A25" t="s">
        <v>87</v>
      </c>
      <c r="B25" s="9"/>
      <c r="C25" s="9">
        <f aca="true" t="shared" si="1" ref="C25:J25">SUM(C16:C24)</f>
        <v>133.39216364267546</v>
      </c>
      <c r="D25" s="9">
        <f t="shared" si="1"/>
        <v>1675.9632819074336</v>
      </c>
      <c r="E25" s="9">
        <f t="shared" si="1"/>
        <v>13.852711924646556</v>
      </c>
      <c r="F25" s="9">
        <f t="shared" si="1"/>
        <v>3.9648597266539447</v>
      </c>
      <c r="G25" s="9">
        <f t="shared" si="1"/>
        <v>78.62560778214849</v>
      </c>
      <c r="H25" s="9">
        <f t="shared" si="1"/>
        <v>57.67801685853203</v>
      </c>
      <c r="I25" s="9">
        <f t="shared" si="1"/>
        <v>0</v>
      </c>
      <c r="J25" s="9">
        <f t="shared" si="1"/>
        <v>172.1573262175924</v>
      </c>
    </row>
    <row r="26" spans="3:10" ht="12.75">
      <c r="C26" s="5"/>
      <c r="D26" s="5"/>
      <c r="E26" s="5"/>
      <c r="F26" s="5"/>
      <c r="G26" s="5"/>
      <c r="H26" s="5"/>
      <c r="I26" s="5"/>
      <c r="J26" s="5"/>
    </row>
    <row r="27" spans="1:10" ht="12.75">
      <c r="A27" t="s">
        <v>89</v>
      </c>
      <c r="C27" s="5">
        <f>NPV(Title_RESULTS!$C$37,C17:C24)+'Sheet3(F_21)'!C16</f>
        <v>94.88798669049375</v>
      </c>
      <c r="D27" s="5"/>
      <c r="E27" s="5">
        <f>NPV(Title_RESULTS!$C$37,E17:E24)+'Sheet3(F_21)'!E16</f>
        <v>9.854071699850433</v>
      </c>
      <c r="F27" s="5">
        <f>NPV(Title_RESULTS!$C$37,F17:F24)+'Sheet3(F_21)'!F16</f>
        <v>2.8203872453872756</v>
      </c>
      <c r="G27" s="5">
        <f>NPV(Title_RESULTS!$C$37,G17:G24)+'Sheet3(F_21)'!G16</f>
        <v>55.77206056454479</v>
      </c>
      <c r="H27" s="5">
        <f>NPV(Title_RESULTS!$C$37,H17:H24)+'Sheet3(F_21)'!H16</f>
        <v>40.94487415513815</v>
      </c>
      <c r="I27" s="5">
        <f>NPV(Title_RESULTS!$C$37,I17:I24)+'Sheet3(F_21)'!I16</f>
        <v>0</v>
      </c>
      <c r="J27" s="5">
        <f>NPV(Title_RESULTS!$C$37,J17:J24)+'Sheet3(F_21)'!J16</f>
        <v>122.38963204513809</v>
      </c>
    </row>
    <row r="29" ht="12.75">
      <c r="A29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Anti-sweat controls</v>
      </c>
      <c r="F2" t="s">
        <v>55</v>
      </c>
    </row>
    <row r="3" spans="6:7" ht="12.75">
      <c r="F3" s="35">
        <f>+Title_RESULTS!I4</f>
        <v>43599.32086111111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539.3618143459915</v>
      </c>
      <c r="C16" s="5">
        <f>$B16*'Sheet2(F_12)'!$E16/100</f>
        <v>15.645320054531126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 aca="true" t="shared" si="0" ref="F16:F23">+C16-E16</f>
        <v>15.645320054531126</v>
      </c>
      <c r="G16" s="5">
        <f>+$F16*'Sheet2(F_12)'!$I16</f>
        <v>15.645320054531126</v>
      </c>
    </row>
    <row r="17" spans="1:7" ht="12.75">
      <c r="A17">
        <f aca="true" t="shared" si="1" ref="A17:A23">+A16+1</f>
        <v>2021</v>
      </c>
      <c r="B17" s="5">
        <f>(+Partcipation!$C16+(Partcipation!$C17-Partcipation!$C16)/2)*Title_RESULTS!$C$10/1000</f>
        <v>1618.0854430379748</v>
      </c>
      <c r="C17" s="5">
        <f>$B17*'Sheet2(F_12)'!$E17/100</f>
        <v>46.55418995409706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 t="shared" si="0"/>
        <v>46.55418995409706</v>
      </c>
      <c r="G17" s="5">
        <f>+$F17*'Sheet2(F_12)'!$I17</f>
        <v>46.55418995409706</v>
      </c>
    </row>
    <row r="18" spans="1:7" ht="12.75">
      <c r="A18">
        <f t="shared" si="1"/>
        <v>2022</v>
      </c>
      <c r="B18" s="5">
        <f>(+Partcipation!$C17+(Partcipation!$C18-Partcipation!$C17)/2)*Title_RESULTS!$C$10/1000</f>
        <v>2696.8090717299574</v>
      </c>
      <c r="C18" s="5">
        <f>$B18*'Sheet2(F_12)'!$E18/100</f>
        <v>80.07840002825783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 t="shared" si="0"/>
        <v>80.07840002825783</v>
      </c>
      <c r="G18" s="5">
        <f>+$F18*'Sheet2(F_12)'!$I18</f>
        <v>80.07840002825783</v>
      </c>
    </row>
    <row r="19" spans="1:7" ht="12.75">
      <c r="A19">
        <f t="shared" si="1"/>
        <v>2023</v>
      </c>
      <c r="B19" s="5">
        <f>(+Partcipation!$C18+(Partcipation!$C19-Partcipation!$C18)/2)*Title_RESULTS!$C$10/1000</f>
        <v>3236.1708860759495</v>
      </c>
      <c r="C19" s="5">
        <f>$B19*'Sheet2(F_12)'!$E19/100</f>
        <v>100.03622381533823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t="shared" si="0"/>
        <v>100.03622381533823</v>
      </c>
      <c r="G19" s="5">
        <f>+$F19*'Sheet2(F_12)'!$I19</f>
        <v>100.03622381533823</v>
      </c>
    </row>
    <row r="20" spans="1:7" ht="12.75">
      <c r="A20">
        <f t="shared" si="1"/>
        <v>2024</v>
      </c>
      <c r="B20" s="5">
        <f>(+Partcipation!$C19+(Partcipation!$C20-Partcipation!$C19)/2)*Title_RESULTS!$C$10/1000</f>
        <v>3236.1708860759495</v>
      </c>
      <c r="C20" s="5">
        <f>$B20*'Sheet2(F_12)'!$E20/100</f>
        <v>103.96727035226112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0"/>
        <v>103.96727035226112</v>
      </c>
      <c r="G20" s="5">
        <f>+$F20*'Sheet2(F_12)'!$I20</f>
        <v>103.96727035226112</v>
      </c>
    </row>
    <row r="21" spans="1:7" ht="12.75">
      <c r="A21">
        <f t="shared" si="1"/>
        <v>2025</v>
      </c>
      <c r="B21" s="5">
        <f>(+Partcipation!$C20+(Partcipation!$C21-Partcipation!$C20)/2)*Title_RESULTS!$C$10/1000</f>
        <v>3236.1708860759495</v>
      </c>
      <c r="C21" s="5">
        <f>$B21*'Sheet2(F_12)'!$E21/100</f>
        <v>111.62954741657515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0"/>
        <v>111.62954741657515</v>
      </c>
      <c r="G21" s="5">
        <f>+$F21*'Sheet2(F_12)'!$I21</f>
        <v>111.62954741657515</v>
      </c>
    </row>
    <row r="22" spans="1:7" ht="12.75">
      <c r="A22">
        <f t="shared" si="1"/>
        <v>2026</v>
      </c>
      <c r="B22" s="5">
        <f>(+Partcipation!$C21+(Partcipation!$C22-Partcipation!$C21)/2)*Title_RESULTS!$C$10/1000</f>
        <v>3236.1708860759495</v>
      </c>
      <c r="C22" s="5">
        <f>$B22*'Sheet2(F_12)'!$E22/100</f>
        <v>115.21002324167195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0"/>
        <v>115.21002324167195</v>
      </c>
      <c r="G22" s="5">
        <f>+$F22*'Sheet2(F_12)'!$I22</f>
        <v>115.21002324167195</v>
      </c>
    </row>
    <row r="23" spans="1:7" ht="12.75">
      <c r="A23">
        <f t="shared" si="1"/>
        <v>2027</v>
      </c>
      <c r="B23" s="5">
        <f>(+Partcipation!$C22+(Partcipation!$C23-Partcipation!$C22)/2)*Title_RESULTS!$C$10/1000</f>
        <v>3236.1708860759495</v>
      </c>
      <c r="C23" s="5">
        <f>$B23*'Sheet2(F_12)'!$E23/100</f>
        <v>122.41013403729072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0"/>
        <v>122.41013403729072</v>
      </c>
      <c r="G23" s="5">
        <f>+$F23*'Sheet2(F_12)'!$I23</f>
        <v>122.41013403729072</v>
      </c>
    </row>
    <row r="24" spans="2:7" ht="12.75">
      <c r="B24" s="5"/>
      <c r="C24" s="5"/>
      <c r="D24" s="5"/>
      <c r="E24" s="5"/>
      <c r="F24" s="5"/>
      <c r="G24" s="5"/>
    </row>
    <row r="25" spans="1:7" ht="12.75">
      <c r="A25" t="s">
        <v>87</v>
      </c>
      <c r="B25" s="5">
        <f aca="true" t="shared" si="2" ref="B25:G25">SUM(B16:B24)</f>
        <v>21035.110759493673</v>
      </c>
      <c r="C25" s="5">
        <f t="shared" si="2"/>
        <v>695.5311089000232</v>
      </c>
      <c r="D25" s="5">
        <f t="shared" si="2"/>
        <v>0</v>
      </c>
      <c r="E25" s="5">
        <f t="shared" si="2"/>
        <v>0</v>
      </c>
      <c r="F25" s="5">
        <f t="shared" si="2"/>
        <v>695.5311089000232</v>
      </c>
      <c r="G25" s="5">
        <f t="shared" si="2"/>
        <v>695.5311089000232</v>
      </c>
    </row>
    <row r="26" spans="2:7" ht="12.75">
      <c r="B26" s="5"/>
      <c r="C26" s="5"/>
      <c r="D26" s="5"/>
      <c r="E26" s="5"/>
      <c r="F26" s="5"/>
      <c r="G26" s="5"/>
    </row>
    <row r="27" spans="1:7" ht="12.75">
      <c r="A27" t="s">
        <v>118</v>
      </c>
      <c r="B27" s="5"/>
      <c r="C27" s="5">
        <f>NPV(+Title_RESULTS!$C$37,C17:C24)+C16</f>
        <v>521.0687238527529</v>
      </c>
      <c r="D27" s="5"/>
      <c r="E27" s="5">
        <f>NPV(+Title_RESULTS!$C$37,E17:E24)+E16</f>
        <v>0</v>
      </c>
      <c r="F27" s="5">
        <f>NPV(+Title_RESULTS!$C$37,F17:F24)+F16</f>
        <v>521.0687238527529</v>
      </c>
      <c r="G27" s="5">
        <f>NPV(+Title_RESULTS!$C$37,G17:G24)+G16</f>
        <v>521.0687238527529</v>
      </c>
    </row>
    <row r="28" spans="6:7" ht="12.75">
      <c r="F28" s="9"/>
      <c r="G28" s="9"/>
    </row>
    <row r="29" ht="12.75">
      <c r="A29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3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Anti-sweat controls</v>
      </c>
      <c r="J2" t="s">
        <v>42</v>
      </c>
    </row>
    <row r="3" spans="9:10" ht="12.75">
      <c r="I3" s="4"/>
      <c r="J3" s="35">
        <f>+Title_RESULTS!I4</f>
        <v>43599.32086111111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 aca="true" t="shared" si="0" ref="A17:A23"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 t="shared" si="0"/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t="shared" si="0"/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2:14" ht="15">
      <c r="B24" s="28"/>
      <c r="C24" s="28"/>
      <c r="D24" s="10"/>
      <c r="E24" s="10"/>
      <c r="N24" s="64"/>
    </row>
    <row r="25" spans="2:14" ht="15">
      <c r="B25" s="28"/>
      <c r="C25" s="28"/>
      <c r="D25" s="10"/>
      <c r="E25" s="10"/>
      <c r="N25" s="64"/>
    </row>
    <row r="26" spans="2:14" ht="15">
      <c r="B26" s="28"/>
      <c r="C26" s="28"/>
      <c r="D26" s="10"/>
      <c r="E26" s="10"/>
      <c r="N26" s="64"/>
    </row>
    <row r="27" spans="2:14" ht="15">
      <c r="B27" s="28"/>
      <c r="C27" s="28"/>
      <c r="D27" s="10"/>
      <c r="E27" s="10"/>
      <c r="N27" s="64"/>
    </row>
    <row r="28" spans="2:14" ht="15">
      <c r="B28" s="28"/>
      <c r="C28" s="28"/>
      <c r="D28" s="10"/>
      <c r="E28" s="10"/>
      <c r="N28" s="64"/>
    </row>
    <row r="29" spans="2:5" ht="12.75">
      <c r="B29" s="28"/>
      <c r="C29" s="28"/>
      <c r="D29" s="10"/>
      <c r="E29" s="10"/>
    </row>
    <row r="30" spans="2:5" ht="12.75">
      <c r="B30" s="28"/>
      <c r="C30" s="28"/>
      <c r="D30" s="10"/>
      <c r="E30" s="10"/>
    </row>
    <row r="31" spans="2:5" ht="12.75">
      <c r="B31" s="28"/>
      <c r="C31" s="28"/>
      <c r="D31" s="10"/>
      <c r="E31" s="10"/>
    </row>
    <row r="32" spans="2:5" ht="12.75">
      <c r="B32" s="28"/>
      <c r="C32" s="28"/>
      <c r="D32" s="10"/>
      <c r="E32" s="10"/>
    </row>
    <row r="33" spans="2:5" ht="12.75">
      <c r="B33" s="28"/>
      <c r="C33" s="28"/>
      <c r="D33" s="10"/>
      <c r="E33" s="10"/>
    </row>
    <row r="34" spans="2:5" ht="12.75">
      <c r="B34" s="28"/>
      <c r="C34" s="28"/>
      <c r="D34" s="10"/>
      <c r="E34" s="10"/>
    </row>
    <row r="35" spans="2:5" ht="12.75">
      <c r="B35" s="28"/>
      <c r="C35" s="28"/>
      <c r="D35" s="10"/>
      <c r="E35" s="10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Anti-sweat controls</v>
      </c>
      <c r="H2" t="s">
        <v>108</v>
      </c>
    </row>
    <row r="3" ht="12.75">
      <c r="H3" s="35">
        <f>+Title_RESULTS!I4</f>
        <v>43599.32086111111</v>
      </c>
    </row>
    <row r="5" spans="3:6" ht="12.75">
      <c r="C5" t="s">
        <v>60</v>
      </c>
      <c r="F5" s="38">
        <f>+'Value of Defferal'!L4</f>
        <v>15.009792</v>
      </c>
    </row>
    <row r="6" spans="3:6" ht="12.75">
      <c r="C6" t="s">
        <v>62</v>
      </c>
      <c r="F6" s="38">
        <f>+'Value of Defferal'!L5</f>
        <v>32.89528320000001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15.645320054531126</v>
      </c>
      <c r="I16" s="5"/>
      <c r="J16" s="5"/>
    </row>
    <row r="17" spans="1:10" ht="12.75">
      <c r="A17">
        <f aca="true" t="shared" si="0" ref="A17:A23">+A16+1</f>
        <v>2021</v>
      </c>
      <c r="B17" s="5">
        <f>VLOOKUP(A17,'Value of Defferal'!$I24:$P$58,'Value of Defferal'!$K$9)</f>
        <v>1.483302221314185</v>
      </c>
      <c r="C17" s="5">
        <f>IF(+Title_RESULTS!$H$9&lt;='Sheet4(F_22)'!$A17,(+Title_RESULTS!$H$16*((1+Title_RESULTS!$H$18/100)^('Sheet4(F_22)'!$A17-Title_RESULTS!$H$7))*Title_RESULTS!$C$8*Partcipation!$C$26/1000),0)</f>
        <v>1.1969988945435117</v>
      </c>
      <c r="D17" s="5">
        <f>(+B17+C17)*+Partcipation!$H17</f>
        <v>2.680301115857697</v>
      </c>
      <c r="E17" s="5">
        <f>VLOOKUP(A17,'Value of Defferal'!$I24:$P$58,'Value of Defferal'!$K$13)</f>
        <v>3.2507876619022578</v>
      </c>
      <c r="F17" s="5">
        <f>IF(+'Value of Defferal'!P24=0,0,Title_RESULTS!$H$17*Title_RESULTS!$C$7*Partcipation!$C$26*(1+Title_RESULTS!$H$18/100)^('Sheet4(F_22)'!A17-Title_RESULTS!$H$7))/1000</f>
        <v>4.5287424</v>
      </c>
      <c r="G17" s="5">
        <f>(+E17+F17)*Partcipation!$H17</f>
        <v>7.779530061902257</v>
      </c>
      <c r="H17" s="5">
        <f>+'Sheet5(p_5)'!$F17*'Sheet2(F_12)'!$I17</f>
        <v>46.55418995409706</v>
      </c>
      <c r="I17" s="5"/>
      <c r="J17" s="5"/>
    </row>
    <row r="18" spans="1:10" ht="12.75">
      <c r="A18">
        <f t="shared" si="0"/>
        <v>2022</v>
      </c>
      <c r="B18" s="5">
        <f>VLOOKUP(A18,'Value of Defferal'!$I25:$P$58,'Value of Defferal'!$K$9)</f>
        <v>1.5189014746257254</v>
      </c>
      <c r="C18" s="5">
        <f>IF(+Title_RESULTS!$H$9&lt;='Sheet4(F_22)'!$A18,(+Title_RESULTS!$H$16*((1+Title_RESULTS!$H$18/100)^('Sheet4(F_22)'!$A18-Title_RESULTS!$H$7))*Title_RESULTS!$C$8*Partcipation!$C$26/1000),0)</f>
        <v>1.2257268680125557</v>
      </c>
      <c r="D18" s="5">
        <f>(+B18+C18)*+Partcipation!$H18</f>
        <v>2.744628342638281</v>
      </c>
      <c r="E18" s="5">
        <f>VLOOKUP(A18,'Value of Defferal'!$I25:$P$58,'Value of Defferal'!$K$13)</f>
        <v>3.328806565787912</v>
      </c>
      <c r="F18" s="5">
        <f>IF(+'Value of Defferal'!P25=0,0,Title_RESULTS!$H$17*Title_RESULTS!$C$7*Partcipation!$C$26*(1+Title_RESULTS!$H$18/100)^('Sheet4(F_22)'!A18-Title_RESULTS!$H$7))/1000</f>
        <v>4.6374322176</v>
      </c>
      <c r="G18" s="5">
        <f>(+E18+F18)*Partcipation!$H18</f>
        <v>7.966238783387912</v>
      </c>
      <c r="H18" s="5">
        <f>+'Sheet5(p_5)'!$F18*'Sheet2(F_12)'!$I18</f>
        <v>80.07840002825783</v>
      </c>
      <c r="I18" s="5"/>
      <c r="J18" s="5"/>
    </row>
    <row r="19" spans="1:10" ht="12.75">
      <c r="A19">
        <f t="shared" si="0"/>
        <v>2023</v>
      </c>
      <c r="B19" s="5">
        <f>VLOOKUP(A19,'Value of Defferal'!$I26:$P$58,'Value of Defferal'!$K$9)</f>
        <v>1.555355110016743</v>
      </c>
      <c r="C19" s="5">
        <f>IF(+Title_RESULTS!$H$9&lt;='Sheet4(F_22)'!$A19,(+Title_RESULTS!$H$16*((1+Title_RESULTS!$H$18/100)^('Sheet4(F_22)'!$A19-Title_RESULTS!$H$7))*Title_RESULTS!$C$8*Partcipation!$C$26/1000),0)</f>
        <v>1.2551443128448572</v>
      </c>
      <c r="D19" s="5">
        <f>(+B19+C19)*+Partcipation!$H19</f>
        <v>2.8104994228616</v>
      </c>
      <c r="E19" s="5">
        <f>VLOOKUP(A19,'Value of Defferal'!$I26:$P$58,'Value of Defferal'!$K$13)</f>
        <v>3.4086979233668218</v>
      </c>
      <c r="F19" s="5">
        <f>IF(+'Value of Defferal'!P26=0,0,Title_RESULTS!$H$17*Title_RESULTS!$C$7*Partcipation!$C$26*(1+Title_RESULTS!$H$18/100)^('Sheet4(F_22)'!A19-Title_RESULTS!$H$7))/1000</f>
        <v>4.7487305908224</v>
      </c>
      <c r="G19" s="5">
        <f>(+E19+F19)*Partcipation!$H19</f>
        <v>8.157428514189222</v>
      </c>
      <c r="H19" s="5">
        <f>+'Sheet5(p_5)'!$F19*'Sheet2(F_12)'!$I19</f>
        <v>100.03622381533823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1.5926836326571447</v>
      </c>
      <c r="C20" s="5">
        <f>IF(+Title_RESULTS!$H$9&lt;='Sheet4(F_22)'!$A20,(+Title_RESULTS!$H$16*((1+Title_RESULTS!$H$18/100)^('Sheet4(F_22)'!$A20-Title_RESULTS!$H$7))*Title_RESULTS!$C$8*Partcipation!$C$26/1000),0)</f>
        <v>1.2852677763531337</v>
      </c>
      <c r="D20" s="5">
        <f>(+B20+C20)*+Partcipation!$H20</f>
        <v>2.8779514090102785</v>
      </c>
      <c r="E20" s="5">
        <f>VLOOKUP(A20,'Value of Defferal'!$I27:$P$58,'Value of Defferal'!$K$13)</f>
        <v>3.4905066735276256</v>
      </c>
      <c r="F20" s="5">
        <f>IF(+'Value of Defferal'!P27=0,0,Title_RESULTS!$H$17*Title_RESULTS!$C$7*Partcipation!$C$26*(1+Title_RESULTS!$H$18/100)^('Sheet4(F_22)'!A20-Title_RESULTS!$H$7))/1000</f>
        <v>4.862700125002137</v>
      </c>
      <c r="G20" s="5">
        <f>(+E20+F20)*Partcipation!$H20</f>
        <v>8.353206798529762</v>
      </c>
      <c r="H20" s="5">
        <f>+'Sheet5(p_5)'!$F20*'Sheet2(F_12)'!$I20</f>
        <v>103.96727035226112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1.6309080398409164</v>
      </c>
      <c r="C21" s="5">
        <f>IF(+Title_RESULTS!$H$9&lt;='Sheet4(F_22)'!$A21,(+Title_RESULTS!$H$16*((1+Title_RESULTS!$H$18/100)^('Sheet4(F_22)'!$A21-Title_RESULTS!$H$7))*Title_RESULTS!$C$8*Partcipation!$C$26/1000),0)</f>
        <v>1.3161142029856092</v>
      </c>
      <c r="D21" s="5">
        <f>(+B21+C21)*+Partcipation!$H21</f>
        <v>2.9470222428265256</v>
      </c>
      <c r="E21" s="5">
        <f>VLOOKUP(A21,'Value of Defferal'!$I28:$P$58,'Value of Defferal'!$K$13)</f>
        <v>3.5742788336922886</v>
      </c>
      <c r="F21" s="5">
        <f>IF(+'Value of Defferal'!P28=0,0,Title_RESULTS!$H$17*Title_RESULTS!$C$7*Partcipation!$C$26*(1+Title_RESULTS!$H$18/100)^('Sheet4(F_22)'!A21-Title_RESULTS!$H$7))/1000</f>
        <v>4.9794049280021895</v>
      </c>
      <c r="G21" s="5">
        <f>(+E21+F21)*Partcipation!$H21</f>
        <v>8.553683761694478</v>
      </c>
      <c r="H21" s="5">
        <f>+'Sheet5(p_5)'!$F21*'Sheet2(F_12)'!$I21</f>
        <v>111.62954741657515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1.6700498327970983</v>
      </c>
      <c r="C22" s="5">
        <f>IF(+Title_RESULTS!$H$9&lt;='Sheet4(F_22)'!$A22,(+Title_RESULTS!$H$16*((1+Title_RESULTS!$H$18/100)^('Sheet4(F_22)'!$A22-Title_RESULTS!$H$7))*Title_RESULTS!$C$8*Partcipation!$C$26/1000),0)</f>
        <v>1.3477009438572634</v>
      </c>
      <c r="D22" s="5">
        <f>(+B22+C22)*+Partcipation!$H22</f>
        <v>3.0177507766543616</v>
      </c>
      <c r="E22" s="5">
        <f>VLOOKUP(A22,'Value of Defferal'!$I29:$P$58,'Value of Defferal'!$K$13)</f>
        <v>3.6600615257009035</v>
      </c>
      <c r="F22" s="5">
        <f>IF(+'Value of Defferal'!P29=0,0,Title_RESULTS!$H$17*Title_RESULTS!$C$7*Partcipation!$C$26*(1+Title_RESULTS!$H$18/100)^('Sheet4(F_22)'!A22-Title_RESULTS!$H$7))/1000</f>
        <v>5.09891064627424</v>
      </c>
      <c r="G22" s="5">
        <f>(+E22+F22)*Partcipation!$H22</f>
        <v>8.758972171975143</v>
      </c>
      <c r="H22" s="5">
        <f>+'Sheet5(p_5)'!$F22*'Sheet2(F_12)'!$I22</f>
        <v>115.21002324167195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1.7101310287842286</v>
      </c>
      <c r="C23" s="5">
        <f>IF(+Title_RESULTS!$H$9&lt;='Sheet4(F_22)'!$A23,(+Title_RESULTS!$H$16*((1+Title_RESULTS!$H$18/100)^('Sheet4(F_22)'!$A23-Title_RESULTS!$H$7))*Title_RESULTS!$C$8*Partcipation!$C$26/1000),0)</f>
        <v>1.380045766509838</v>
      </c>
      <c r="D23" s="5">
        <f>(+B23+C23)*+Partcipation!$H23</f>
        <v>3.0901767952940666</v>
      </c>
      <c r="E23" s="5">
        <f>VLOOKUP(A23,'Value of Defferal'!$I30:$P$58,'Value of Defferal'!$K$13)</f>
        <v>3.747903002317725</v>
      </c>
      <c r="F23" s="5">
        <f>IF(+'Value of Defferal'!P30=0,0,Title_RESULTS!$H$17*Title_RESULTS!$C$7*Partcipation!$C$26*(1+Title_RESULTS!$H$18/100)^('Sheet4(F_22)'!A23-Title_RESULTS!$H$7))/1000</f>
        <v>5.221284501784823</v>
      </c>
      <c r="G23" s="5">
        <f>(+E23+F23)*Partcipation!$H23</f>
        <v>8.969187504102548</v>
      </c>
      <c r="H23" s="5">
        <f>+'Sheet5(p_5)'!$F23*'Sheet2(F_12)'!$I23</f>
        <v>122.41013403729072</v>
      </c>
      <c r="I23" s="5"/>
      <c r="J23" s="5"/>
    </row>
    <row r="24" spans="2:10" ht="12.75"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t="s">
        <v>88</v>
      </c>
      <c r="B25" s="5">
        <f aca="true" t="shared" si="1" ref="B25:H25">SUM(B16:B24)</f>
        <v>11.16133134003604</v>
      </c>
      <c r="C25" s="5">
        <f t="shared" si="1"/>
        <v>9.006998765106768</v>
      </c>
      <c r="D25" s="5">
        <f t="shared" si="1"/>
        <v>20.16833010514281</v>
      </c>
      <c r="E25" s="5">
        <f t="shared" si="1"/>
        <v>24.461042186295533</v>
      </c>
      <c r="F25" s="5">
        <f t="shared" si="1"/>
        <v>34.07720540948579</v>
      </c>
      <c r="G25" s="5">
        <f t="shared" si="1"/>
        <v>58.53824759578133</v>
      </c>
      <c r="H25" s="5">
        <f t="shared" si="1"/>
        <v>695.5311089000232</v>
      </c>
      <c r="I25" s="5"/>
      <c r="J25" s="5"/>
    </row>
    <row r="26" spans="2:10" ht="12.75"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t="s">
        <v>90</v>
      </c>
      <c r="B27" s="5">
        <f>NPV(Title_RESULTS!$C$37,'Sheet4(F_22)'!B17:B24)+'Sheet4(F_22)'!B16</f>
        <v>8.513876964655461</v>
      </c>
      <c r="C27" s="5">
        <f>NPV(Title_RESULTS!$C$37,'Sheet4(F_22)'!C17:C24)+'Sheet4(F_22)'!C16</f>
        <v>6.870549486498362</v>
      </c>
      <c r="D27" s="5">
        <f>NPV(Title_RESULTS!$C$37,'Sheet4(F_22)'!D17:D24)+'Sheet4(F_22)'!D16</f>
        <v>15.384426451153823</v>
      </c>
      <c r="E27" s="5">
        <f>NPV(Title_RESULTS!$C$37,'Sheet4(F_22)'!E17:E24)+'Sheet4(F_22)'!E16</f>
        <v>18.658912387479983</v>
      </c>
      <c r="F27" s="5">
        <f>NPV(Title_RESULTS!$C$37,'Sheet4(F_22)'!F17:F24)+'Sheet4(F_22)'!F16</f>
        <v>25.994133254959593</v>
      </c>
      <c r="G27" s="5">
        <f>NPV(Title_RESULTS!$C$37,'Sheet4(F_22)'!G17:G24)+'Sheet4(F_22)'!G16</f>
        <v>44.653045642439565</v>
      </c>
      <c r="H27" s="5">
        <f>NPV(Title_RESULTS!$C$37,'Sheet4(F_22)'!H17:H24)+'Sheet4(F_22)'!H16</f>
        <v>521.0687238527529</v>
      </c>
      <c r="I27" s="5"/>
      <c r="J27" s="5"/>
    </row>
    <row r="28" spans="2:10" ht="12.75">
      <c r="B28" s="5"/>
      <c r="C28" s="5"/>
      <c r="D28" s="5"/>
      <c r="E28" s="5"/>
      <c r="F28" s="5"/>
      <c r="G28" s="5"/>
      <c r="H28" s="5"/>
      <c r="I28" s="5"/>
      <c r="J28" s="5"/>
    </row>
    <row r="29" ht="12.75">
      <c r="A29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Anti-sweat controls</v>
      </c>
      <c r="P2" t="s">
        <v>121</v>
      </c>
    </row>
    <row r="3" ht="12.75">
      <c r="P3" s="35">
        <f>+Title_RESULTS!I4</f>
        <v>43599.32086111111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75</v>
      </c>
      <c r="C16" s="5">
        <f>(Partcipation!$C15+(Partcipation!$C16-Partcipation!$C15)/2)*(Title_RESULTS!$C$27*((1+Title_RESULTS!$C$28/100)^('Sheet9(F_25)'!$A16-Title_RESULTS!$H$7)))/1000</f>
        <v>0</v>
      </c>
      <c r="D16" s="5">
        <f aca="true" t="shared" si="0" ref="D16:D23">SUM(B16:C16)</f>
        <v>75</v>
      </c>
      <c r="E16" s="5">
        <f>IF(+'Sheet9(F_25)'!$A16&gt;=Title_RESULTS!$H$8,0,((Partcipation!$B16-Partcipation!$B15)*(Title_RESULTS!$C$39*((1+Title_RESULTS!$C$41/100)^('Sheet9(F_25)'!$A16-Title_RESULTS!$H$7)))/1000))</f>
        <v>48.27</v>
      </c>
      <c r="F16" s="5">
        <f>(Partcipation!$C15+(Partcipation!$C16-Partcipation!$C15)/2)*(Title_RESULTS!$C$40*((1+Title_RESULTS!$C$41/100)^('Sheet9(F_25)'!$A16-Title_RESULTS!$H$7)))/1000</f>
        <v>0</v>
      </c>
      <c r="G16" s="5">
        <f aca="true" t="shared" si="1" ref="G16:G23">SUM(E16:F16)</f>
        <v>48.27</v>
      </c>
      <c r="H16" s="5">
        <f>IF(Partcipation!$B17&lt;Partcipation!$B16,0,IF(Partcipation!$B16=0,0,(Partcipation!$B16-Partcipation!$B15)*(+Title_RESULTS!$C$29*(1+Title_RESULTS!$C$30/100)^(+'Sheet8(F_24)'!$A16-Title_RESULTS!$H$7))/1000))</f>
        <v>171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 aca="true" t="shared" si="2" ref="J16:J23">SUM(H16:I16)</f>
        <v>171</v>
      </c>
      <c r="K16" s="5">
        <f>(+Partcipation!$B15+(Partcipation!$B16-Partcipation!$B15)/2)*(+Title_RESULTS!$C$14)/1000</f>
        <v>511.315</v>
      </c>
      <c r="L16" s="5">
        <f>($K16)*Partcipation!$E73*Title_RESULTS!$C$12/100</f>
        <v>12.448539116886106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17.165516699999998</v>
      </c>
      <c r="N16" s="5">
        <f>'Sheet2(F_12)'!$I16*('Sheet6(p_6)'!$L16+'Sheet6(p_6)'!$M16)</f>
        <v>29.614055816886104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 aca="true" t="shared" si="3" ref="A17:A23"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76.8</v>
      </c>
      <c r="C17" s="5">
        <f>(Partcipation!$C16+(Partcipation!$C17-Partcipation!$C16)/2)*(Title_RESULTS!$C$27*((1+Title_RESULTS!$C$28/100)^('Sheet9(F_25)'!$A17-Title_RESULTS!$H$7)))/1000</f>
        <v>0</v>
      </c>
      <c r="D17" s="5">
        <f t="shared" si="0"/>
        <v>76.8</v>
      </c>
      <c r="E17" s="5">
        <f>IF(+'Sheet9(F_25)'!$A17&gt;=Title_RESULTS!$H$8,0,((Partcipation!$B17-Partcipation!$B16)*(Title_RESULTS!$C$39*((1+Title_RESULTS!$C$41/100)^('Sheet9(F_25)'!$A17-Title_RESULTS!$H$7)))/1000))</f>
        <v>48.27</v>
      </c>
      <c r="F17" s="5">
        <f>(Partcipation!$C16+(Partcipation!$C17-Partcipation!$C16)/2)*(Title_RESULTS!$C$40*((1+Title_RESULTS!$C$41/100)^('Sheet9(F_25)'!$A17-Title_RESULTS!$H$7)))/1000</f>
        <v>0</v>
      </c>
      <c r="G17" s="5">
        <f t="shared" si="1"/>
        <v>48.27</v>
      </c>
      <c r="H17" s="5">
        <f>IF(Partcipation!$B18&lt;Partcipation!$B17,0,IF(Partcipation!$B17=0,0,(Partcipation!$B17-Partcipation!$B16)*(+Title_RESULTS!$C$29*(1+Title_RESULTS!$C$30/100)^(+'Sheet8(F_24)'!$A17-Title_RESULTS!$H$7))/1000))</f>
        <v>174.933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 t="shared" si="2"/>
        <v>174.933</v>
      </c>
      <c r="K17" s="5">
        <f>(+Partcipation!$B16+(Partcipation!$B17-Partcipation!$B16)/2)*(+Title_RESULTS!$C$14)/1000</f>
        <v>1533.945</v>
      </c>
      <c r="L17" s="5">
        <f>($K17)*Partcipation!$E74*Title_RESULTS!$C$12/100</f>
        <v>39.12302538502597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52.011515601</v>
      </c>
      <c r="N17" s="5">
        <f>'Sheet2(F_12)'!$I17*('Sheet6(p_6)'!$L17+'Sheet6(p_6)'!$M17)</f>
        <v>91.13454098602597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 t="shared" si="3"/>
        <v>2022</v>
      </c>
      <c r="B18" s="5">
        <f>IF(+'Sheet9(F_25)'!$A18&gt;=Title_RESULTS!$H$8,0,((Partcipation!$B18-Partcipation!$B17)*(Title_RESULTS!$C$26*((1+Title_RESULTS!$C$28/100)^('Sheet9(F_25)'!$A18-Title_RESULTS!$H$7)))/1000))</f>
        <v>78.6432</v>
      </c>
      <c r="C18" s="5">
        <f>(Partcipation!$C17+(Partcipation!$C18-Partcipation!$C17)/2)*(Title_RESULTS!$C$27*((1+Title_RESULTS!$C$28/100)^('Sheet9(F_25)'!$A18-Title_RESULTS!$H$7)))/1000</f>
        <v>0</v>
      </c>
      <c r="D18" s="5">
        <f t="shared" si="0"/>
        <v>78.6432</v>
      </c>
      <c r="E18" s="5">
        <f>IF(+'Sheet9(F_25)'!$A18&gt;=Title_RESULTS!$H$8,0,((Partcipation!$B18-Partcipation!$B17)*(Title_RESULTS!$C$39*((1+Title_RESULTS!$C$41/100)^('Sheet9(F_25)'!$A18-Title_RESULTS!$H$7)))/1000))</f>
        <v>48.27</v>
      </c>
      <c r="F18" s="5">
        <f>(Partcipation!$C17+(Partcipation!$C18-Partcipation!$C17)/2)*(Title_RESULTS!$C$40*((1+Title_RESULTS!$C$41/100)^('Sheet9(F_25)'!$A18-Title_RESULTS!$H$7)))/1000</f>
        <v>0</v>
      </c>
      <c r="G18" s="5">
        <f t="shared" si="1"/>
        <v>48.27</v>
      </c>
      <c r="H18" s="5">
        <f>IF(Partcipation!$B19&lt;Partcipation!$B18,0,IF(Partcipation!$B18=0,0,(Partcipation!$B18-Partcipation!$B17)*(+Title_RESULTS!$C$29*(1+Title_RESULTS!$C$30/100)^(+'Sheet8(F_24)'!$A18-Title_RESULTS!$H$7))/1000))</f>
        <v>178.95645899999997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 t="shared" si="2"/>
        <v>178.95645899999997</v>
      </c>
      <c r="K18" s="5">
        <f>(+Partcipation!$B17+(Partcipation!$B18-Partcipation!$B17)/2)*(+Title_RESULTS!$C$14)/1000</f>
        <v>2556.575</v>
      </c>
      <c r="L18" s="5">
        <f>($K18)*Partcipation!$E75*Title_RESULTS!$C$12/100</f>
        <v>67.6068953465654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87.55271792835</v>
      </c>
      <c r="N18" s="5">
        <f>'Sheet2(F_12)'!$I18*('Sheet6(p_6)'!$L18+'Sheet6(p_6)'!$M18)</f>
        <v>155.1596132749154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t="shared" si="3"/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t="shared" si="0"/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t="shared" si="1"/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t="shared" si="2"/>
        <v>0</v>
      </c>
      <c r="K19" s="5">
        <f>(+Partcipation!$B18+(Partcipation!$B19-Partcipation!$B18)/2)*(+Title_RESULTS!$C$14)/1000</f>
        <v>3067.89</v>
      </c>
      <c r="L19" s="5">
        <f>($K19)*Partcipation!$E76*Title_RESULTS!$C$12/100</f>
        <v>80.4632344339456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106.11389412916019</v>
      </c>
      <c r="N19" s="5">
        <f>'Sheet2(F_12)'!$I19*('Sheet6(p_6)'!$L19+'Sheet6(p_6)'!$M19)</f>
        <v>186.5771285631058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3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0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1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2"/>
        <v>0</v>
      </c>
      <c r="K20" s="5">
        <f>(+Partcipation!$B19+(Partcipation!$B20-Partcipation!$B19)/2)*(+Title_RESULTS!$C$14)/1000</f>
        <v>3067.89</v>
      </c>
      <c r="L20" s="5">
        <f>($K20)*Partcipation!$E77*Title_RESULTS!$C$12/100</f>
        <v>85.02708765122658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107.1750330704518</v>
      </c>
      <c r="N20" s="5">
        <f>'Sheet2(F_12)'!$I20*('Sheet6(p_6)'!$L20+'Sheet6(p_6)'!$M20)</f>
        <v>192.2021207216784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3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0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1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2"/>
        <v>0</v>
      </c>
      <c r="K21" s="5">
        <f>(+Partcipation!$B20+(Partcipation!$B21-Partcipation!$B20)/2)*(+Title_RESULTS!$C$14)/1000</f>
        <v>3067.89</v>
      </c>
      <c r="L21" s="5">
        <f>($K21)*Partcipation!$E78*Title_RESULTS!$C$12/100</f>
        <v>89.90752998603068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108.2467834011563</v>
      </c>
      <c r="N21" s="5">
        <f>'Sheet2(F_12)'!$I21*('Sheet6(p_6)'!$L21+'Sheet6(p_6)'!$M21)</f>
        <v>198.154313387187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3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0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1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2"/>
        <v>0</v>
      </c>
      <c r="K22" s="5">
        <f>(+Partcipation!$B21+(Partcipation!$B22-Partcipation!$B21)/2)*(+Title_RESULTS!$C$14)/1000</f>
        <v>3067.89</v>
      </c>
      <c r="L22" s="5">
        <f>($K22)*Partcipation!$E79*Title_RESULTS!$C$12/100</f>
        <v>93.97262401298285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109.3292512351679</v>
      </c>
      <c r="N22" s="5">
        <f>'Sheet2(F_12)'!$I22*('Sheet6(p_6)'!$L22+'Sheet6(p_6)'!$M22)</f>
        <v>203.30187524815074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3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0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1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2"/>
        <v>0</v>
      </c>
      <c r="K23" s="5">
        <f>(+Partcipation!$B22+(Partcipation!$B23-Partcipation!$B22)/2)*(+Title_RESULTS!$C$14)/1000</f>
        <v>3067.89</v>
      </c>
      <c r="L23" s="5">
        <f>($K23)*Partcipation!$E80*Title_RESULTS!$C$12/100</f>
        <v>99.50582307345431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110.42254374751954</v>
      </c>
      <c r="N23" s="5">
        <f>'Sheet2(F_12)'!$I23*('Sheet6(p_6)'!$L23+'Sheet6(p_6)'!$M23)</f>
        <v>209.92836682097385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2:18" ht="12.7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2.75">
      <c r="A25" t="s">
        <v>87</v>
      </c>
      <c r="B25" s="5">
        <f aca="true" t="shared" si="4" ref="B25:R25">SUM(B16:B24)</f>
        <v>230.4432</v>
      </c>
      <c r="C25" s="5">
        <f t="shared" si="4"/>
        <v>0</v>
      </c>
      <c r="D25" s="5">
        <f t="shared" si="4"/>
        <v>230.4432</v>
      </c>
      <c r="E25" s="5">
        <f t="shared" si="4"/>
        <v>144.81</v>
      </c>
      <c r="F25" s="5">
        <f t="shared" si="4"/>
        <v>0</v>
      </c>
      <c r="G25" s="5">
        <f t="shared" si="4"/>
        <v>144.81</v>
      </c>
      <c r="H25" s="5">
        <f t="shared" si="4"/>
        <v>524.889459</v>
      </c>
      <c r="I25" s="5">
        <f t="shared" si="4"/>
        <v>0</v>
      </c>
      <c r="J25" s="5">
        <f t="shared" si="4"/>
        <v>524.889459</v>
      </c>
      <c r="K25" s="5">
        <f t="shared" si="4"/>
        <v>19941.285</v>
      </c>
      <c r="L25" s="5">
        <f t="shared" si="4"/>
        <v>568.0547590061175</v>
      </c>
      <c r="M25" s="5">
        <f t="shared" si="4"/>
        <v>698.0172558128057</v>
      </c>
      <c r="N25" s="5">
        <f t="shared" si="4"/>
        <v>1266.0720148189232</v>
      </c>
      <c r="O25" s="5">
        <f t="shared" si="4"/>
        <v>0</v>
      </c>
      <c r="P25" s="5">
        <f t="shared" si="4"/>
        <v>0</v>
      </c>
      <c r="Q25" s="5">
        <f t="shared" si="4"/>
        <v>0</v>
      </c>
      <c r="R25" s="5">
        <f t="shared" si="4"/>
        <v>0</v>
      </c>
    </row>
    <row r="26" spans="2:18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2.75">
      <c r="A27" t="s">
        <v>89</v>
      </c>
      <c r="B27" s="5">
        <f>NPV(Title_RESULTS!$C$37,'Sheet6(p_6)'!B17:B24)+'Sheet6(p_6)'!B16</f>
        <v>215.3094945822331</v>
      </c>
      <c r="C27" s="5">
        <f>NPV(Title_RESULTS!$C$37,'Sheet6(p_6)'!C17:C24)+'Sheet6(p_6)'!C16</f>
        <v>0</v>
      </c>
      <c r="D27" s="5">
        <f>NPV(Title_RESULTS!$C$37,'Sheet6(p_6)'!D17:D24)+'Sheet6(p_6)'!D16</f>
        <v>215.3094945822331</v>
      </c>
      <c r="E27" s="5">
        <f>NPV(Title_RESULTS!$C$37,'Sheet6(p_6)'!E17:E24)+'Sheet6(p_6)'!E16</f>
        <v>135.44635975127574</v>
      </c>
      <c r="F27" s="5">
        <f>NPV(Title_RESULTS!$C$37,'Sheet6(p_6)'!F17:F24)+'Sheet6(p_6)'!F16</f>
        <v>0</v>
      </c>
      <c r="G27" s="5">
        <f>NPV(Title_RESULTS!$C$37,'Sheet6(p_6)'!G17:G24)+'Sheet6(p_6)'!G16</f>
        <v>135.44635975127574</v>
      </c>
      <c r="H27" s="5">
        <f>NPV(Title_RESULTS!$C$37,'Sheet6(p_6)'!H17:H24)+'Sheet6(p_6)'!H16</f>
        <v>490.44067475132664</v>
      </c>
      <c r="I27" s="5">
        <f>NPV(Title_RESULTS!$C$37,'Sheet6(p_6)'!I17:I24)+'Sheet6(p_6)'!I16</f>
        <v>0</v>
      </c>
      <c r="J27" s="5">
        <f>NPV(Title_RESULTS!$C$37,'Sheet6(p_6)'!J17:J24)+'Sheet6(p_6)'!J16</f>
        <v>490.44067475132664</v>
      </c>
      <c r="K27" s="5"/>
      <c r="L27" s="5">
        <f>NPV(Title_RESULTS!$C$37,'Sheet6(p_6)'!L17:L24)+'Sheet6(p_6)'!L16</f>
        <v>426.00042984830077</v>
      </c>
      <c r="M27" s="5">
        <f>NPV(Title_RESULTS!$C$37,'Sheet6(p_6)'!M17:M24)+'Sheet6(p_6)'!M16</f>
        <v>527.8637254322653</v>
      </c>
      <c r="N27" s="5">
        <f>NPV(Title_RESULTS!$C$37,'Sheet6(p_6)'!N17:N24)+'Sheet6(p_6)'!N16</f>
        <v>953.8641552805659</v>
      </c>
      <c r="O27" s="5"/>
      <c r="P27" s="5">
        <f>NPV(Title_RESULTS!$C$37,'Sheet6(p_6)'!P17:P24)+'Sheet6(p_6)'!P16</f>
        <v>0</v>
      </c>
      <c r="Q27" s="5">
        <f>NPV(Title_RESULTS!$C$37,'Sheet6(p_6)'!Q17:Q24)+'Sheet6(p_6)'!Q16</f>
        <v>0</v>
      </c>
      <c r="R27" s="5">
        <f>NPV(Title_RESULTS!$C$37,'Sheet6(p_6)'!R17:R24)+'Sheet6(p_6)'!R16</f>
        <v>0</v>
      </c>
    </row>
    <row r="29" ht="12.75">
      <c r="A29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Anti-sweat controls</v>
      </c>
      <c r="M2" t="s">
        <v>55</v>
      </c>
    </row>
    <row r="3" ht="12.75">
      <c r="M3" s="35">
        <f>+Title_RESULTS!I4</f>
        <v>43599.32086111111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75</v>
      </c>
      <c r="D16" s="5">
        <f>IF(A16&gt;=(Title_RESULTS!$H$7+Title_RESULTS!$C$17),0,(+'Sheet6(p_6)'!$J16))</f>
        <v>171</v>
      </c>
      <c r="E16" s="5">
        <f>IF(A16&gt;=(Title_RESULTS!$H$7+Title_RESULTS!$C$17),0,(+'f-11B'!$N15))</f>
        <v>0</v>
      </c>
      <c r="F16" s="5">
        <f>IF(A16&gt;=(Title_RESULTS!$H$7+Title_RESULTS!$C$17),0,(SUM(B16:E16)))</f>
        <v>246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15.645320054531126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15.645320054531126</v>
      </c>
      <c r="L16" s="23">
        <f>IF(A16&gt;=(Title_RESULTS!$H$7+Title_RESULTS!$C$17),0,(+$K16-$F16))</f>
        <v>-230.3546799454689</v>
      </c>
      <c r="M16" s="23">
        <f>IF(A16&gt;=(Title_RESULTS!$H$7+Title_RESULTS!$C$17),0,(+$L16/(1+Title_RESULTS!$C$37)^('Sheet7(F_23)'!$A16-Title_RESULTS!$H$7)))</f>
        <v>-230.3546799454689</v>
      </c>
    </row>
    <row r="17" spans="1:13" ht="12.75">
      <c r="A17">
        <f aca="true" t="shared" si="0" ref="A17:A23"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76.8</v>
      </c>
      <c r="D17" s="5">
        <f>IF(A17&gt;=(Title_RESULTS!$H$7+Title_RESULTS!$C$17),0,(+'Sheet6(p_6)'!$J17))</f>
        <v>174.933</v>
      </c>
      <c r="E17" s="5">
        <f>IF(A17&gt;=(Title_RESULTS!$H$7+Title_RESULTS!$C$17),0,(+'f-11B'!$N16))</f>
        <v>0</v>
      </c>
      <c r="F17" s="5">
        <f>IF(A17&gt;=(Title_RESULTS!$H$7+Title_RESULTS!$C$17),0,(SUM(B17:E17)))</f>
        <v>251.733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10.459831177759954</v>
      </c>
      <c r="I17" s="5">
        <f>IF(A17&gt;=(Title_RESULTS!$H$7+Title_RESULTS!$C$17),0,(+'Sheet4(F_22)'!$H17))</f>
        <v>46.55418995409706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57.014021131857014</v>
      </c>
      <c r="L17" s="23">
        <f>IF(A17&gt;=(Title_RESULTS!$H$7+Title_RESULTS!$C$17),0,(+$K17-$F17))</f>
        <v>-194.71897886814298</v>
      </c>
      <c r="M17" s="23">
        <f>IF(A17&gt;=(Title_RESULTS!$H$7+Title_RESULTS!$C$17),0,(+M16+$L17/(1+Title_RESULTS!$C$37)^('Sheet7(F_23)'!$A17-Title_RESULTS!$H$7)))</f>
        <v>-412.199075601187</v>
      </c>
    </row>
    <row r="18" spans="1:13" ht="12.75">
      <c r="A18">
        <f t="shared" si="0"/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78.6432</v>
      </c>
      <c r="D18" s="5">
        <f>IF(A18&gt;=(Title_RESULTS!$H$7+Title_RESULTS!$C$17),0,(+'Sheet6(p_6)'!$J18))</f>
        <v>178.95645899999997</v>
      </c>
      <c r="E18" s="5">
        <f>IF(A18&gt;=(Title_RESULTS!$H$7+Title_RESULTS!$C$17),0,(+'f-11B'!$N17))</f>
        <v>0</v>
      </c>
      <c r="F18" s="5">
        <f>IF(A18&gt;=(Title_RESULTS!$H$7+Title_RESULTS!$C$17),0,(SUM(B18:E18)))</f>
        <v>257.599659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10.710867126026193</v>
      </c>
      <c r="I18" s="5">
        <f>IF(A18&gt;=(Title_RESULTS!$H$7+Title_RESULTS!$C$17),0,(+'Sheet4(F_22)'!$H18))</f>
        <v>80.07840002825783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90.78926715428402</v>
      </c>
      <c r="L18" s="23">
        <f>IF(A18&gt;=(Title_RESULTS!$H$7+Title_RESULTS!$C$17),0,(+$K18-$F18))</f>
        <v>-166.81039184571597</v>
      </c>
      <c r="M18" s="23">
        <f>IF(A18&gt;=(Title_RESULTS!$H$7+Title_RESULTS!$C$17),0,(+M17+$L18/(1+Title_RESULTS!$C$37)^('Sheet7(F_23)'!$A18-Title_RESULTS!$H$7)))</f>
        <v>-557.6801090613764</v>
      </c>
    </row>
    <row r="19" spans="1:13" ht="12.75">
      <c r="A19">
        <f t="shared" si="0"/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32.550959765670626</v>
      </c>
      <c r="H19" s="5">
        <f>IF(A19&gt;=(Title_RESULTS!$H$7+Title_RESULTS!$C$17),0,(+'Sheet4(F_22)'!$D19+'Sheet4(F_22)'!$G19))</f>
        <v>10.967927937050822</v>
      </c>
      <c r="I19" s="5">
        <f>IF(A19&gt;=(Title_RESULTS!$H$7+Title_RESULTS!$C$17),0,(+'Sheet4(F_22)'!$H19))</f>
        <v>100.03622381533823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143.55511151805968</v>
      </c>
      <c r="L19" s="23">
        <f>IF(A19&gt;=(Title_RESULTS!$H$7+Title_RESULTS!$C$17),0,(+$K19-$F19))</f>
        <v>143.55511151805968</v>
      </c>
      <c r="M19" s="23">
        <f>IF(A19&gt;=(Title_RESULTS!$H$7+Title_RESULTS!$C$17),0,(+M18+$L19/(1+Title_RESULTS!$C$37)^('Sheet7(F_23)'!$A19-Title_RESULTS!$H$7)))</f>
        <v>-440.7588257841577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33.41900187419898</v>
      </c>
      <c r="H20" s="5">
        <f>IF(A20&gt;=(Title_RESULTS!$H$7+Title_RESULTS!$C$17),0,(+'Sheet4(F_22)'!$D20+'Sheet4(F_22)'!$G20))</f>
        <v>11.231158207540041</v>
      </c>
      <c r="I20" s="5">
        <f>IF(A20&gt;=(Title_RESULTS!$H$7+Title_RESULTS!$C$17),0,(+'Sheet4(F_22)'!$H20))</f>
        <v>103.96727035226112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148.61743043400014</v>
      </c>
      <c r="L20" s="23">
        <f>IF(A20&gt;=(Title_RESULTS!$H$7+Title_RESULTS!$C$17),0,(+$K20-$F20))</f>
        <v>148.61743043400014</v>
      </c>
      <c r="M20" s="23">
        <f>IF(A20&gt;=(Title_RESULTS!$H$7+Title_RESULTS!$C$17),0,(+M19+$L20/(1+Title_RESULTS!$C$37)^('Sheet7(F_23)'!$A20-Title_RESULTS!$H$7)))</f>
        <v>-327.71774578987447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34.36869470459111</v>
      </c>
      <c r="H21" s="5">
        <f>IF(A21&gt;=(Title_RESULTS!$H$7+Title_RESULTS!$C$17),0,(+'Sheet4(F_22)'!$D21+'Sheet4(F_22)'!$G21))</f>
        <v>11.500706004521003</v>
      </c>
      <c r="I21" s="5">
        <f>IF(A21&gt;=(Title_RESULTS!$H$7+Title_RESULTS!$C$17),0,(+'Sheet4(F_22)'!$H21))</f>
        <v>111.62954741657515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157.49894812568726</v>
      </c>
      <c r="L21" s="23">
        <f>IF(A21&gt;=(Title_RESULTS!$H$7+Title_RESULTS!$C$17),0,(+$K21-$F21))</f>
        <v>157.49894812568726</v>
      </c>
      <c r="M21" s="23">
        <f>IF(A21&gt;=(Title_RESULTS!$H$7+Title_RESULTS!$C$17),0,(+M20+$L21/(1+Title_RESULTS!$C$37)^('Sheet7(F_23)'!$A21-Title_RESULTS!$H$7)))</f>
        <v>-215.84202533929283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35.43237091608676</v>
      </c>
      <c r="H22" s="5">
        <f>IF(A22&gt;=(Title_RESULTS!$H$7+Title_RESULTS!$C$17),0,(+'Sheet4(F_22)'!$D22+'Sheet4(F_22)'!$G22))</f>
        <v>11.776722948629505</v>
      </c>
      <c r="I22" s="5">
        <f>IF(A22&gt;=(Title_RESULTS!$H$7+Title_RESULTS!$C$17),0,(+'Sheet4(F_22)'!$H22))</f>
        <v>115.21002324167195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162.41911710638823</v>
      </c>
      <c r="L22" s="23">
        <f>IF(A22&gt;=(Title_RESULTS!$H$7+Title_RESULTS!$C$17),0,(+$K22-$F22))</f>
        <v>162.41911710638823</v>
      </c>
      <c r="M22" s="23">
        <f>IF(A22&gt;=(Title_RESULTS!$H$7+Title_RESULTS!$C$17),0,(+M21+$L22/(1+Title_RESULTS!$C$37)^('Sheet7(F_23)'!$A22-Title_RESULTS!$H$7)))</f>
        <v>-108.09954473350994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36.38629895704494</v>
      </c>
      <c r="H23" s="5">
        <f>IF(A23&gt;=(Title_RESULTS!$H$7+Title_RESULTS!$C$17),0,(+'Sheet4(F_22)'!$D23+'Sheet4(F_22)'!$G23))</f>
        <v>12.059364299396615</v>
      </c>
      <c r="I23" s="5">
        <f>IF(A23&gt;=(Title_RESULTS!$H$7+Title_RESULTS!$C$17),0,(+'Sheet4(F_22)'!$H23))</f>
        <v>122.41013403729072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170.85579729373228</v>
      </c>
      <c r="L23" s="23">
        <f>IF(A23&gt;=(Title_RESULTS!$H$7+Title_RESULTS!$C$17),0,(+$K23-$F23))</f>
        <v>170.85579729373228</v>
      </c>
      <c r="M23" s="23">
        <f>IF(A23&gt;=(Title_RESULTS!$H$7+Title_RESULTS!$C$17),0,(+M22+$L23/(1+Title_RESULTS!$C$37)^('Sheet7(F_23)'!$A23-Title_RESULTS!$H$7)))</f>
        <v>-2.2543413420753637</v>
      </c>
    </row>
    <row r="24" spans="2:13" ht="12.7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2.75">
      <c r="A25" t="s">
        <v>87</v>
      </c>
      <c r="B25" s="5">
        <f aca="true" t="shared" si="1" ref="B25:L25">SUM(B16:B24)</f>
        <v>0</v>
      </c>
      <c r="C25" s="5">
        <f t="shared" si="1"/>
        <v>230.4432</v>
      </c>
      <c r="D25" s="5">
        <f t="shared" si="1"/>
        <v>524.889459</v>
      </c>
      <c r="E25" s="5">
        <f t="shared" si="1"/>
        <v>0</v>
      </c>
      <c r="F25" s="5">
        <f t="shared" si="1"/>
        <v>755.3326589999999</v>
      </c>
      <c r="G25" s="5">
        <f t="shared" si="1"/>
        <v>172.1573262175924</v>
      </c>
      <c r="H25" s="5">
        <f t="shared" si="1"/>
        <v>78.70657770092414</v>
      </c>
      <c r="I25" s="5">
        <f t="shared" si="1"/>
        <v>695.5311089000232</v>
      </c>
      <c r="J25" s="5">
        <f t="shared" si="1"/>
        <v>0</v>
      </c>
      <c r="K25" s="5">
        <f t="shared" si="1"/>
        <v>946.3950128185398</v>
      </c>
      <c r="L25" s="5">
        <f t="shared" si="1"/>
        <v>191.06235381853975</v>
      </c>
      <c r="M25" s="5"/>
    </row>
    <row r="26" spans="2:13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t="s">
        <v>118</v>
      </c>
      <c r="B27" s="5">
        <f>NPV(Title_RESULTS!$C$37,'Sheet7(F_23)'!B17:B24)+'Sheet7(F_23)'!B16</f>
        <v>0</v>
      </c>
      <c r="C27" s="5">
        <f>NPV(Title_RESULTS!$C$37,'Sheet7(F_23)'!C17:C24)+'Sheet7(F_23)'!C16</f>
        <v>215.3094945822331</v>
      </c>
      <c r="D27" s="5">
        <f>NPV(Title_RESULTS!$C$37,'Sheet7(F_23)'!D17:D24)+'Sheet7(F_23)'!D16</f>
        <v>490.44067475132664</v>
      </c>
      <c r="E27" s="5">
        <f>NPV(Title_RESULTS!$C$37,'Sheet7(F_23)'!E17:E24)+'Sheet7(F_23)'!E16</f>
        <v>0</v>
      </c>
      <c r="F27" s="5">
        <f>NPV(Title_RESULTS!$C$37,'Sheet7(F_23)'!F17:F24)+'Sheet7(F_23)'!F16</f>
        <v>705.7501693335598</v>
      </c>
      <c r="G27" s="5">
        <f>NPV(Title_RESULTS!$C$37,'Sheet7(F_23)'!G17:G24)+'Sheet7(F_23)'!G16</f>
        <v>122.38963204513809</v>
      </c>
      <c r="H27" s="5">
        <f>NPV(Title_RESULTS!$C$37,'Sheet7(F_23)'!H17:H24)+'Sheet7(F_23)'!H16</f>
        <v>60.037472093593394</v>
      </c>
      <c r="I27" s="5">
        <f>NPV(Title_RESULTS!$C$37,'Sheet7(F_23)'!I17:I24)+'Sheet7(F_23)'!I16</f>
        <v>521.0687238527529</v>
      </c>
      <c r="J27" s="5">
        <f>NPV(Title_RESULTS!$C$37,'Sheet7(F_23)'!J17:J24)+'Sheet7(F_23)'!J16</f>
        <v>0</v>
      </c>
      <c r="K27" s="5">
        <f>NPV(Title_RESULTS!$C$37,'Sheet7(F_23)'!K17:K24)+'Sheet7(F_23)'!K16</f>
        <v>703.4958279914845</v>
      </c>
      <c r="L27" s="5">
        <f>NPV(Title_RESULTS!$C$37,'Sheet7(F_23)'!L17:L24)+'Sheet7(F_23)'!L16</f>
        <v>-2.2543413420754064</v>
      </c>
      <c r="M27" s="5"/>
    </row>
    <row r="29" spans="1:8" ht="12.75">
      <c r="A29" t="s">
        <v>162</v>
      </c>
      <c r="C29">
        <f>+Title_RESULTS!C37</f>
        <v>0.0708</v>
      </c>
      <c r="D29" t="s">
        <v>163</v>
      </c>
      <c r="H29" s="10">
        <f>+K27/F27</f>
        <v>0.9968057516100859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Anti-sweat controls</v>
      </c>
      <c r="L2" t="s">
        <v>55</v>
      </c>
    </row>
    <row r="3" ht="12.75">
      <c r="L3" s="35">
        <f>+Title_RESULTS!I4</f>
        <v>43599.32086111111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29.614055816886104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48.27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77.8840558168861</v>
      </c>
      <c r="G16" s="5">
        <f>IF(A16&gt;=(Title_RESULTS!$H$7+Title_RESULTS!$C$17),0,(+'Sheet6(p_6)'!$H16))</f>
        <v>171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171</v>
      </c>
      <c r="K16" s="23">
        <f>IF(A16&gt;=(Title_RESULTS!$H$7+Title_RESULTS!$C$17),0,(+F16-J16))</f>
        <v>-93.1159441831139</v>
      </c>
      <c r="L16" s="23">
        <f>IF(A16&gt;=(Title_RESULTS!$H$7+Title_RESULTS!$C$17),0,(+$K16/((1+Title_RESULTS!$C$37)^('Sheet8(F_24)'!$A16-Title_RESULTS!$H$7))))</f>
        <v>-93.1159441831139</v>
      </c>
      <c r="M16" s="5"/>
    </row>
    <row r="17" spans="1:13" ht="12.75">
      <c r="A17">
        <f aca="true" t="shared" si="0" ref="A17:A23">+A16+1</f>
        <v>2021</v>
      </c>
      <c r="B17" s="5">
        <f>IF(A17&gt;=(Title_RESULTS!$H$7+Title_RESULTS!$C$17),0,(+'Sheet6(p_6)'!N17-'Sheet6(p_6)'!R17))</f>
        <v>91.13454098602597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48.27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139.40454098602598</v>
      </c>
      <c r="G17" s="5">
        <f>IF(A17&gt;=(Title_RESULTS!$H$7+Title_RESULTS!$C$17),0,(+'Sheet6(p_6)'!$H17))</f>
        <v>174.933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174.933</v>
      </c>
      <c r="K17" s="23">
        <f>IF(A17&gt;=(Title_RESULTS!$H$7+Title_RESULTS!$C$17),0,(+F17-J17))</f>
        <v>-35.528459013974015</v>
      </c>
      <c r="L17" s="23">
        <f>IF(A16&gt;=(Title_RESULTS!$H$7+Title_RESULTS!$C$17),0,(+$K17/((1+Title_RESULTS!$C$37)^('Sheet8(F_24)'!$A17-Title_RESULTS!$H$7))+L16))</f>
        <v>-126.2953044875349</v>
      </c>
      <c r="M17" s="5"/>
    </row>
    <row r="18" spans="1:13" ht="12.75">
      <c r="A18">
        <f t="shared" si="0"/>
        <v>2022</v>
      </c>
      <c r="B18" s="5">
        <f>IF(A18&gt;=(Title_RESULTS!$H$7+Title_RESULTS!$C$17),0,(+'Sheet6(p_6)'!N18-'Sheet6(p_6)'!R18))</f>
        <v>155.1596132749154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48.27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203.4296132749154</v>
      </c>
      <c r="G18" s="5">
        <f>IF(A18&gt;=(Title_RESULTS!$H$7+Title_RESULTS!$C$17),0,(+'Sheet6(p_6)'!$H18))</f>
        <v>178.95645899999997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178.95645899999997</v>
      </c>
      <c r="K18" s="23">
        <f>IF(A18&gt;=(Title_RESULTS!$H$7+Title_RESULTS!$C$17),0,(+F18-J18))</f>
        <v>24.47315427491543</v>
      </c>
      <c r="L18" s="23">
        <f>IF(A17&gt;=(Title_RESULTS!$H$7+Title_RESULTS!$C$17),0,(+$K18/((1+Title_RESULTS!$C$37)^('Sheet8(F_24)'!$A18-Title_RESULTS!$H$7))+L17))</f>
        <v>-104.95143174345333</v>
      </c>
      <c r="M18" s="5"/>
    </row>
    <row r="19" spans="1:13" ht="12.75">
      <c r="A19">
        <f t="shared" si="0"/>
        <v>2023</v>
      </c>
      <c r="B19" s="5">
        <f>IF(A19&gt;=(Title_RESULTS!$H$7+Title_RESULTS!$C$17),0,(+'Sheet6(p_6)'!N19-'Sheet6(p_6)'!R19))</f>
        <v>186.5771285631058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186.5771285631058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186.5771285631058</v>
      </c>
      <c r="L19" s="23">
        <f>IF(A18&gt;=(Title_RESULTS!$H$7+Title_RESULTS!$C$17),0,(+$K19/((1+Title_RESULTS!$C$37)^('Sheet8(F_24)'!$A19-Title_RESULTS!$H$7))+L18))</f>
        <v>47.009979251184575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192.2021207216784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192.2021207216784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192.2021207216784</v>
      </c>
      <c r="L20" s="23">
        <f>IF(A19&gt;=(Title_RESULTS!$H$7+Title_RESULTS!$C$17),0,(+$K20/((1+Title_RESULTS!$C$37)^('Sheet8(F_24)'!$A20-Title_RESULTS!$H$7))+L19))</f>
        <v>193.20235547598278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198.154313387187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198.154313387187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198.154313387187</v>
      </c>
      <c r="L21" s="23">
        <f>IF(A20&gt;=(Title_RESULTS!$H$7+Title_RESULTS!$C$17),0,(+$K21/((1+Title_RESULTS!$C$37)^('Sheet8(F_24)'!$A21-Title_RESULTS!$H$7))+L20))</f>
        <v>333.95667056442926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203.30187524815074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203.30187524815074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203.30187524815074</v>
      </c>
      <c r="L22" s="23">
        <f>IF(A21&gt;=(Title_RESULTS!$H$7+Title_RESULTS!$C$17),0,(+$K22/((1+Title_RESULTS!$C$37)^('Sheet8(F_24)'!$A22-Title_RESULTS!$H$7))+L21))</f>
        <v>468.8191716128458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209.92836682097385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209.92836682097385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209.92836682097385</v>
      </c>
      <c r="L23" s="23">
        <f>IF(A22&gt;=(Title_RESULTS!$H$7+Title_RESULTS!$C$17),0,(+$K23/((1+Title_RESULTS!$C$37)^('Sheet8(F_24)'!$A23-Title_RESULTS!$H$7))+L22))</f>
        <v>598.8698402805153</v>
      </c>
      <c r="M23" s="5"/>
    </row>
    <row r="24" spans="2:13" ht="12.7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2.75">
      <c r="A25" t="s">
        <v>87</v>
      </c>
      <c r="B25" s="5">
        <f aca="true" t="shared" si="1" ref="B25:K25">SUM(B16:B24)</f>
        <v>1266.0720148189232</v>
      </c>
      <c r="C25" s="5">
        <f t="shared" si="1"/>
        <v>0</v>
      </c>
      <c r="D25" s="5">
        <f t="shared" si="1"/>
        <v>144.81</v>
      </c>
      <c r="E25" s="5">
        <f t="shared" si="1"/>
        <v>0</v>
      </c>
      <c r="F25" s="5">
        <f t="shared" si="1"/>
        <v>1410.8820148189234</v>
      </c>
      <c r="G25" s="5">
        <f t="shared" si="1"/>
        <v>524.889459</v>
      </c>
      <c r="H25" s="5">
        <f t="shared" si="1"/>
        <v>0</v>
      </c>
      <c r="I25" s="5">
        <f t="shared" si="1"/>
        <v>0</v>
      </c>
      <c r="J25" s="5">
        <f t="shared" si="1"/>
        <v>524.889459</v>
      </c>
      <c r="K25" s="5">
        <f t="shared" si="1"/>
        <v>885.9925558189234</v>
      </c>
      <c r="L25" s="5"/>
      <c r="M25" s="5"/>
    </row>
    <row r="26" ht="12.75">
      <c r="M26" s="5"/>
    </row>
    <row r="27" spans="1:13" ht="12.75">
      <c r="A27" t="s">
        <v>118</v>
      </c>
      <c r="B27" s="5">
        <f>NPV(Title_RESULTS!$C$37,'Sheet8(F_24)'!B17:B24)+'Sheet8(F_24)'!B16</f>
        <v>953.8641552805659</v>
      </c>
      <c r="C27" s="5">
        <f>NPV(Title_RESULTS!$C$37,'Sheet8(F_24)'!C17:C24)+'Sheet8(F_24)'!C16</f>
        <v>0</v>
      </c>
      <c r="D27" s="5">
        <f>NPV(Title_RESULTS!$C$37,'Sheet8(F_24)'!D17:D24)+'Sheet8(F_24)'!D16</f>
        <v>135.44635975127574</v>
      </c>
      <c r="E27" s="5">
        <f>NPV(Title_RESULTS!$C$37,'Sheet8(F_24)'!E17:E24)+'Sheet8(F_24)'!E16</f>
        <v>0</v>
      </c>
      <c r="F27" s="5">
        <f>NPV(Title_RESULTS!$C$37,'Sheet8(F_24)'!F17:F24)+'Sheet8(F_24)'!F16</f>
        <v>1089.310515031842</v>
      </c>
      <c r="G27" s="5">
        <f>NPV(Title_RESULTS!$C$37,'Sheet8(F_24)'!G17:G24)+'Sheet8(F_24)'!G16</f>
        <v>490.44067475132664</v>
      </c>
      <c r="H27" s="5">
        <f>NPV(Title_RESULTS!$C$37,'Sheet8(F_24)'!H17:H24)+'Sheet8(F_24)'!H16</f>
        <v>0</v>
      </c>
      <c r="I27" s="5">
        <f>NPV(Title_RESULTS!$C$37,'Sheet8(F_24)'!I17:I24)+'Sheet8(F_24)'!I16</f>
        <v>0</v>
      </c>
      <c r="J27" s="5">
        <f>NPV(Title_RESULTS!$C$37,'Sheet8(F_24)'!J17:J24)+'Sheet8(F_24)'!J16</f>
        <v>490.44067475132664</v>
      </c>
      <c r="K27" s="5">
        <f>NPV(Title_RESULTS!$C$37,'Sheet8(F_24)'!K17:K24)+'Sheet8(F_24)'!K16</f>
        <v>598.8698402805152</v>
      </c>
      <c r="L27" s="5"/>
      <c r="M27" s="5"/>
    </row>
    <row r="28" spans="2:12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1" ht="12.75">
      <c r="A29" t="s">
        <v>174</v>
      </c>
      <c r="D29">
        <f>+Title_RESULTS!H8</f>
        <v>2023</v>
      </c>
      <c r="F29">
        <f>+F27/J27</f>
        <v>2.221085181371155</v>
      </c>
      <c r="K29" s="10"/>
    </row>
    <row r="30" spans="1:10" ht="12.75">
      <c r="A30" t="s">
        <v>175</v>
      </c>
      <c r="D30">
        <f>+Title_RESULTS!C37</f>
        <v>0.0708</v>
      </c>
      <c r="J30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Anti-sweat controls</v>
      </c>
      <c r="N2" t="s">
        <v>55</v>
      </c>
    </row>
    <row r="3" ht="12.75">
      <c r="N3" s="35">
        <f>+Title_RESULTS!I4</f>
        <v>43599.32086111111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75</v>
      </c>
      <c r="D16" s="5">
        <f>IF(A16&gt;=(Title_RESULTS!$H$7+Title_RESULTS!$C$17),0,(+'Sheet6(p_6)'!$G16))</f>
        <v>48.27</v>
      </c>
      <c r="E16" s="5">
        <f>+'Sheet6(p_6)'!M16</f>
        <v>17.165516699999998</v>
      </c>
      <c r="F16">
        <f>IF(A16&gt;=(Title_RESULTS!$H$7+Title_RESULTS!$C$17),0,(+'f-11B'!$R15))</f>
        <v>0</v>
      </c>
      <c r="G16" s="5">
        <f>IF(A16&gt;=(Title_RESULTS!$H$7+Title_RESULTS!$C$17),0,(SUM(B16:F16)))</f>
        <v>140.4355167</v>
      </c>
      <c r="H16" s="5">
        <f>IF(A16&gt;=(Title_RESULTS!$H$7+Title_RESULTS!$C$17),0,(+'Sheet3(F_21)'!$J16+'Sheet4(F_22)'!$H16))</f>
        <v>15.645320054531126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15.645320054531126</v>
      </c>
      <c r="M16" s="23">
        <f>IF(A16&gt;=(Title_RESULTS!$H$7+Title_RESULTS!$C$17),0,(+L16-G16))</f>
        <v>-124.79019664546887</v>
      </c>
      <c r="N16" s="24">
        <f>IF(A16&gt;=(Title_RESULTS!$H$7+Title_RESULTS!$C$17),0,(+$M16/((1+Title_RESULTS!$C$37)^('Sheet9(F_25)'!$A16-Title_RESULTS!$H$7))))</f>
        <v>-124.79019664546887</v>
      </c>
    </row>
    <row r="17" spans="1:14" ht="12.75">
      <c r="A17">
        <f aca="true" t="shared" si="0" ref="A17:A23"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76.8</v>
      </c>
      <c r="D17" s="5">
        <f>IF(A17&gt;=(Title_RESULTS!$H$7+Title_RESULTS!$C$17),0,(+'Sheet6(p_6)'!$G17))</f>
        <v>48.27</v>
      </c>
      <c r="E17" s="5">
        <f>+'Sheet6(p_6)'!M17</f>
        <v>52.011515601</v>
      </c>
      <c r="F17">
        <f>IF(A17&gt;=(Title_RESULTS!$H$7+Title_RESULTS!$C$17),0,(+'f-11B'!$R16))</f>
        <v>0</v>
      </c>
      <c r="G17" s="5">
        <f>IF(A17&gt;=(Title_RESULTS!$H$7+Title_RESULTS!$C$17),0,(SUM(B17:F17)))</f>
        <v>177.08151560099998</v>
      </c>
      <c r="H17" s="5">
        <f>IF(A17&gt;=(Title_RESULTS!$H$7+Title_RESULTS!$C$17),0,(+'Sheet3(F_21)'!$J17+'Sheet4(F_22)'!$H17))</f>
        <v>46.55418995409706</v>
      </c>
      <c r="I17" s="5">
        <f>IF(A17&gt;=(Title_RESULTS!$H$7+Title_RESULTS!$C$17),0,(+'Sheet4(F_22)'!$D17+'Sheet4(F_22)'!$G17))</f>
        <v>10.459831177759954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57.014021131857014</v>
      </c>
      <c r="M17" s="23">
        <f>IF(A17&gt;=(Title_RESULTS!$H$7+Title_RESULTS!$C$17),0,(+L17-G17))</f>
        <v>-120.06749446914296</v>
      </c>
      <c r="N17" s="24">
        <f>(IF(A16&gt;=(Title_RESULTS!$H$7+Title_RESULTS!$C$17),0,(+$M17/((1+Title_RESULTS!$C$37)^('Sheet9(F_25)'!$A17-Title_RESULTS!$H$7))+N16)))</f>
        <v>-236.91897369920716</v>
      </c>
    </row>
    <row r="18" spans="1:14" ht="12.75">
      <c r="A18">
        <f t="shared" si="0"/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78.6432</v>
      </c>
      <c r="D18" s="5">
        <f>IF(A18&gt;=(Title_RESULTS!$H$7+Title_RESULTS!$C$17),0,(+'Sheet6(p_6)'!$G18))</f>
        <v>48.27</v>
      </c>
      <c r="E18" s="5">
        <f>+'Sheet6(p_6)'!M18</f>
        <v>87.55271792835</v>
      </c>
      <c r="F18">
        <f>IF(A18&gt;=(Title_RESULTS!$H$7+Title_RESULTS!$C$17),0,(+'f-11B'!$R17))</f>
        <v>0</v>
      </c>
      <c r="G18" s="5">
        <f>IF(A18&gt;=(Title_RESULTS!$H$7+Title_RESULTS!$C$17),0,(SUM(B18:F18)))</f>
        <v>214.46591792835</v>
      </c>
      <c r="H18" s="5">
        <f>IF(A18&gt;=(Title_RESULTS!$H$7+Title_RESULTS!$C$17),0,(+'Sheet3(F_21)'!$J18+'Sheet4(F_22)'!$H18))</f>
        <v>80.07840002825783</v>
      </c>
      <c r="I18" s="5">
        <f>IF(A18&gt;=(Title_RESULTS!$H$7+Title_RESULTS!$C$17),0,(+'Sheet4(F_22)'!$D18+'Sheet4(F_22)'!$G18))</f>
        <v>10.710867126026193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90.78926715428402</v>
      </c>
      <c r="M18" s="23">
        <f>IF(A18&gt;=(Title_RESULTS!$H$7+Title_RESULTS!$C$17),0,(+L18-G18))</f>
        <v>-123.67665077406598</v>
      </c>
      <c r="N18" s="24">
        <f>(IF(A17&gt;=(Title_RESULTS!$H$7+Title_RESULTS!$C$17),0,(+$M18/((1+Title_RESULTS!$C$37)^('Sheet9(F_25)'!$A18-Title_RESULTS!$H$7))+N17)))</f>
        <v>-344.7816000645209</v>
      </c>
    </row>
    <row r="19" spans="1:14" ht="12.75">
      <c r="A19">
        <f t="shared" si="0"/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106.11389412916019</v>
      </c>
      <c r="F19">
        <f>IF(A19&gt;=(Title_RESULTS!$H$7+Title_RESULTS!$C$17),0,(+'f-11B'!$R18))</f>
        <v>0</v>
      </c>
      <c r="G19" s="5">
        <f>IF(A19&gt;=(Title_RESULTS!$H$7+Title_RESULTS!$C$17),0,(SUM(B19:F19)))</f>
        <v>106.11389412916019</v>
      </c>
      <c r="H19" s="5">
        <f>IF(A19&gt;=(Title_RESULTS!$H$7+Title_RESULTS!$C$17),0,(+'Sheet3(F_21)'!$J19+'Sheet4(F_22)'!$H19))</f>
        <v>132.58718358100884</v>
      </c>
      <c r="I19" s="5">
        <f>IF(A19&gt;=(Title_RESULTS!$H$7+Title_RESULTS!$C$17),0,(+'Sheet4(F_22)'!$D19+'Sheet4(F_22)'!$G19))</f>
        <v>10.967927937050822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143.55511151805968</v>
      </c>
      <c r="M19" s="23">
        <f>IF(A19&gt;=(Title_RESULTS!$H$7+Title_RESULTS!$C$17),0,(+L19-G19))</f>
        <v>37.44121738889949</v>
      </c>
      <c r="N19" s="24">
        <f>(IF(A18&gt;=(Title_RESULTS!$H$7+Title_RESULTS!$C$17),0,(+$M19/((1+Title_RESULTS!$C$37)^('Sheet9(F_25)'!$A19-Title_RESULTS!$H$7))+N18)))</f>
        <v>-314.2868643614267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107.1750330704518</v>
      </c>
      <c r="F20">
        <f>IF(A20&gt;=(Title_RESULTS!$H$7+Title_RESULTS!$C$17),0,(+'f-11B'!$R19))</f>
        <v>0</v>
      </c>
      <c r="G20" s="5">
        <f>IF(A20&gt;=(Title_RESULTS!$H$7+Title_RESULTS!$C$17),0,(SUM(B20:F20)))</f>
        <v>107.1750330704518</v>
      </c>
      <c r="H20" s="5">
        <f>IF(A20&gt;=(Title_RESULTS!$H$7+Title_RESULTS!$C$17),0,(+'Sheet3(F_21)'!$J20+'Sheet4(F_22)'!$H20))</f>
        <v>137.3862722264601</v>
      </c>
      <c r="I20" s="5">
        <f>IF(A20&gt;=(Title_RESULTS!$H$7+Title_RESULTS!$C$17),0,(+'Sheet4(F_22)'!$D20+'Sheet4(F_22)'!$G20))</f>
        <v>11.231158207540041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148.61743043400014</v>
      </c>
      <c r="M20" s="23">
        <f>IF(A20&gt;=(Title_RESULTS!$H$7+Title_RESULTS!$C$17),0,(+L20-G20))</f>
        <v>41.44239736354834</v>
      </c>
      <c r="N20" s="24">
        <f>(IF(A19&gt;=(Title_RESULTS!$H$7+Title_RESULTS!$C$17),0,(+$M20/((1+Title_RESULTS!$C$37)^('Sheet9(F_25)'!$A20-Title_RESULTS!$H$7))+N19)))</f>
        <v>-282.7650345071003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108.2467834011563</v>
      </c>
      <c r="F21">
        <f>IF(A21&gt;=(Title_RESULTS!$H$7+Title_RESULTS!$C$17),0,(+'f-11B'!$R20))</f>
        <v>0</v>
      </c>
      <c r="G21" s="5">
        <f>IF(A21&gt;=(Title_RESULTS!$H$7+Title_RESULTS!$C$17),0,(SUM(B21:F21)))</f>
        <v>108.2467834011563</v>
      </c>
      <c r="H21" s="5">
        <f>IF(A21&gt;=(Title_RESULTS!$H$7+Title_RESULTS!$C$17),0,(+'Sheet3(F_21)'!$J21+'Sheet4(F_22)'!$H21))</f>
        <v>145.99824212116624</v>
      </c>
      <c r="I21" s="5">
        <f>IF(A21&gt;=(Title_RESULTS!$H$7+Title_RESULTS!$C$17),0,(+'Sheet4(F_22)'!$D21+'Sheet4(F_22)'!$G21))</f>
        <v>11.500706004521003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157.49894812568724</v>
      </c>
      <c r="M21" s="23">
        <f>IF(A21&gt;=(Title_RESULTS!$H$7+Title_RESULTS!$C$17),0,(+L21-G21))</f>
        <v>49.25216472453093</v>
      </c>
      <c r="N21" s="24">
        <f>(IF(A20&gt;=(Title_RESULTS!$H$7+Title_RESULTS!$C$17),0,(+$M21/((1+Title_RESULTS!$C$37)^('Sheet9(F_25)'!$A21-Title_RESULTS!$H$7))+N20)))</f>
        <v>-247.7799030006319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109.3292512351679</v>
      </c>
      <c r="F22">
        <f>IF(A22&gt;=(Title_RESULTS!$H$7+Title_RESULTS!$C$17),0,(+'f-11B'!$R21))</f>
        <v>0</v>
      </c>
      <c r="G22" s="5">
        <f>IF(A22&gt;=(Title_RESULTS!$H$7+Title_RESULTS!$C$17),0,(SUM(B22:F22)))</f>
        <v>109.3292512351679</v>
      </c>
      <c r="H22" s="5">
        <f>IF(A22&gt;=(Title_RESULTS!$H$7+Title_RESULTS!$C$17),0,(+'Sheet3(F_21)'!$J22+'Sheet4(F_22)'!$H22))</f>
        <v>150.6423941577587</v>
      </c>
      <c r="I22" s="5">
        <f>IF(A22&gt;=(Title_RESULTS!$H$7+Title_RESULTS!$C$17),0,(+'Sheet4(F_22)'!$D22+'Sheet4(F_22)'!$G22))</f>
        <v>11.776722948629505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162.4191171063882</v>
      </c>
      <c r="M22" s="23">
        <f>IF(A22&gt;=(Title_RESULTS!$H$7+Title_RESULTS!$C$17),0,(+L22-G22))</f>
        <v>53.0898658712203</v>
      </c>
      <c r="N22" s="24">
        <f>(IF(A21&gt;=(Title_RESULTS!$H$7+Title_RESULTS!$C$17),0,(+$M22/((1+Title_RESULTS!$C$37)^('Sheet9(F_25)'!$A22-Title_RESULTS!$H$7))+N21)))</f>
        <v>-212.5621654220757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110.42254374751954</v>
      </c>
      <c r="F23">
        <f>IF(A23&gt;=(Title_RESULTS!$H$7+Title_RESULTS!$C$17),0,(+'f-11B'!$R22))</f>
        <v>0</v>
      </c>
      <c r="G23" s="5">
        <f>IF(A23&gt;=(Title_RESULTS!$H$7+Title_RESULTS!$C$17),0,(SUM(B23:F23)))</f>
        <v>110.42254374751954</v>
      </c>
      <c r="H23" s="5">
        <f>IF(A23&gt;=(Title_RESULTS!$H$7+Title_RESULTS!$C$17),0,(+'Sheet3(F_21)'!$J23+'Sheet4(F_22)'!$H23))</f>
        <v>158.79643299433565</v>
      </c>
      <c r="I23" s="5">
        <f>IF(A23&gt;=(Title_RESULTS!$H$7+Title_RESULTS!$C$17),0,(+'Sheet4(F_22)'!$D23+'Sheet4(F_22)'!$G23))</f>
        <v>12.059364299396615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170.85579729373225</v>
      </c>
      <c r="M23" s="23">
        <f>IF(A23&gt;=(Title_RESULTS!$H$7+Title_RESULTS!$C$17),0,(+L23-G23))</f>
        <v>60.43325354621271</v>
      </c>
      <c r="N23" s="24">
        <f>(IF(A22&gt;=(Title_RESULTS!$H$7+Title_RESULTS!$C$17),0,(+$M23/((1+Title_RESULTS!$C$37)^('Sheet9(F_25)'!$A23-Title_RESULTS!$H$7))+N22)))</f>
        <v>-175.12375177428973</v>
      </c>
    </row>
    <row r="24" ht="12.75">
      <c r="E24" s="5"/>
    </row>
    <row r="25" spans="1:13" ht="12.75">
      <c r="A25" t="s">
        <v>87</v>
      </c>
      <c r="B25" s="5">
        <f aca="true" t="shared" si="1" ref="B25:M25">SUM(B16:B24)</f>
        <v>0</v>
      </c>
      <c r="C25" s="5">
        <f t="shared" si="1"/>
        <v>230.4432</v>
      </c>
      <c r="D25" s="5">
        <f t="shared" si="1"/>
        <v>144.81</v>
      </c>
      <c r="E25" s="5">
        <f t="shared" si="1"/>
        <v>698.0172558128057</v>
      </c>
      <c r="F25" s="5">
        <f t="shared" si="1"/>
        <v>0</v>
      </c>
      <c r="G25" s="5">
        <f t="shared" si="1"/>
        <v>1073.2704558128057</v>
      </c>
      <c r="H25" s="5">
        <f t="shared" si="1"/>
        <v>867.6884351176157</v>
      </c>
      <c r="I25" s="5">
        <f t="shared" si="1"/>
        <v>78.70657770092414</v>
      </c>
      <c r="J25" s="5">
        <f t="shared" si="1"/>
        <v>0</v>
      </c>
      <c r="K25" s="9">
        <f t="shared" si="1"/>
        <v>0</v>
      </c>
      <c r="L25" s="5">
        <f t="shared" si="1"/>
        <v>946.3950128185396</v>
      </c>
      <c r="M25" s="5">
        <f t="shared" si="1"/>
        <v>-126.87544299426605</v>
      </c>
    </row>
    <row r="27" spans="1:13" ht="12.75">
      <c r="A27" t="s">
        <v>118</v>
      </c>
      <c r="B27" s="5">
        <f>NPV(Title_RESULTS!$C$37,'Sheet9(F_25)'!B17:B24)+'Sheet9(F_25)'!B16</f>
        <v>0</v>
      </c>
      <c r="C27" s="5">
        <f>NPV(Title_RESULTS!$C$37,'Sheet9(F_25)'!C17:C24)+'Sheet9(F_25)'!C16</f>
        <v>215.3094945822331</v>
      </c>
      <c r="D27" s="5">
        <f>NPV(Title_RESULTS!$C$37,'Sheet9(F_25)'!D17:D24)+'Sheet9(F_25)'!D16</f>
        <v>135.44635975127574</v>
      </c>
      <c r="E27" s="5">
        <f>NPV(Title_RESULTS!$C$37,'Sheet9(F_25)'!E17:E24)+'Sheet9(F_25)'!E16</f>
        <v>527.8637254322653</v>
      </c>
      <c r="F27" s="5">
        <f>NPV(Title_RESULTS!$C$37,'Sheet9(F_25)'!F17:F24)+'Sheet9(F_25)'!F16</f>
        <v>0</v>
      </c>
      <c r="G27" s="5">
        <f>NPV(Title_RESULTS!$C$37,'Sheet9(F_25)'!G17:G24)+'Sheet9(F_25)'!G16</f>
        <v>878.6195797657741</v>
      </c>
      <c r="H27" s="5">
        <f>NPV(Title_RESULTS!$C$37,'Sheet9(F_25)'!H17:H24)+'Sheet9(F_25)'!H16</f>
        <v>643.458355897891</v>
      </c>
      <c r="I27" s="5">
        <f>NPV(Title_RESULTS!$C$37,'Sheet9(F_25)'!I17:I24)+'Sheet9(F_25)'!I16</f>
        <v>60.037472093593394</v>
      </c>
      <c r="J27" s="5">
        <f>NPV(Title_RESULTS!$C$37,'Sheet9(F_25)'!J17:J24)+'Sheet9(F_25)'!J16</f>
        <v>0</v>
      </c>
      <c r="K27" s="9">
        <f>NPV(Title_RESULTS!$C$37,'Sheet9(F_25)'!K17:K24)+'Sheet9(F_25)'!K16</f>
        <v>0</v>
      </c>
      <c r="L27" s="5">
        <f>NPV(Title_RESULTS!$C$37,'Sheet9(F_25)'!L17:L24)+'Sheet9(F_25)'!L16</f>
        <v>703.4958279914842</v>
      </c>
      <c r="M27" s="5">
        <f>NPV(Title_RESULTS!$C$37,'Sheet9(F_25)'!M17:M24)+'Sheet9(F_25)'!M16</f>
        <v>-175.12375177428973</v>
      </c>
    </row>
    <row r="29" spans="1:10" ht="12.75">
      <c r="A29" t="s">
        <v>175</v>
      </c>
      <c r="D29">
        <f>+Title_RESULTS!C37</f>
        <v>0.0708</v>
      </c>
      <c r="F29" t="s">
        <v>183</v>
      </c>
      <c r="J29" s="10">
        <f>+L27/G27</f>
        <v>0.8006830762626812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257.3126732673267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15.009792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32.89528320000001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1.483302221314185</v>
      </c>
      <c r="P24" s="48">
        <f aca="true" t="shared" si="4" ref="P24:P61">N24*$L$5</f>
        <v>3.2507876619022578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1.5189014746257254</v>
      </c>
      <c r="P25" s="48">
        <f t="shared" si="4"/>
        <v>3.328806565787912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35.40382112333729</v>
      </c>
      <c r="E26" s="11">
        <f>IF(B26=Title_RESULTS!$H$8,$F$16,+E25*(1+$F$7))</f>
        <v>0.09882230355451863</v>
      </c>
      <c r="F26" s="9">
        <f t="shared" si="1"/>
        <v>25.42823110604843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2.0652072216995467</v>
      </c>
      <c r="L26" s="5">
        <f t="shared" si="3"/>
        <v>4.526083800794295</v>
      </c>
      <c r="N26" s="11">
        <f>IF(+B26=Title_RESULTS!$H$9,'Value of Defferal'!$O$16,+'Value of Defferal'!N25*(1+'Value of Defferal'!$F$7))</f>
        <v>0.10362269577198292</v>
      </c>
      <c r="O26" s="5">
        <f t="shared" si="7"/>
        <v>1.555355110016743</v>
      </c>
      <c r="P26" s="48">
        <f t="shared" si="4"/>
        <v>3.4086979233668218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34.35835038824153</v>
      </c>
      <c r="E27" s="11">
        <f>IF(B27=Title_RESULTS!$H$8,$F$16,+E26*(1+$F$7))</f>
        <v>0.10119403883982707</v>
      </c>
      <c r="F27" s="9">
        <f t="shared" si="1"/>
        <v>26.038508652593592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2.004221891763732</v>
      </c>
      <c r="L27" s="5">
        <f t="shared" si="3"/>
        <v>4.392429070649862</v>
      </c>
      <c r="N27" s="11">
        <f>IF(+B27=Title_RESULTS!$H$9,'Value of Defferal'!$O$16,+'Value of Defferal'!N26*(1+'Value of Defferal'!$F$7))</f>
        <v>0.10610964047051051</v>
      </c>
      <c r="O27" s="5">
        <f t="shared" si="7"/>
        <v>1.5926836326571447</v>
      </c>
      <c r="P27" s="48">
        <f t="shared" si="4"/>
        <v>3.4905066735276256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33.204158321408336</v>
      </c>
      <c r="E28" s="11">
        <f>IF(B28=Title_RESULTS!$H$8,$F$16,+E27*(1+$F$7))</f>
        <v>0.10362269577198292</v>
      </c>
      <c r="F28" s="9">
        <f t="shared" si="1"/>
        <v>26.66343286025584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1.936894532286113</v>
      </c>
      <c r="L28" s="5">
        <f t="shared" si="3"/>
        <v>4.24487522332643</v>
      </c>
      <c r="N28" s="11">
        <f>IF(+B28=Title_RESULTS!$H$9,'Value of Defferal'!$O$16,+'Value of Defferal'!N27*(1+'Value of Defferal'!$F$7))</f>
        <v>0.10865627184180277</v>
      </c>
      <c r="O28" s="5">
        <f t="shared" si="7"/>
        <v>1.6309080398409164</v>
      </c>
      <c r="P28" s="48">
        <f t="shared" si="4"/>
        <v>3.5742788336922886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32.10524569226136</v>
      </c>
      <c r="E29" s="11">
        <f>IF(B29=Title_RESULTS!$H$8,$F$16,+E28*(1+$F$7))</f>
        <v>0.10610964047051051</v>
      </c>
      <c r="F29" s="9">
        <f t="shared" si="1"/>
        <v>27.30335524890198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1.872791782195243</v>
      </c>
      <c r="L29" s="5">
        <f t="shared" si="3"/>
        <v>4.104388391920771</v>
      </c>
      <c r="N29" s="11">
        <f>IF(+B29=Title_RESULTS!$H$9,'Value of Defferal'!$O$16,+'Value of Defferal'!N28*(1+'Value of Defferal'!$F$7))</f>
        <v>0.11126402236600604</v>
      </c>
      <c r="O29" s="5">
        <f t="shared" si="7"/>
        <v>1.6700498327970983</v>
      </c>
      <c r="P29" s="48">
        <f t="shared" si="4"/>
        <v>3.6600615257009035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31.056069244168352</v>
      </c>
      <c r="E30" s="11">
        <f>IF(B30=Title_RESULTS!$H$8,$F$16,+E29*(1+$F$7))</f>
        <v>0.10865627184180277</v>
      </c>
      <c r="F30" s="9">
        <f t="shared" si="1"/>
        <v>27.958635774875628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1.811590287308848</v>
      </c>
      <c r="L30" s="5">
        <f t="shared" si="3"/>
        <v>3.970259917218969</v>
      </c>
      <c r="N30" s="11">
        <f>IF(+B30=Title_RESULTS!$H$9,'Value of Defferal'!$O$16,+'Value of Defferal'!N29*(1+'Value of Defferal'!$F$7))</f>
        <v>0.11393435890279018</v>
      </c>
      <c r="O30" s="5">
        <f t="shared" si="7"/>
        <v>1.7101310287842286</v>
      </c>
      <c r="P30" s="48">
        <f t="shared" si="4"/>
        <v>3.747903002317725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30.051698235042064</v>
      </c>
      <c r="E31" s="11">
        <f>IF(B31=Title_RESULTS!$H$8,$F$16,+E30*(1+$F$7))</f>
        <v>0.11126402236600604</v>
      </c>
      <c r="F31" s="9">
        <f t="shared" si="1"/>
        <v>28.629643033472643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1.7530024231885541</v>
      </c>
      <c r="L31" s="5">
        <f t="shared" si="3"/>
        <v>3.8418594448926244</v>
      </c>
      <c r="N31" s="11">
        <f>IF(+B31=Title_RESULTS!$H$9,'Value of Defferal'!$O$16,+'Value of Defferal'!N30*(1+'Value of Defferal'!$F$7))</f>
        <v>0.11666878351645714</v>
      </c>
      <c r="O31" s="5">
        <f t="shared" si="7"/>
        <v>1.75117417347505</v>
      </c>
      <c r="P31" s="48">
        <f t="shared" si="4"/>
        <v>3.8378526743733503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29.07859609343801</v>
      </c>
      <c r="E32" s="11">
        <f>IF(B32=Title_RESULTS!$H$8,$F$16,+E31*(1+$F$7))</f>
        <v>0.11393435890279018</v>
      </c>
      <c r="F32" s="9">
        <f t="shared" si="1"/>
        <v>29.316754466275984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1.6962385624942273</v>
      </c>
      <c r="L32" s="5">
        <f t="shared" si="3"/>
        <v>3.717456436971846</v>
      </c>
      <c r="N32" s="11">
        <f>IF(+B32=Title_RESULTS!$H$9,'Value of Defferal'!$O$16,+'Value of Defferal'!N31*(1+'Value of Defferal'!$F$7))</f>
        <v>0.11946883432085212</v>
      </c>
      <c r="O32" s="5">
        <f t="shared" si="7"/>
        <v>1.7932023536384514</v>
      </c>
      <c r="P32" s="48">
        <f t="shared" si="4"/>
        <v>3.929961138558311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28.115508564644703</v>
      </c>
      <c r="E33" s="11">
        <f>IF(B33=Title_RESULTS!$H$8,$F$16,+E32*(1+$F$7))</f>
        <v>0.11666878351645714</v>
      </c>
      <c r="F33" s="9">
        <f t="shared" si="1"/>
        <v>30.020356573466607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1.6400588831126246</v>
      </c>
      <c r="L33" s="5">
        <f t="shared" si="3"/>
        <v>3.594333713929247</v>
      </c>
      <c r="N33" s="11">
        <f>IF(+B33=Title_RESULTS!$H$9,'Value of Defferal'!$O$16,+'Value of Defferal'!N32*(1+'Value of Defferal'!$F$7))</f>
        <v>0.12233608634455258</v>
      </c>
      <c r="O33" s="5">
        <f t="shared" si="7"/>
        <v>1.8362392101257745</v>
      </c>
      <c r="P33" s="48">
        <f t="shared" si="4"/>
        <v>4.024280205883711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27.15242103585139</v>
      </c>
      <c r="E34" s="11">
        <f>IF(B34=Title_RESULTS!$H$8,$F$16,+E33*(1+$F$7))</f>
        <v>0.11946883432085212</v>
      </c>
      <c r="F34" s="9">
        <f t="shared" si="1"/>
        <v>30.740845131229808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1.5838792037310214</v>
      </c>
      <c r="L34" s="5">
        <f t="shared" si="3"/>
        <v>3.4712109908866466</v>
      </c>
      <c r="N34" s="11">
        <f>IF(+B34=Title_RESULTS!$H$9,'Value of Defferal'!$O$16,+'Value of Defferal'!N33*(1+'Value of Defferal'!$F$7))</f>
        <v>0.12527215241682185</v>
      </c>
      <c r="O34" s="5">
        <f t="shared" si="7"/>
        <v>1.8803089511687932</v>
      </c>
      <c r="P34" s="48">
        <f t="shared" si="4"/>
        <v>4.12086293082492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26.18933350705808</v>
      </c>
      <c r="E35" s="11">
        <f>IF(B35=Title_RESULTS!$H$8,$F$16,+E34*(1+$F$7))</f>
        <v>0.12233608634455258</v>
      </c>
      <c r="F35" s="9">
        <f t="shared" si="1"/>
        <v>31.478625414379326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1.5276995243494185</v>
      </c>
      <c r="L35" s="5">
        <f t="shared" si="3"/>
        <v>3.3480882678440467</v>
      </c>
      <c r="N35" s="11">
        <f>IF(+B35=Title_RESULTS!$H$9,'Value of Defferal'!$O$16,+'Value of Defferal'!N34*(1+'Value of Defferal'!$F$7))</f>
        <v>0.12827868407482557</v>
      </c>
      <c r="O35" s="5">
        <f t="shared" si="7"/>
        <v>1.925436365996844</v>
      </c>
      <c r="P35" s="48">
        <f t="shared" si="4"/>
        <v>4.219763641164718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25.226245978264778</v>
      </c>
      <c r="E36" s="11">
        <f>IF(B36=Title_RESULTS!$H$8,$F$16,+E35*(1+$F$7))</f>
        <v>0.12527215241682185</v>
      </c>
      <c r="F36" s="9">
        <f t="shared" si="1"/>
        <v>32.23411242432444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1.4715198449678155</v>
      </c>
      <c r="L36" s="5">
        <f t="shared" si="3"/>
        <v>3.224965544801447</v>
      </c>
      <c r="N36" s="11">
        <f>IF(+B36=Title_RESULTS!$H$9,'Value of Defferal'!$O$16,+'Value of Defferal'!N35*(1+'Value of Defferal'!$F$7))</f>
        <v>0.1313573724926214</v>
      </c>
      <c r="O36" s="5">
        <f t="shared" si="7"/>
        <v>1.9716468387807684</v>
      </c>
      <c r="P36" s="48">
        <f t="shared" si="4"/>
        <v>4.321037968552671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24.263158449471465</v>
      </c>
      <c r="E37" s="11">
        <f>IF(B37&gt;Title_RESULTS!$H$8-1+Title_RESULTS!$C$18,0,+E36*(1+$F$7))</f>
        <v>0.12827868407482557</v>
      </c>
      <c r="F37" s="9">
        <f t="shared" si="1"/>
        <v>33.00773112250822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1.4153401655862123</v>
      </c>
      <c r="L37" s="5">
        <f t="shared" si="3"/>
        <v>3.1018428217588467</v>
      </c>
      <c r="N37" s="11">
        <f>IF(+B37=Title_RESULTS!$H$9,'Value of Defferal'!$O$16,+'Value of Defferal'!N36*(1+'Value of Defferal'!$F$7))</f>
        <v>0.1345099494324443</v>
      </c>
      <c r="O37" s="5">
        <f t="shared" si="7"/>
        <v>2.018966362911507</v>
      </c>
      <c r="P37" s="48">
        <f t="shared" si="4"/>
        <v>4.424742879797935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23.300070920678152</v>
      </c>
      <c r="E38" s="11">
        <f>IF(B38&gt;Title_RESULTS!$H$8-1+Title_RESULTS!$C$18,0,+E37*(1+$F$7))</f>
        <v>0.1313573724926214</v>
      </c>
      <c r="F38" s="9">
        <f t="shared" si="1"/>
        <v>33.799916669448415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1.3591604862046092</v>
      </c>
      <c r="L38" s="5">
        <f t="shared" si="3"/>
        <v>2.9787200987162468</v>
      </c>
      <c r="N38" s="11">
        <f>IF(+B38=Title_RESULTS!$H$9,'Value of Defferal'!$O$16,+'Value of Defferal'!N37*(1+'Value of Defferal'!$F$7))</f>
        <v>0.13773818821882297</v>
      </c>
      <c r="O38" s="5">
        <f t="shared" si="7"/>
        <v>2.067421555621383</v>
      </c>
      <c r="P38" s="48">
        <f t="shared" si="4"/>
        <v>4.530936708913086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22.33698339188484</v>
      </c>
      <c r="E39" s="11">
        <f>IF(B39&gt;Title_RESULTS!$H$8-1+Title_RESULTS!$C$18,0,+E38*(1+$F$7))</f>
        <v>0.1345099494324443</v>
      </c>
      <c r="F39" s="9">
        <f t="shared" si="1"/>
        <v>34.611114669515175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1.302980806823006</v>
      </c>
      <c r="L39" s="5">
        <f t="shared" si="3"/>
        <v>2.8555973756736464</v>
      </c>
      <c r="N39" s="11">
        <f>IF(+B39&gt;Title_RESULTS!$H$9+Title_RESULTS!$C$19-1,0,+'Value of Defferal'!N38*(1+'Value of Defferal'!$F$7))</f>
        <v>0.14104390473607473</v>
      </c>
      <c r="O39" s="5">
        <f t="shared" si="7"/>
        <v>2.1170396729562966</v>
      </c>
      <c r="P39" s="48">
        <f t="shared" si="4"/>
        <v>4.6396791899270005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21.373895863091537</v>
      </c>
      <c r="E40" s="11">
        <f>IF(B40&gt;Title_RESULTS!$H$8-1+Title_RESULTS!$C$18,0,+E39*(1+$F$7))</f>
        <v>0.13773818821882297</v>
      </c>
      <c r="F40" s="9">
        <f t="shared" si="1"/>
        <v>35.44178142158354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1.2468011274414035</v>
      </c>
      <c r="L40" s="5">
        <f t="shared" si="3"/>
        <v>2.7324746526310473</v>
      </c>
      <c r="N40" s="11">
        <f>IF(+B40&gt;Title_RESULTS!$H$9+Title_RESULTS!$C$19-1,0,+'Value of Defferal'!N39*(1+'Value of Defferal'!$F$7))</f>
        <v>0.14442895844974052</v>
      </c>
      <c r="O40" s="5">
        <f t="shared" si="7"/>
        <v>2.1678486251072475</v>
      </c>
      <c r="P40" s="48">
        <f t="shared" si="4"/>
        <v>4.751031490485248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20.50124610686742</v>
      </c>
      <c r="E41" s="11">
        <f>IF(B41&gt;Title_RESULTS!$H$8-1+Title_RESULTS!$C$18,0,+E40*(1+$F$7))</f>
        <v>0.14104390473607473</v>
      </c>
      <c r="F41" s="9">
        <f t="shared" si="1"/>
        <v>36.29238417570155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1.195896944746264</v>
      </c>
      <c r="L41" s="5">
        <f t="shared" si="3"/>
        <v>2.6209136459348086</v>
      </c>
      <c r="N41" s="11">
        <f>IF(+B41&gt;Title_RESULTS!$H$9+Title_RESULTS!$C$19-1,0,+'Value of Defferal'!N40*(1+'Value of Defferal'!$F$7))</f>
        <v>0.1478952534525343</v>
      </c>
      <c r="O41" s="5">
        <f t="shared" si="7"/>
        <v>2.2198769921098216</v>
      </c>
      <c r="P41" s="48">
        <f t="shared" si="4"/>
        <v>4.865056246256895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19.809441270054442</v>
      </c>
      <c r="E42" s="11">
        <f>IF(B42&gt;Title_RESULTS!$H$8-1+Title_RESULTS!$C$18,0,+E41*(1+$F$7))</f>
        <v>0.14442895844974052</v>
      </c>
      <c r="F42" s="9">
        <f t="shared" si="1"/>
        <v>37.163401395918385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1.1555419689368576</v>
      </c>
      <c r="L42" s="5">
        <f t="shared" si="3"/>
        <v>2.5324721566870174</v>
      </c>
      <c r="N42" s="11">
        <f>IF(+B42&gt;Title_RESULTS!$H$9+Title_RESULTS!$C$19-1,0,+'Value of Defferal'!N41*(1+'Value of Defferal'!$F$7))</f>
        <v>0.1514447395353951</v>
      </c>
      <c r="O42" s="5">
        <f t="shared" si="7"/>
        <v>2.273154039920457</v>
      </c>
      <c r="P42" s="48">
        <f t="shared" si="4"/>
        <v>4.98181759616706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19.208043580083416</v>
      </c>
      <c r="E43" s="11">
        <f>IF(B43&gt;Title_RESULTS!$H$8-1+Title_RESULTS!$C$18,0,+E42*(1+$F$7))</f>
        <v>0.1478952534525343</v>
      </c>
      <c r="F43" s="9">
        <f t="shared" si="1"/>
        <v>38.05532302942043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1.12046070332672</v>
      </c>
      <c r="L43" s="5">
        <f t="shared" si="3"/>
        <v>2.455588468541313</v>
      </c>
      <c r="N43" s="11">
        <f>IF(+B43&gt;Title_RESULTS!$H$9+Title_RESULTS!$C$19-1,0,+'Value of Defferal'!N42*(1+'Value of Defferal'!$F$7))</f>
        <v>0.1550794132842446</v>
      </c>
      <c r="O43" s="5">
        <f t="shared" si="7"/>
        <v>2.327709736878548</v>
      </c>
      <c r="P43" s="48">
        <f t="shared" si="4"/>
        <v>5.101381218475069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18.60664589011239</v>
      </c>
      <c r="E44" s="11">
        <f>IF(B44&gt;Title_RESULTS!$H$8-1+Title_RESULTS!$C$18,0,+E43*(1+$F$7))</f>
        <v>0.1514447395353951</v>
      </c>
      <c r="F44" s="9">
        <f t="shared" si="1"/>
        <v>38.96865078212652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1.0853794377165826</v>
      </c>
      <c r="L44" s="5">
        <f t="shared" si="3"/>
        <v>2.3787047803956085</v>
      </c>
      <c r="N44" s="11">
        <f>IF(+B44&gt;Title_RESULTS!$H$9+Title_RESULTS!$C$19-1,0,+'Value of Defferal'!N43*(1+'Value of Defferal'!$F$7))</f>
        <v>0.15880131920306648</v>
      </c>
      <c r="O44" s="5">
        <f t="shared" si="7"/>
        <v>2.3835747705636336</v>
      </c>
      <c r="P44" s="48">
        <f t="shared" si="4"/>
        <v>5.223814367718472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18.005248200141356</v>
      </c>
      <c r="E45" s="11">
        <f>IF(B45&gt;Title_RESULTS!$H$8-1+Title_RESULTS!$C$18,0,+E44*(1+$F$7))</f>
        <v>0.1550794132842446</v>
      </c>
      <c r="F45" s="9">
        <f t="shared" si="1"/>
        <v>39.90389840089756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1.0502981721064448</v>
      </c>
      <c r="L45" s="5">
        <f t="shared" si="3"/>
        <v>2.3018210922499027</v>
      </c>
      <c r="N45" s="11">
        <f>IF(+B45&gt;Title_RESULTS!$H$9+Title_RESULTS!$C$19-1,0,+'Value of Defferal'!N44*(1+'Value of Defferal'!$F$7))</f>
        <v>0.16261255086394008</v>
      </c>
      <c r="O45" s="5">
        <f t="shared" si="7"/>
        <v>2.440780565057161</v>
      </c>
      <c r="P45" s="48">
        <f t="shared" si="4"/>
        <v>5.349185912543715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17.403850510170326</v>
      </c>
      <c r="E46" s="11">
        <f>IF(B46&gt;Title_RESULTS!$H$8-1+Title_RESULTS!$C$18,0,+E45*(1+$F$7))</f>
        <v>0.15880131920306648</v>
      </c>
      <c r="F46" s="9">
        <f t="shared" si="1"/>
        <v>40.8615919625191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1.0152169064963072</v>
      </c>
      <c r="L46" s="5">
        <f t="shared" si="3"/>
        <v>2.224937404104198</v>
      </c>
      <c r="N46" s="11">
        <f>IF(+B46&gt;Title_RESULTS!$H$9+Title_RESULTS!$C$19-1,0,+'Value of Defferal'!N45*(1+'Value of Defferal'!$F$7))</f>
        <v>0.16651525208467466</v>
      </c>
      <c r="O46" s="5">
        <f t="shared" si="7"/>
        <v>2.4993592986185327</v>
      </c>
      <c r="P46" s="48">
        <f t="shared" si="4"/>
        <v>5.4775663744447645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16.802452820199303</v>
      </c>
      <c r="E47" s="11">
        <f>IF(B47&gt;Title_RESULTS!$H$8-1+Title_RESULTS!$C$18,0,+E46*(1+$F$7))</f>
        <v>0.16261255086394008</v>
      </c>
      <c r="F47" s="9">
        <f t="shared" si="1"/>
        <v>41.84227016961956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0.9801356408861699</v>
      </c>
      <c r="L47" s="5">
        <f t="shared" si="3"/>
        <v>2.1480537159584934</v>
      </c>
      <c r="N47" s="11">
        <f>IF(+B47&gt;Title_RESULTS!$H$9+Title_RESULTS!$C$19-1,0,+'Value of Defferal'!N46*(1+'Value of Defferal'!$F$7))</f>
        <v>0.17051161813470686</v>
      </c>
      <c r="O47" s="5">
        <f t="shared" si="7"/>
        <v>2.559343921785378</v>
      </c>
      <c r="P47" s="48">
        <f t="shared" si="4"/>
        <v>5.609027967431439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16.201055130228273</v>
      </c>
      <c r="E48" s="11">
        <f>IF(B48&gt;Title_RESULTS!$H$8-1+Title_RESULTS!$C$18,0,+E47*(1+$F$7))</f>
        <v>0.16651525208467466</v>
      </c>
      <c r="F48" s="9">
        <f t="shared" si="1"/>
        <v>42.84648465369043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0.9450543752760323</v>
      </c>
      <c r="L48" s="5">
        <f t="shared" si="3"/>
        <v>2.0711700278127885</v>
      </c>
      <c r="N48" s="11">
        <f>IF(+B48&gt;Title_RESULTS!$H$9+Title_RESULTS!$C$19-1,0,+'Value of Defferal'!N47*(1+'Value of Defferal'!$F$7))</f>
        <v>0.17460389696993983</v>
      </c>
      <c r="O48" s="5">
        <f t="shared" si="7"/>
        <v>2.620768175908227</v>
      </c>
      <c r="P48" s="48">
        <f t="shared" si="4"/>
        <v>5.743644638649794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15.59965744025724</v>
      </c>
      <c r="E49" s="11">
        <f>IF(B49&gt;Title_RESULTS!$H$8-1+Title_RESULTS!$C$18,0,+E48*(1+$F$7))</f>
        <v>0.17051161813470686</v>
      </c>
      <c r="F49" s="9">
        <f t="shared" si="1"/>
        <v>43.87480028537901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0.9099731096658945</v>
      </c>
      <c r="L49" s="5">
        <f t="shared" si="3"/>
        <v>1.9942863396670831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14.998259750286211</v>
      </c>
      <c r="E50" s="11">
        <f>IF(B50&gt;Title_RESULTS!$H$8-1+Title_RESULTS!$C$18,0,+E49*(1+$F$7))</f>
        <v>0.17460389696993983</v>
      </c>
      <c r="F50" s="9">
        <f t="shared" si="1"/>
        <v>44.92779549222811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0.8748918440557569</v>
      </c>
      <c r="L50" s="5">
        <f t="shared" si="3"/>
        <v>1.9174026515213782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14.396862060315184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0.8398105784456196</v>
      </c>
      <c r="L51" s="5">
        <f t="shared" si="3"/>
        <v>1.8405189633756738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614.7483195675574</v>
      </c>
      <c r="F63" s="9">
        <f>SUM(F23:F61)</f>
        <v>857.4096449163803</v>
      </c>
      <c r="J63" t="s">
        <v>87</v>
      </c>
      <c r="K63" s="9">
        <f>SUM(K23:K61)</f>
        <v>35.860046424811024</v>
      </c>
      <c r="O63" s="9">
        <f>SUM(O23:O61)</f>
        <v>50.01518295065991</v>
      </c>
    </row>
    <row r="64" spans="3:15" ht="12.75">
      <c r="C64" t="s">
        <v>89</v>
      </c>
      <c r="D64" s="9">
        <f>NPV(+Title_RESULTS!$C$37,'Value of Defferal'!D24:D61)+'Value of Defferal'!D23</f>
        <v>274.488842621248</v>
      </c>
      <c r="F64" s="9">
        <f>NPV(+Title_RESULTS!$C$37,'Value of Defferal'!F24:F61)+'Value of Defferal'!F23</f>
        <v>318.823962062069</v>
      </c>
      <c r="J64" t="s">
        <v>89</v>
      </c>
      <c r="K64" s="9">
        <f>NPV(+Title_RESULTS!$C$37,'Value of Defferal'!K24:K61)+'Value of Defferal'!K23</f>
        <v>16.01172760653458</v>
      </c>
      <c r="O64" s="9">
        <f>NPV(+Title_RESULTS!$C$37,'Value of Defferal'!O24:O61)+'Value of Defferal'!O23</f>
        <v>21.324613905117676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0.14061477505968853</v>
      </c>
      <c r="C25" t="s">
        <v>372</v>
      </c>
    </row>
    <row r="26" spans="2:3" ht="18">
      <c r="B26" s="15">
        <f>+((Input!$C$6*'EUE_Line Losses'!C4)+(Input!$C$7*'EUE_Line Losses'!C3))/'EUE_Line Losses'!C22</f>
        <v>0.1401611790111089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E11" sqref="E11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v>10.0895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1" sqref="C41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0.11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0.13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1022.63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8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75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171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48.27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Anti-sweat controls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43599.32086111111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0.13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0.1401611790111089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1078.723628691983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1022.63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8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75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171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10.0895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48.27</v>
      </c>
      <c r="D39" s="13" t="s">
        <v>189</v>
      </c>
      <c r="G39" s="20" t="s">
        <v>346</v>
      </c>
      <c r="H39" s="79">
        <f>+'Sheet7(F_23)'!H29</f>
        <v>0.9968057516100859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+'Sheet8(F_24)'!K27</f>
        <v>598.8698402805152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+'Sheet9(F_25)'!J29</f>
        <v>0.8006830762626812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2019-05-14T11:42:04Z</dcterms:created>
  <dcterms:modified xsi:type="dcterms:W3CDTF">2019-05-14T11:42:08Z</dcterms:modified>
  <cp:category/>
  <cp:version/>
  <cp:contentType/>
  <cp:contentStatus/>
</cp:coreProperties>
</file>