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'Sheet2(F_12)'!$A$1:$K$45</definedName>
    <definedName name="_xlnm.Print_Area" localSheetId="11">'Sheet3(F_21)'!$A$1:$J$34</definedName>
    <definedName name="_xlnm.Print_Area" localSheetId="14">'Sheet4(F_22)'!$A$1:$J$34</definedName>
    <definedName name="_xlnm.Print_Area" localSheetId="12">'Sheet5(p_5)'!$A$1:$H$34</definedName>
    <definedName name="_xlnm.Print_Area" localSheetId="15">'Sheet6(p_6)'!$A$1:$R$34</definedName>
    <definedName name="_xlnm.Print_Area" localSheetId="16">'Sheet7(F_23)'!$A$1:$M$34</definedName>
    <definedName name="_xlnm.Print_Area" localSheetId="17">'Sheet8(F_24)'!$A$1:$M$34</definedName>
    <definedName name="_xlnm.Print_Area" localSheetId="18">'Sheet9(F_25)'!$A$1:$N$34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<sst xmlns="http://schemas.openxmlformats.org/spreadsheetml/2006/main" count="1258" uniqueCount="468">
  <si>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</si>
  <si>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</si>
  <si>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</si>
  <si>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</si>
  <si>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</si>
  <si>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</si>
  <si>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</si>
  <si>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</si>
  <si>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</si>
  <si>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</si>
  <si>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</si>
  <si>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</si>
  <si>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</si>
  <si>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</si>
  <si>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</si>
  <si>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</si>
  <si>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</si>
  <si>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</si>
  <si>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</si>
  <si>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</si>
  <si>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</si>
  <si>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</si>
  <si>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</si>
  <si>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</si>
  <si>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</si>
  <si>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</si>
  <si>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</si>
  <si>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</si>
  <si>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</si>
  <si>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</si>
  <si>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</si>
  <si>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</si>
  <si>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</si>
  <si>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</si>
  <si>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</si>
  <si>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</si>
  <si>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</si>
  <si>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</si>
  <si>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</si>
  <si>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</si>
  <si>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</si>
  <si>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</si>
  <si>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</si>
  <si>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</si>
  <si>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</si>
  <si>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</si>
  <si>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</si>
  <si>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</si>
  <si>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</si>
  <si>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</si>
  <si>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</si>
  <si>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</si>
  <si>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</si>
  <si>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</si>
  <si>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</si>
  <si>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</si>
  <si>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</si>
  <si>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</si>
  <si>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</si>
  <si>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</si>
  <si>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</si>
  <si>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</si>
  <si>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</si>
  <si>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</si>
  <si>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</si>
  <si>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</si>
  <si>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</si>
  <si>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</si>
  <si>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</si>
  <si>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</si>
  <si>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</si>
  <si>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</si>
  <si>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</si>
  <si>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</si>
  <si>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</si>
  <si>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</si>
  <si>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</si>
  <si>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</si>
  <si>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</si>
  <si>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</si>
  <si>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</si>
  <si>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</si>
  <si>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</si>
  <si>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</si>
  <si>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</si>
  <si>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</si>
  <si>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</si>
  <si>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</si>
  <si>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</si>
  <si>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</si>
  <si>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</si>
  <si>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</si>
  <si>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</si>
  <si>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</si>
  <si>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</si>
  <si>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</si>
  <si>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</si>
  <si>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</si>
  <si>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</si>
  <si>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</si>
  <si>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</si>
  <si>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</si>
  <si>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</si>
  <si>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</si>
  <si>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</si>
  <si>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</si>
  <si>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</si>
  <si>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</si>
  <si>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</si>
  <si>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</si>
  <si>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</si>
  <si>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</si>
  <si>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</si>
  <si>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</si>
  <si>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</si>
  <si>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</si>
  <si>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</si>
  <si>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</si>
  <si>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</si>
  <si>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</si>
  <si>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</si>
  <si>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</si>
  <si>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</si>
  <si>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</si>
  <si>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</si>
  <si>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</si>
  <si>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</si>
  <si>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</si>
  <si>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</si>
  <si>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</si>
  <si>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</si>
  <si>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</si>
  <si>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</si>
  <si>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</si>
  <si>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</si>
  <si>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</si>
  <si>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</si>
  <si>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</si>
  <si>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</si>
  <si>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</si>
  <si>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</si>
  <si>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</si>
  <si>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</si>
  <si>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</si>
  <si>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</si>
  <si>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</si>
  <si>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</si>
  <si>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</si>
  <si>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</si>
  <si>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</si>
  <si>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</si>
  <si>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</si>
  <si>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</si>
  <si>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</si>
  <si>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</si>
  <si>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</si>
  <si>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</si>
  <si>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</si>
  <si>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</si>
  <si>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</si>
  <si>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</si>
  <si>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</si>
  <si>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</si>
  <si>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</si>
  <si>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</si>
  <si>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</si>
  <si>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</si>
  <si>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</si>
  <si>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</si>
  <si>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</si>
  <si>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</si>
  <si>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</si>
  <si>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</si>
  <si>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</si>
  <si>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</si>
  <si>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</si>
  <si>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</si>
  <si>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</si>
  <si>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</si>
  <si>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</si>
  <si>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</si>
  <si>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</si>
  <si>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</si>
  <si>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</si>
  <si>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</si>
  <si>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</si>
  <si>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</si>
  <si>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</si>
  <si>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</si>
  <si>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</si>
  <si>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</si>
  <si>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</si>
  <si>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</si>
  <si>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</si>
  <si>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</si>
  <si>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</si>
  <si>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</si>
  <si>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</si>
  <si>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</si>
  <si>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</si>
  <si>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</si>
  <si>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</si>
  <si>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</si>
  <si>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</si>
  <si>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</si>
  <si>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</si>
  <si>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</si>
  <si>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</si>
  <si>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</si>
  <si>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</si>
  <si>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</si>
  <si>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</si>
  <si>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</si>
  <si>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</si>
  <si>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</si>
  <si>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</si>
  <si>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</si>
  <si>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</si>
  <si>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</si>
  <si>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</si>
  <si>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</si>
  <si>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</si>
  <si>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</si>
  <si>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</si>
  <si>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</si>
  <si>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</si>
  <si>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</si>
  <si>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</si>
  <si>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</si>
  <si>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</si>
  <si>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</si>
  <si>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</si>
  <si>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</si>
  <si>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</si>
  <si>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</si>
  <si>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</si>
  <si>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</si>
  <si>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</si>
  <si>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</si>
  <si>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</si>
  <si>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</si>
  <si>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</si>
  <si>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</si>
  <si>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</si>
  <si>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</si>
  <si>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</si>
  <si>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</si>
  <si>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</si>
  <si>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</si>
  <si>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</si>
  <si>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</si>
  <si>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</si>
  <si>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</si>
  <si>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</si>
  <si>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</si>
  <si>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</si>
  <si>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</si>
  <si>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</si>
  <si>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</si>
  <si>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</si>
  <si>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</si>
  <si>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</si>
  <si>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</si>
  <si>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</si>
  <si>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</si>
  <si>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</si>
  <si>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</si>
  <si>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</si>
  <si>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</si>
  <si>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</si>
  <si>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</si>
  <si>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</si>
  <si>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</si>
  <si>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</si>
  <si>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</si>
  <si>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</si>
  <si>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</si>
  <si>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</si>
  <si>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</si>
  <si>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</si>
  <si>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</si>
  <si>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</si>
  <si>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</si>
  <si>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</si>
  <si>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</si>
  <si>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</si>
  <si>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</si>
  <si>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</si>
  <si>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</si>
  <si>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</si>
  <si>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</si>
  <si>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</si>
  <si>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</si>
  <si>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</si>
  <si>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</si>
  <si>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</si>
  <si>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</si>
  <si>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</si>
  <si>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</si>
  <si>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</si>
  <si>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</si>
  <si>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</si>
  <si>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</si>
  <si>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</si>
  <si>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</si>
  <si>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</si>
  <si>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</si>
  <si>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</si>
  <si>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</si>
  <si>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</si>
  <si>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</si>
  <si>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</si>
  <si>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</si>
  <si>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</si>
  <si>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</si>
  <si>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</si>
  <si>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</si>
  <si>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</si>
  <si>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</si>
  <si>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</si>
  <si>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</si>
  <si>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</si>
  <si>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</si>
  <si>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</si>
  <si>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</si>
  <si>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</si>
  <si>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</si>
  <si>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</si>
  <si>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</si>
  <si>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</si>
  <si>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</si>
  <si>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</si>
  <si>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</si>
  <si>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</si>
  <si>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</si>
  <si>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</si>
  <si>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</si>
  <si>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</si>
  <si>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</si>
  <si>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</si>
  <si>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</si>
  <si>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</si>
  <si>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</si>
  <si>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</si>
  <si>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</si>
  <si>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</si>
  <si>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</si>
  <si>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</si>
  <si>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</si>
  <si>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</si>
  <si>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</si>
  <si>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</si>
  <si>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</si>
  <si>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</si>
  <si>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</si>
  <si>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</si>
  <si>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</si>
  <si>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</si>
  <si>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</si>
  <si>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</si>
  <si>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</si>
  <si>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</si>
  <si>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</si>
  <si>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</si>
  <si>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</si>
  <si>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</si>
  <si>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</si>
  <si>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</si>
  <si>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</si>
  <si>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</si>
  <si>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</si>
  <si>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</si>
  <si>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</si>
  <si>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</si>
  <si>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</si>
  <si>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</si>
  <si>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</si>
  <si>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</si>
  <si>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</si>
  <si>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</si>
  <si>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</si>
  <si>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</si>
  <si>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</si>
  <si>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</si>
  <si>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</si>
  <si>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</si>
  <si>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</si>
  <si>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</si>
  <si>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</si>
  <si>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</si>
  <si>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</si>
  <si>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</si>
  <si>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</si>
  <si>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</si>
  <si>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</si>
  <si>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</si>
  <si>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</si>
  <si>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</si>
  <si>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</si>
  <si>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</si>
  <si>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</si>
  <si>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</si>
  <si>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</si>
  <si>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</si>
  <si>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</si>
  <si>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</si>
  <si>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</si>
  <si>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</si>
  <si>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</si>
  <si>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</si>
  <si>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</si>
  <si>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</si>
  <si>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</si>
  <si>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</si>
  <si>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</si>
  <si>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</si>
  <si>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</si>
  <si>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</si>
  <si>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</si>
  <si>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</si>
  <si>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</si>
  <si>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</si>
  <si>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</si>
  <si>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</si>
  <si>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</si>
  <si>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</si>
  <si>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</si>
  <si>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</si>
  <si>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</si>
  <si>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</si>
  <si>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</si>
  <si>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</si>
  <si>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</si>
  <si>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</si>
  <si>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</si>
  <si>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</si>
  <si>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</si>
  <si>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</si>
  <si>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</si>
  <si>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</si>
  <si>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</si>
  <si>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</si>
  <si>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</si>
  <si>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</si>
  <si>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</si>
  <si>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</si>
  <si>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</si>
  <si>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</si>
  <si>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</si>
  <si>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</si>
  <si>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</si>
  <si>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</si>
  <si>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</si>
  <si>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</si>
  <si>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</si>
  <si>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</si>
  <si>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</si>
  <si>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</si>
  <si>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</si>
  <si>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</si>
  <si>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</si>
  <si>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</si>
  <si>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</si>
  <si>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</si>
  <si>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</si>
  <si>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</si>
  <si>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</si>
  <si>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Chilled Water VSD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</si>
</sst>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43599.320956365744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3440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43599.320956365744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Chilled Water VSD</v>
      </c>
      <c r="J2" t="s">
        <v>55</v>
      </c>
    </row>
    <row r="3" ht="12.75">
      <c r="J3" s="35">
        <f>+Title_RESULTS!I4</f>
        <v>43599.320956365744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3440</v>
      </c>
      <c r="H5" t="s">
        <v>59</v>
      </c>
    </row>
    <row r="6" spans="3:7" ht="12.75">
      <c r="C6" t="s">
        <v>61</v>
      </c>
      <c r="G6" s="36">
        <f>+'Value of Defferal'!E3</f>
        <v>2107.5133239038187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8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208.26932144001572</v>
      </c>
      <c r="D19" s="5">
        <f>IF((Title_RESULTS!$H$8-Title_RESULTS!$H$7)&lt;=('Sheet3(F_21)'!A19-Title_RESULTS!$H$7),((Title_RESULTS!$C$8*Partcipation!$C$26*8760*Title_RESULTS!$H$21/100000)),0)</f>
        <v>2741.851332398317</v>
      </c>
      <c r="E19" s="5">
        <f>IF($G19=0,0,((Title_RESULTS!$H$14*((1+Title_RESULTS!$H$15/100)^($A19-Title_RESULTS!$H$7))*'EUE_Line Losses'!$B$25*Partcipation!$C$26))/1000)</f>
        <v>21.60081033098689</v>
      </c>
      <c r="F19" s="5">
        <f>IF($G19=0,0,(Title_RESULTS!$H$19/100*((1+Title_RESULTS!$H$20/100)^($A19-Title_RESULTS!$H$7))*$D19*1000)/1000)</f>
        <v>6.1824849466510186</v>
      </c>
      <c r="G19" s="5">
        <f>(+Title_RESULTS!$H$22/100*((1+Title_RESULTS!$H$23/100)^(+'Sheet4(F_22)'!A19-Title_RESULTS!$H$7)))*'Sheet3(F_21)'!D19</f>
        <v>117.46883400182612</v>
      </c>
      <c r="H19" s="5">
        <f>IF($G19=0,0,(($D19))*(Partcipation!$G19/100))</f>
        <v>86.98873151734212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266.5327192021376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213.26778515457607</v>
      </c>
      <c r="D20" s="5">
        <f>IF((Title_RESULTS!$H$8-Title_RESULTS!$H$7)&lt;=('Sheet3(F_21)'!A20-Title_RESULTS!$H$7),((Title_RESULTS!$C$8*Partcipation!$C$26*8760*Title_RESULTS!$H$21/100000)),0)</f>
        <v>2741.851332398317</v>
      </c>
      <c r="E20" s="5">
        <f>IF($G20=0,0,((Title_RESULTS!$H$14*((1+Title_RESULTS!$H$15/100)^($A20-Title_RESULTS!$H$7))*'EUE_Line Losses'!$B$25*Partcipation!$C$26))/1000)</f>
        <v>22.119229778930574</v>
      </c>
      <c r="F20" s="5">
        <f>IF($G20=0,0,(Title_RESULTS!$H$19/100*((1+Title_RESULTS!$H$20/100)^($A20-Title_RESULTS!$H$7))*$D20*1000)/1000)</f>
        <v>6.330864585370642</v>
      </c>
      <c r="G20" s="5">
        <f>(+Title_RESULTS!$H$22/100*((1+Title_RESULTS!$H$23/100)^(+'Sheet4(F_22)'!A20-Title_RESULTS!$H$7)))*'Sheet3(F_21)'!D20</f>
        <v>122.80191906550904</v>
      </c>
      <c r="H20" s="5">
        <f>IF($G20=0,0,(($D20))*(Partcipation!$G20/100))</f>
        <v>90.88012046571018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273.6396781186761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218.38621199828592</v>
      </c>
      <c r="D21" s="5">
        <f>IF((Title_RESULTS!$H$8-Title_RESULTS!$H$7)&lt;=('Sheet3(F_21)'!A21-Title_RESULTS!$H$7),((Title_RESULTS!$C$8*Partcipation!$C$26*8760*Title_RESULTS!$H$21/100000)),0)</f>
        <v>2741.851332398317</v>
      </c>
      <c r="E21" s="5">
        <f>IF($G21=0,0,((Title_RESULTS!$H$14*((1+Title_RESULTS!$H$15/100)^($A21-Title_RESULTS!$H$7))*'EUE_Line Losses'!$B$25*Partcipation!$C$26))/1000)</f>
        <v>22.65009129362491</v>
      </c>
      <c r="F21" s="5">
        <f>IF($G21=0,0,(Title_RESULTS!$H$19/100*((1+Title_RESULTS!$H$20/100)^($A21-Title_RESULTS!$H$7))*$D21*1000)/1000)</f>
        <v>6.482805335419538</v>
      </c>
      <c r="G21" s="5">
        <f>(+Title_RESULTS!$H$22/100*((1+Title_RESULTS!$H$23/100)^(+'Sheet4(F_22)'!A21-Title_RESULTS!$H$7)))*'Sheet3(F_21)'!D21</f>
        <v>128.37712619108316</v>
      </c>
      <c r="H21" s="5">
        <f>IF($G21=0,0,(($D21))*(Partcipation!$G21/100))</f>
        <v>94.48154635397245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281.41468846444104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223.62748108624476</v>
      </c>
      <c r="D22" s="5">
        <f>IF((Title_RESULTS!$H$8-Title_RESULTS!$H$7)&lt;=('Sheet3(F_21)'!A22-Title_RESULTS!$H$7),((Title_RESULTS!$C$8*Partcipation!$C$26*8760*Title_RESULTS!$H$21/100000)),0)</f>
        <v>2741.851332398317</v>
      </c>
      <c r="E22" s="5">
        <f>IF($G22=0,0,((Title_RESULTS!$H$14*((1+Title_RESULTS!$H$15/100)^($A22-Title_RESULTS!$H$7))*'EUE_Line Losses'!$B$25*Partcipation!$C$26))/1000)</f>
        <v>23.1936934846719</v>
      </c>
      <c r="F22" s="5">
        <f>IF($G22=0,0,(Title_RESULTS!$H$19/100*((1+Title_RESULTS!$H$20/100)^($A22-Title_RESULTS!$H$7))*$D22*1000)/1000)</f>
        <v>6.638392663469606</v>
      </c>
      <c r="G22" s="5">
        <f>(+Title_RESULTS!$H$22/100*((1+Title_RESULTS!$H$23/100)^(+'Sheet4(F_22)'!A22-Title_RESULTS!$H$7)))*'Sheet3(F_21)'!D22</f>
        <v>134.20544772015836</v>
      </c>
      <c r="H22" s="5">
        <f>IF($G22=0,0,(($D22))*(Partcipation!$G22/100))</f>
        <v>97.54278222675276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290.12223272779187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228.99454063231465</v>
      </c>
      <c r="D23" s="5">
        <f>IF((Title_RESULTS!$H$8-Title_RESULTS!$H$7)&lt;=('Sheet3(F_21)'!A23-Title_RESULTS!$H$7),((Title_RESULTS!$C$8*Partcipation!$C$26*8760*Title_RESULTS!$H$21/100000)),0)</f>
        <v>2741.851332398317</v>
      </c>
      <c r="E23" s="5">
        <f>IF($G23=0,0,((Title_RESULTS!$H$14*((1+Title_RESULTS!$H$15/100)^($A23-Title_RESULTS!$H$7))*'EUE_Line Losses'!$B$25*Partcipation!$C$26))/1000)</f>
        <v>23.750342128304034</v>
      </c>
      <c r="F23" s="5">
        <f>IF($G23=0,0,(Title_RESULTS!$H$19/100*((1+Title_RESULTS!$H$20/100)^($A23-Title_RESULTS!$H$7))*$D23*1000)/1000)</f>
        <v>6.797714087392878</v>
      </c>
      <c r="G23" s="5">
        <f>(+Title_RESULTS!$H$22/100*((1+Title_RESULTS!$H$23/100)^(+'Sheet4(F_22)'!A23-Title_RESULTS!$H$7)))*'Sheet3(F_21)'!D23</f>
        <v>140.29837504665358</v>
      </c>
      <c r="H23" s="5">
        <f>IF($G23=0,0,(($D23))*(Partcipation!$G23/100))</f>
        <v>101.90876486330987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297.93220703135535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234.4904096074902</v>
      </c>
      <c r="D24" s="5">
        <f>IF((Title_RESULTS!$H$8-Title_RESULTS!$H$7)&lt;=('Sheet3(F_21)'!A24-Title_RESULTS!$H$7),((Title_RESULTS!$C$8*Partcipation!$C$26*8760*Title_RESULTS!$H$21/100000)),0)</f>
        <v>2741.851332398317</v>
      </c>
      <c r="E24" s="5">
        <f>IF($G24=0,0,((Title_RESULTS!$H$14*((1+Title_RESULTS!$H$15/100)^($A24-Title_RESULTS!$H$7))*'EUE_Line Losses'!$B$25*Partcipation!$C$26))/1000)</f>
        <v>24.320350339383324</v>
      </c>
      <c r="F24" s="5">
        <f>IF($G24=0,0,(Title_RESULTS!$H$19/100*((1+Title_RESULTS!$H$20/100)^($A24-Title_RESULTS!$H$7))*$D24*1000)/1000)</f>
        <v>6.960859225490306</v>
      </c>
      <c r="G24" s="5">
        <f>(+Title_RESULTS!$H$22/100*((1+Title_RESULTS!$H$23/100)^(+'Sheet4(F_22)'!A24-Title_RESULTS!$H$7)))*'Sheet3(F_21)'!D24</f>
        <v>146.66792127377167</v>
      </c>
      <c r="H24" s="5">
        <f>IF($G24=0,0,(($D24))*(Partcipation!$G24/100))</f>
        <v>109.68077466148638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302.7587657846491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240.11817943806994</v>
      </c>
      <c r="D25" s="5">
        <f>IF((Title_RESULTS!$H$8-Title_RESULTS!$H$7)&lt;=('Sheet3(F_21)'!A25-Title_RESULTS!$H$7),((Title_RESULTS!$C$8*Partcipation!$C$26*8760*Title_RESULTS!$H$21/100000)),0)</f>
        <v>2741.851332398317</v>
      </c>
      <c r="E25" s="5">
        <f>IF($G25=0,0,((Title_RESULTS!$H$14*((1+Title_RESULTS!$H$15/100)^($A25-Title_RESULTS!$H$7))*'EUE_Line Losses'!$B$25*Partcipation!$C$26))/1000)</f>
        <v>24.904038747528528</v>
      </c>
      <c r="F25" s="5">
        <f>IF($G25=0,0,(Title_RESULTS!$H$19/100*((1+Title_RESULTS!$H$20/100)^($A25-Title_RESULTS!$H$7))*$D25*1000)/1000)</f>
        <v>7.127919846902072</v>
      </c>
      <c r="G25" s="5">
        <f>(+Title_RESULTS!$H$22/100*((1+Title_RESULTS!$H$23/100)^(+'Sheet4(F_22)'!A25-Title_RESULTS!$H$7)))*'Sheet3(F_21)'!D25</f>
        <v>153.3266448996009</v>
      </c>
      <c r="H25" s="5">
        <f>IF($G25=0,0,(($D25))*(Partcipation!$G25/100))</f>
        <v>114.49418713915502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310.9825957929464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245.88101574458364</v>
      </c>
      <c r="D26" s="5">
        <f>IF((Title_RESULTS!$H$8-Title_RESULTS!$H$7)&lt;=('Sheet3(F_21)'!A26-Title_RESULTS!$H$7),((Title_RESULTS!$C$8*Partcipation!$C$26*8760*Title_RESULTS!$H$21/100000)),0)</f>
        <v>2741.851332398317</v>
      </c>
      <c r="E26" s="5">
        <f>IF($G26=0,0,((Title_RESULTS!$H$14*((1+Title_RESULTS!$H$15/100)^($A26-Title_RESULTS!$H$7))*'EUE_Line Losses'!$B$25*Partcipation!$C$26))/1000)</f>
        <v>25.501735677469206</v>
      </c>
      <c r="F26" s="5">
        <f>IF($G26=0,0,(Title_RESULTS!$H$19/100*((1+Title_RESULTS!$H$20/100)^($A26-Title_RESULTS!$H$7))*$D26*1000)/1000)</f>
        <v>7.298989923227722</v>
      </c>
      <c r="G26" s="5">
        <f>(+Title_RESULTS!$H$22/100*((1+Title_RESULTS!$H$23/100)^(+'Sheet4(F_22)'!A26-Title_RESULTS!$H$7)))*'Sheet3(F_21)'!D26</f>
        <v>160.2876745780428</v>
      </c>
      <c r="H26" s="5">
        <f>IF($G26=0,0,(($D26))*(Partcipation!$G26/100))</f>
        <v>123.00716275203305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315.9622531712903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251.78216012245366</v>
      </c>
      <c r="D27" s="5">
        <f>IF((Title_RESULTS!$H$8-Title_RESULTS!$H$7)&lt;=('Sheet3(F_21)'!A27-Title_RESULTS!$H$7),((Title_RESULTS!$C$8*Partcipation!$C$26*8760*Title_RESULTS!$H$21/100000)),0)</f>
        <v>2741.851332398317</v>
      </c>
      <c r="E27" s="5">
        <f>IF($G27=0,0,((Title_RESULTS!$H$14*((1+Title_RESULTS!$H$15/100)^($A27-Title_RESULTS!$H$7))*'EUE_Line Losses'!$B$25*Partcipation!$C$26))/1000)</f>
        <v>26.11377733372848</v>
      </c>
      <c r="F27" s="5">
        <f>IF($G27=0,0,(Title_RESULTS!$H$19/100*((1+Title_RESULTS!$H$20/100)^($A27-Title_RESULTS!$H$7))*$D27*1000)/1000)</f>
        <v>7.474165681385189</v>
      </c>
      <c r="G27" s="5">
        <f>(+Title_RESULTS!$H$22/100*((1+Title_RESULTS!$H$23/100)^(+'Sheet4(F_22)'!A27-Title_RESULTS!$H$7)))*'Sheet3(F_21)'!D27</f>
        <v>167.56473500388597</v>
      </c>
      <c r="H27" s="5">
        <f>IF($G27=0,0,(($D27))*(Partcipation!$G27/100))</f>
        <v>126.06598884071987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326.8688493007335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257.8249319653926</v>
      </c>
      <c r="D28" s="5">
        <f>IF((Title_RESULTS!$H$8-Title_RESULTS!$H$7)&lt;=('Sheet3(F_21)'!A28-Title_RESULTS!$H$7),((Title_RESULTS!$C$8*Partcipation!$C$26*8760*Title_RESULTS!$H$21/100000)),0)</f>
        <v>2741.851332398317</v>
      </c>
      <c r="E28" s="5">
        <f>IF($G28=0,0,((Title_RESULTS!$H$14*((1+Title_RESULTS!$H$15/100)^($A28-Title_RESULTS!$H$7))*'EUE_Line Losses'!$B$25*Partcipation!$C$26))/1000)</f>
        <v>26.740507989737957</v>
      </c>
      <c r="F28" s="5">
        <f>IF($G28=0,0,(Title_RESULTS!$H$19/100*((1+Title_RESULTS!$H$20/100)^($A28-Title_RESULTS!$H$7))*$D28*1000)/1000)</f>
        <v>7.653545657738432</v>
      </c>
      <c r="G28" s="5">
        <f>(+Title_RESULTS!$H$22/100*((1+Title_RESULTS!$H$23/100)^(+'Sheet4(F_22)'!A28-Title_RESULTS!$H$7)))*'Sheet3(F_21)'!D28</f>
        <v>175.1721739730624</v>
      </c>
      <c r="H28" s="5">
        <f>IF($G28=0,0,(($D28))*(Partcipation!$G28/100))</f>
        <v>133.63119767252113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333.7599619134103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87</v>
      </c>
      <c r="B30" s="9"/>
      <c r="C30" s="9">
        <f aca="true" t="shared" si="1" ref="C30:J30">SUM(C16:C29)</f>
        <v>2322.6420371894274</v>
      </c>
      <c r="D30" s="9">
        <f t="shared" si="1"/>
        <v>27418.51332398317</v>
      </c>
      <c r="E30" s="9">
        <f t="shared" si="1"/>
        <v>240.89457710436577</v>
      </c>
      <c r="F30" s="9">
        <f t="shared" si="1"/>
        <v>68.9477419530474</v>
      </c>
      <c r="G30" s="9">
        <f t="shared" si="1"/>
        <v>1446.170851753594</v>
      </c>
      <c r="H30" s="9">
        <f t="shared" si="1"/>
        <v>1078.6812564930028</v>
      </c>
      <c r="I30" s="9">
        <f t="shared" si="1"/>
        <v>0</v>
      </c>
      <c r="J30" s="9">
        <f t="shared" si="1"/>
        <v>2999.9739515074316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89</v>
      </c>
      <c r="C32" s="5">
        <f>NPV(Title_RESULTS!$C$37,C17:C29)+'Sheet3(F_21)'!C16</f>
        <v>1398.7310645405528</v>
      </c>
      <c r="D32" s="5"/>
      <c r="E32" s="5">
        <f>NPV(Title_RESULTS!$C$37,E17:E29)+'Sheet3(F_21)'!E16</f>
        <v>145.07045118453422</v>
      </c>
      <c r="F32" s="5">
        <f>NPV(Title_RESULTS!$C$37,F17:F29)+'Sheet3(F_21)'!F16</f>
        <v>41.521399748861974</v>
      </c>
      <c r="G32" s="5">
        <f>NPV(Title_RESULTS!$C$37,G17:G29)+'Sheet3(F_21)'!G16</f>
        <v>860.8215044212166</v>
      </c>
      <c r="H32" s="5">
        <f>NPV(Title_RESULTS!$C$37,H17:H29)+'Sheet3(F_21)'!H16</f>
        <v>640.5122476059778</v>
      </c>
      <c r="I32" s="5">
        <f>NPV(Title_RESULTS!$C$37,I17:I29)+'Sheet3(F_21)'!I16</f>
        <v>0</v>
      </c>
      <c r="J32" s="5">
        <f>NPV(Title_RESULTS!$C$37,J17:J29)+'Sheet3(F_21)'!J16</f>
        <v>1805.6321722891876</v>
      </c>
    </row>
    <row r="34" ht="12.75">
      <c r="A34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Chilled Water VSD</v>
      </c>
      <c r="F2" t="s">
        <v>55</v>
      </c>
    </row>
    <row r="3" spans="6:7" ht="12.75">
      <c r="F3" s="35">
        <f>+Title_RESULTS!I4</f>
        <v>43599.320956365744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4761.292194092827</v>
      </c>
      <c r="C16" s="5">
        <f>$B16*'Sheet2(F_12)'!$E16/100</f>
        <v>138.11126087976575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138.11126087976575</v>
      </c>
      <c r="G16" s="5">
        <f>+$F16*'Sheet2(F_12)'!$I16</f>
        <v>138.11126087976575</v>
      </c>
    </row>
    <row r="17" spans="1:7" ht="12.75">
      <c r="A17">
        <f>+A16+1</f>
        <v>2021</v>
      </c>
      <c r="B17" s="5">
        <f>(+Partcipation!$C16+(Partcipation!$C17-Partcipation!$C16)/2)*Title_RESULTS!$C$10/1000</f>
        <v>14283.876582278483</v>
      </c>
      <c r="C17" s="5">
        <f>$B17*'Sheet2(F_12)'!$E17/100</f>
        <v>410.96365247793966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410.96365247793966</v>
      </c>
      <c r="G17" s="5">
        <f>+$F17*'Sheet2(F_12)'!$I17</f>
        <v>410.96365247793966</v>
      </c>
    </row>
    <row r="18" spans="1:7" ht="12.75">
      <c r="A18">
        <f>+A17+1</f>
        <v>2022</v>
      </c>
      <c r="B18" s="5">
        <f>(+Partcipation!$C17+(Partcipation!$C18-Partcipation!$C17)/2)*Title_RESULTS!$C$10/1000</f>
        <v>23806.460970464137</v>
      </c>
      <c r="C18" s="5">
        <f>$B18*'Sheet2(F_12)'!$E18/100</f>
        <v>706.9033269110971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706.9033269110971</v>
      </c>
      <c r="G18" s="5">
        <f>+$F18*'Sheet2(F_12)'!$I18</f>
        <v>706.9033269110971</v>
      </c>
    </row>
    <row r="19" spans="1:7" ht="12.75">
      <c r="A19">
        <f aca="true" t="shared" si="0" ref="A19:A28">+A18+1</f>
        <v>2023</v>
      </c>
      <c r="B19" s="5">
        <f>(+Partcipation!$C18+(Partcipation!$C19-Partcipation!$C18)/2)*Title_RESULTS!$C$10/1000</f>
        <v>28567.753164556965</v>
      </c>
      <c r="C19" s="5">
        <f>$B19*'Sheet2(F_12)'!$E19/100</f>
        <v>883.0838203776759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8">+C19-E19</f>
        <v>883.0838203776759</v>
      </c>
      <c r="G19" s="5">
        <f>+$F19*'Sheet2(F_12)'!$I19</f>
        <v>883.0838203776759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28567.753164556965</v>
      </c>
      <c r="C20" s="5">
        <f>$B20*'Sheet2(F_12)'!$E20/100</f>
        <v>917.7856859770451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917.7856859770451</v>
      </c>
      <c r="G20" s="5">
        <f>+$F20*'Sheet2(F_12)'!$I20</f>
        <v>917.7856859770451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28567.753164556965</v>
      </c>
      <c r="C21" s="5">
        <f>$B21*'Sheet2(F_12)'!$E21/100</f>
        <v>985.4255132783751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985.4255132783751</v>
      </c>
      <c r="G21" s="5">
        <f>+$F21*'Sheet2(F_12)'!$I21</f>
        <v>985.4255132783751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28567.753164556965</v>
      </c>
      <c r="C22" s="5">
        <f>$B22*'Sheet2(F_12)'!$E22/100</f>
        <v>1017.0326666654624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1017.0326666654624</v>
      </c>
      <c r="G22" s="5">
        <f>+$F22*'Sheet2(F_12)'!$I22</f>
        <v>1017.0326666654624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28567.753164556965</v>
      </c>
      <c r="C23" s="5">
        <f>$B23*'Sheet2(F_12)'!$E23/100</f>
        <v>1080.5926562975649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1080.5926562975649</v>
      </c>
      <c r="G23" s="5">
        <f>+$F23*'Sheet2(F_12)'!$I23</f>
        <v>1080.5926562975649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28567.753164556965</v>
      </c>
      <c r="C24" s="5">
        <f>$B24*'Sheet2(F_12)'!$E24/100</f>
        <v>1197.42162349746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1197.42162349746</v>
      </c>
      <c r="G24" s="5">
        <f>+$F24*'Sheet2(F_12)'!$I24</f>
        <v>1197.42162349746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28567.753164556965</v>
      </c>
      <c r="C25" s="5">
        <f>$B25*'Sheet2(F_12)'!$E25/100</f>
        <v>1282.8747419946824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1282.8747419946824</v>
      </c>
      <c r="G25" s="5">
        <f>+$F25*'Sheet2(F_12)'!$I25</f>
        <v>1282.8747419946824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28567.753164556965</v>
      </c>
      <c r="C26" s="5">
        <f>$B26*'Sheet2(F_12)'!$E26/100</f>
        <v>1432.9000152821134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1432.9000152821134</v>
      </c>
      <c r="G26" s="5">
        <f>+$F26*'Sheet2(F_12)'!$I26</f>
        <v>1432.9000152821134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28567.753164556965</v>
      </c>
      <c r="C27" s="5">
        <f>$B27*'Sheet2(F_12)'!$E27/100</f>
        <v>1427.5712814155736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1427.5712814155736</v>
      </c>
      <c r="G27" s="5">
        <f>+$F27*'Sheet2(F_12)'!$I27</f>
        <v>1427.5712814155736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28567.753164556965</v>
      </c>
      <c r="C28" s="5">
        <f>$B28*'Sheet2(F_12)'!$E28/100</f>
        <v>1560.2034688981878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1560.2034688981878</v>
      </c>
      <c r="G28" s="5">
        <f>+$F28*'Sheet2(F_12)'!$I28</f>
        <v>1560.2034688981878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87</v>
      </c>
      <c r="B30" s="5">
        <f aca="true" t="shared" si="2" ref="B30:G30">SUM(B16:B29)</f>
        <v>328529.1613924051</v>
      </c>
      <c r="C30" s="5">
        <f t="shared" si="2"/>
        <v>13040.869713952943</v>
      </c>
      <c r="D30" s="5">
        <f t="shared" si="2"/>
        <v>0</v>
      </c>
      <c r="E30" s="5">
        <f t="shared" si="2"/>
        <v>0</v>
      </c>
      <c r="F30" s="5">
        <f t="shared" si="2"/>
        <v>13040.869713952943</v>
      </c>
      <c r="G30" s="5">
        <f t="shared" si="2"/>
        <v>13040.869713952943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118</v>
      </c>
      <c r="B32" s="5"/>
      <c r="C32" s="5">
        <f>NPV(+Title_RESULTS!$C$37,C17:C29)+C16</f>
        <v>8067.913656007199</v>
      </c>
      <c r="D32" s="5"/>
      <c r="E32" s="5">
        <f>NPV(+Title_RESULTS!$C$37,E17:E29)+E16</f>
        <v>0</v>
      </c>
      <c r="F32" s="5">
        <f>NPV(+Title_RESULTS!$C$37,F17:F29)+F16</f>
        <v>8067.913656007199</v>
      </c>
      <c r="G32" s="5">
        <f>NPV(+Title_RESULTS!$C$37,G17:G29)+G16</f>
        <v>8067.913656007199</v>
      </c>
    </row>
    <row r="33" spans="6:7" ht="12.75">
      <c r="F33" s="9"/>
      <c r="G33" s="9"/>
    </row>
    <row r="34" ht="12.75">
      <c r="A34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Chilled Water VSD</v>
      </c>
      <c r="J2" t="s">
        <v>42</v>
      </c>
    </row>
    <row r="3" spans="9:10" ht="12.75">
      <c r="I3" s="4"/>
      <c r="J3" s="35">
        <f>+Title_RESULTS!I4</f>
        <v>43599.320956365744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8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Chilled Water VSD</v>
      </c>
      <c r="H2" t="s">
        <v>108</v>
      </c>
    </row>
    <row r="3" ht="12.75">
      <c r="H3" s="35">
        <f>+Title_RESULTS!I4</f>
        <v>43599.320956365744</v>
      </c>
    </row>
    <row r="5" spans="3:6" ht="12.75">
      <c r="C5" t="s">
        <v>60</v>
      </c>
      <c r="F5" s="38">
        <f>+'Value of Defferal'!L4</f>
        <v>122.937344</v>
      </c>
    </row>
    <row r="6" spans="3:6" ht="12.75">
      <c r="C6" t="s">
        <v>62</v>
      </c>
      <c r="F6" s="38">
        <f>+'Value of Defferal'!L5</f>
        <v>260.63185920000006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138.11126087976575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12.148951526954278</v>
      </c>
      <c r="C17" s="5">
        <f>IF(+Title_RESULTS!$H$9&lt;='Sheet4(F_22)'!$A17,(+Title_RESULTS!$H$16*((1+Title_RESULTS!$H$18/100)^('Sheet4(F_22)'!$A17-Title_RESULTS!$H$7))*Title_RESULTS!$C$8*Partcipation!$C$26/1000),0)</f>
        <v>9.791363120283176</v>
      </c>
      <c r="D17" s="5">
        <f>(+B17+C17)*+Partcipation!$H17</f>
        <v>21.940314647237454</v>
      </c>
      <c r="E17" s="5">
        <f>VLOOKUP(A17,'Value of Defferal'!$I24:$P$58,'Value of Defferal'!$K$13)</f>
        <v>25.756240705840966</v>
      </c>
      <c r="F17" s="5">
        <f>IF(+'Value of Defferal'!P24=0,0,Title_RESULTS!$H$17*Title_RESULTS!$C$7*Partcipation!$C$26*(1+Title_RESULTS!$H$18/100)^('Sheet4(F_22)'!A17-Title_RESULTS!$H$7))/1000</f>
        <v>35.881574400000005</v>
      </c>
      <c r="G17" s="5">
        <f>(+E17+F17)*Partcipation!$H17</f>
        <v>61.63781510584097</v>
      </c>
      <c r="H17" s="5">
        <f>+'Sheet5(p_5)'!$F17*'Sheet2(F_12)'!$I17</f>
        <v>410.96365247793966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12.440526363601181</v>
      </c>
      <c r="C18" s="5">
        <f>IF(+Title_RESULTS!$H$9&lt;='Sheet4(F_22)'!$A18,(+Title_RESULTS!$H$16*((1+Title_RESULTS!$H$18/100)^('Sheet4(F_22)'!$A18-Title_RESULTS!$H$7))*Title_RESULTS!$C$8*Partcipation!$C$26/1000),0)</f>
        <v>10.026355835169973</v>
      </c>
      <c r="D18" s="5">
        <f>(+B18+C18)*+Partcipation!$H18</f>
        <v>22.466882198771152</v>
      </c>
      <c r="E18" s="5">
        <f>VLOOKUP(A18,'Value of Defferal'!$I25:$P$58,'Value of Defferal'!$K$13)</f>
        <v>26.374390482781145</v>
      </c>
      <c r="F18" s="5">
        <f>IF(+'Value of Defferal'!P25=0,0,Title_RESULTS!$H$17*Title_RESULTS!$C$7*Partcipation!$C$26*(1+Title_RESULTS!$H$18/100)^('Sheet4(F_22)'!A18-Title_RESULTS!$H$7))/1000</f>
        <v>36.742732185600005</v>
      </c>
      <c r="G18" s="5">
        <f>(+E18+F18)*Partcipation!$H18</f>
        <v>63.11712266838115</v>
      </c>
      <c r="H18" s="5">
        <f>+'Sheet5(p_5)'!$F18*'Sheet2(F_12)'!$I18</f>
        <v>706.9033269110971</v>
      </c>
      <c r="I18" s="5"/>
      <c r="J18" s="5"/>
    </row>
    <row r="19" spans="1:10" ht="12.75">
      <c r="A19">
        <f aca="true" t="shared" si="0" ref="A19:A28">+A18+1</f>
        <v>2023</v>
      </c>
      <c r="B19" s="5">
        <f>VLOOKUP(A19,'Value of Defferal'!$I26:$P$58,'Value of Defferal'!$K$9)</f>
        <v>12.73909899632761</v>
      </c>
      <c r="C19" s="5">
        <f>IF(+Title_RESULTS!$H$9&lt;='Sheet4(F_22)'!$A19,(+Title_RESULTS!$H$16*((1+Title_RESULTS!$H$18/100)^('Sheet4(F_22)'!$A19-Title_RESULTS!$H$7))*Title_RESULTS!$C$8*Partcipation!$C$26/1000),0)</f>
        <v>10.266988375214051</v>
      </c>
      <c r="D19" s="5">
        <f>(+B19+C19)*+Partcipation!$H19</f>
        <v>23.00608737154166</v>
      </c>
      <c r="E19" s="5">
        <f>VLOOKUP(A19,'Value of Defferal'!$I26:$P$58,'Value of Defferal'!$K$13)</f>
        <v>27.007375854367893</v>
      </c>
      <c r="F19" s="5">
        <f>IF(+'Value of Defferal'!P26=0,0,Title_RESULTS!$H$17*Title_RESULTS!$C$7*Partcipation!$C$26*(1+Title_RESULTS!$H$18/100)^('Sheet4(F_22)'!A19-Title_RESULTS!$H$7))/1000</f>
        <v>37.62455775805441</v>
      </c>
      <c r="G19" s="5">
        <f>(+E19+F19)*Partcipation!$H19</f>
        <v>64.6319336124223</v>
      </c>
      <c r="H19" s="5">
        <f>+'Sheet5(p_5)'!$F19*'Sheet2(F_12)'!$I19</f>
        <v>883.0838203776759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13.044837372239472</v>
      </c>
      <c r="C20" s="5">
        <f>IF(+Title_RESULTS!$H$9&lt;='Sheet4(F_22)'!$A20,(+Title_RESULTS!$H$16*((1+Title_RESULTS!$H$18/100)^('Sheet4(F_22)'!$A20-Title_RESULTS!$H$7))*Title_RESULTS!$C$8*Partcipation!$C$26/1000),0)</f>
        <v>10.51339609621919</v>
      </c>
      <c r="D20" s="5">
        <f>(+B20+C20)*+Partcipation!$H20</f>
        <v>23.55823346845866</v>
      </c>
      <c r="E20" s="5">
        <f>VLOOKUP(A20,'Value of Defferal'!$I27:$P$58,'Value of Defferal'!$K$13)</f>
        <v>27.655552874872726</v>
      </c>
      <c r="F20" s="5">
        <f>IF(+'Value of Defferal'!P27=0,0,Title_RESULTS!$H$17*Title_RESULTS!$C$7*Partcipation!$C$26*(1+Title_RESULTS!$H$18/100)^('Sheet4(F_22)'!A20-Title_RESULTS!$H$7))/1000</f>
        <v>38.52754714424771</v>
      </c>
      <c r="G20" s="5">
        <f>(+E20+F20)*Partcipation!$H20</f>
        <v>66.18310001912045</v>
      </c>
      <c r="H20" s="5">
        <f>+'Sheet5(p_5)'!$F20*'Sheet2(F_12)'!$I20</f>
        <v>917.7856859770451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13.35791346917322</v>
      </c>
      <c r="C21" s="5">
        <f>IF(+Title_RESULTS!$H$9&lt;='Sheet4(F_22)'!$A21,(+Title_RESULTS!$H$16*((1+Title_RESULTS!$H$18/100)^('Sheet4(F_22)'!$A21-Title_RESULTS!$H$7))*Title_RESULTS!$C$8*Partcipation!$C$26/1000),0)</f>
        <v>10.765717602528452</v>
      </c>
      <c r="D21" s="5">
        <f>(+B21+C21)*+Partcipation!$H21</f>
        <v>24.123631071701674</v>
      </c>
      <c r="E21" s="5">
        <f>VLOOKUP(A21,'Value of Defferal'!$I28:$P$58,'Value of Defferal'!$K$13)</f>
        <v>28.31928614386967</v>
      </c>
      <c r="F21" s="5">
        <f>IF(+'Value of Defferal'!P28=0,0,Title_RESULTS!$H$17*Title_RESULTS!$C$7*Partcipation!$C$26*(1+Title_RESULTS!$H$18/100)^('Sheet4(F_22)'!A21-Title_RESULTS!$H$7))/1000</f>
        <v>39.45220827570966</v>
      </c>
      <c r="G21" s="5">
        <f>(+E21+F21)*Partcipation!$H21</f>
        <v>67.77149441957933</v>
      </c>
      <c r="H21" s="5">
        <f>+'Sheet5(p_5)'!$F21*'Sheet2(F_12)'!$I21</f>
        <v>985.4255132783751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13.678503392433377</v>
      </c>
      <c r="C22" s="5">
        <f>IF(+Title_RESULTS!$H$9&lt;='Sheet4(F_22)'!$A22,(+Title_RESULTS!$H$16*((1+Title_RESULTS!$H$18/100)^('Sheet4(F_22)'!$A22-Title_RESULTS!$H$7))*Title_RESULTS!$C$8*Partcipation!$C$26/1000),0)</f>
        <v>11.024094824989131</v>
      </c>
      <c r="D22" s="5">
        <f>(+B22+C22)*+Partcipation!$H22</f>
        <v>24.70259821742251</v>
      </c>
      <c r="E22" s="5">
        <f>VLOOKUP(A22,'Value of Defferal'!$I29:$P$58,'Value of Defferal'!$K$13)</f>
        <v>28.998949011322544</v>
      </c>
      <c r="F22" s="5">
        <f>IF(+'Value of Defferal'!P29=0,0,Title_RESULTS!$H$17*Title_RESULTS!$C$7*Partcipation!$C$26*(1+Title_RESULTS!$H$18/100)^('Sheet4(F_22)'!A22-Title_RESULTS!$H$7))/1000</f>
        <v>40.399061274326684</v>
      </c>
      <c r="G22" s="5">
        <f>(+E22+F22)*Partcipation!$H22</f>
        <v>69.39801028564924</v>
      </c>
      <c r="H22" s="5">
        <f>+'Sheet5(p_5)'!$F22*'Sheet2(F_12)'!$I22</f>
        <v>1017.0326666654624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14.006787473851778</v>
      </c>
      <c r="C23" s="5">
        <f>IF(+Title_RESULTS!$H$9&lt;='Sheet4(F_22)'!$A23,(+Title_RESULTS!$H$16*((1+Title_RESULTS!$H$18/100)^('Sheet4(F_22)'!$A23-Title_RESULTS!$H$7))*Title_RESULTS!$C$8*Partcipation!$C$26/1000),0)</f>
        <v>11.288673100788872</v>
      </c>
      <c r="D23" s="5">
        <f>(+B23+C23)*+Partcipation!$H23</f>
        <v>25.29546057464065</v>
      </c>
      <c r="E23" s="5">
        <f>VLOOKUP(A23,'Value of Defferal'!$I30:$P$58,'Value of Defferal'!$K$13)</f>
        <v>29.694923787594284</v>
      </c>
      <c r="F23" s="5">
        <f>IF(+'Value of Defferal'!P30=0,0,Title_RESULTS!$H$17*Title_RESULTS!$C$7*Partcipation!$C$26*(1+Title_RESULTS!$H$18/100)^('Sheet4(F_22)'!A23-Title_RESULTS!$H$7))/1000</f>
        <v>41.368638744910534</v>
      </c>
      <c r="G23" s="5">
        <f>(+E23+F23)*Partcipation!$H23</f>
        <v>71.06356253250482</v>
      </c>
      <c r="H23" s="5">
        <f>+'Sheet5(p_5)'!$F23*'Sheet2(F_12)'!$I23</f>
        <v>1080.5926562975649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14.34295037322422</v>
      </c>
      <c r="C24" s="5">
        <f>IF(+Title_RESULTS!$H$9&lt;='Sheet4(F_22)'!$A24,(+Title_RESULTS!$H$16*((1+Title_RESULTS!$H$18/100)^('Sheet4(F_22)'!$A24-Title_RESULTS!$H$7))*Title_RESULTS!$C$8*Partcipation!$C$26/1000),0)</f>
        <v>11.559601255207802</v>
      </c>
      <c r="D24" s="5">
        <f>(+B24+C24)*+Partcipation!$H24</f>
        <v>25.902551628432022</v>
      </c>
      <c r="E24" s="5">
        <f>VLOOKUP(A24,'Value of Defferal'!$I31:$P$58,'Value of Defferal'!$K$13)</f>
        <v>30.407601958496546</v>
      </c>
      <c r="F24" s="5">
        <f>IF(+'Value of Defferal'!P31=0,0,Title_RESULTS!$H$17*Title_RESULTS!$C$7*Partcipation!$C$26*(1+Title_RESULTS!$H$18/100)^('Sheet4(F_22)'!A24-Title_RESULTS!$H$7))/1000</f>
        <v>42.36148607478838</v>
      </c>
      <c r="G24" s="5">
        <f>(+E24+F24)*Partcipation!$H24</f>
        <v>72.76908803328493</v>
      </c>
      <c r="H24" s="5">
        <f>+'Sheet5(p_5)'!$F24*'Sheet2(F_12)'!$I24</f>
        <v>1197.42162349746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14.687181182181602</v>
      </c>
      <c r="C25" s="5">
        <f>IF(+Title_RESULTS!$H$9&lt;='Sheet4(F_22)'!$A25,(+Title_RESULTS!$H$16*((1+Title_RESULTS!$H$18/100)^('Sheet4(F_22)'!$A25-Title_RESULTS!$H$7))*Title_RESULTS!$C$8*Partcipation!$C$26/1000),0)</f>
        <v>11.83703168533279</v>
      </c>
      <c r="D25" s="5">
        <f>(+B25+C25)*+Partcipation!$H25</f>
        <v>26.524212867514393</v>
      </c>
      <c r="E25" s="5">
        <f>VLOOKUP(A25,'Value of Defferal'!$I32:$P$58,'Value of Defferal'!$K$13)</f>
        <v>31.137384405500466</v>
      </c>
      <c r="F25" s="5">
        <f>IF(+'Value of Defferal'!P32=0,0,Title_RESULTS!$H$17*Title_RESULTS!$C$7*Partcipation!$C$26*(1+Title_RESULTS!$H$18/100)^('Sheet4(F_22)'!A25-Title_RESULTS!$H$7))/1000</f>
        <v>43.378161740583295</v>
      </c>
      <c r="G25" s="5">
        <f>(+E25+F25)*Partcipation!$H25</f>
        <v>74.51554614608376</v>
      </c>
      <c r="H25" s="5">
        <f>+'Sheet5(p_5)'!$F25*'Sheet2(F_12)'!$I25</f>
        <v>1282.8747419946824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15.039673530553962</v>
      </c>
      <c r="C26" s="5">
        <f>IF(+Title_RESULTS!$H$9&lt;='Sheet4(F_22)'!$A26,(+Title_RESULTS!$H$16*((1+Title_RESULTS!$H$18/100)^('Sheet4(F_22)'!$A26-Title_RESULTS!$H$7))*Title_RESULTS!$C$8*Partcipation!$C$26/1000),0)</f>
        <v>12.121120445780777</v>
      </c>
      <c r="D26" s="5">
        <f>(+B26+C26)*+Partcipation!$H26</f>
        <v>27.160793976334737</v>
      </c>
      <c r="E26" s="5">
        <f>VLOOKUP(A26,'Value of Defferal'!$I33:$P$58,'Value of Defferal'!$K$13)</f>
        <v>31.88468163123248</v>
      </c>
      <c r="F26" s="5">
        <f>IF(+'Value of Defferal'!P33=0,0,Title_RESULTS!$H$17*Title_RESULTS!$C$7*Partcipation!$C$26*(1+Title_RESULTS!$H$18/100)^('Sheet4(F_22)'!A26-Title_RESULTS!$H$7))/1000</f>
        <v>44.4192376223573</v>
      </c>
      <c r="G26" s="5">
        <f>(+E26+F26)*Partcipation!$H26</f>
        <v>76.30391925358978</v>
      </c>
      <c r="H26" s="5">
        <f>+'Sheet5(p_5)'!$F26*'Sheet2(F_12)'!$I26</f>
        <v>1432.9000152821134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15.400625695287259</v>
      </c>
      <c r="C27" s="5">
        <f>IF(+Title_RESULTS!$H$9&lt;='Sheet4(F_22)'!$A27,(+Title_RESULTS!$H$16*((1+Title_RESULTS!$H$18/100)^('Sheet4(F_22)'!$A27-Title_RESULTS!$H$7))*Title_RESULTS!$C$8*Partcipation!$C$26/1000),0)</f>
        <v>12.412027336479518</v>
      </c>
      <c r="D27" s="5">
        <f>(+B27+C27)*+Partcipation!$H27</f>
        <v>27.81265303176678</v>
      </c>
      <c r="E27" s="5">
        <f>VLOOKUP(A27,'Value of Defferal'!$I34:$P$58,'Value of Defferal'!$K$13)</f>
        <v>32.64991399038206</v>
      </c>
      <c r="F27" s="5">
        <f>IF(+'Value of Defferal'!P34=0,0,Title_RESULTS!$H$17*Title_RESULTS!$C$7*Partcipation!$C$26*(1+Title_RESULTS!$H$18/100)^('Sheet4(F_22)'!A27-Title_RESULTS!$H$7))/1000</f>
        <v>45.48529932529388</v>
      </c>
      <c r="G27" s="5">
        <f>(+E27+F27)*Partcipation!$H27</f>
        <v>78.13521331567594</v>
      </c>
      <c r="H27" s="5">
        <f>+'Sheet5(p_5)'!$F27*'Sheet2(F_12)'!$I27</f>
        <v>1427.5712814155736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15.770240711974152</v>
      </c>
      <c r="C28" s="5">
        <f>IF(+Title_RESULTS!$H$9&lt;='Sheet4(F_22)'!$A28,(+Title_RESULTS!$H$16*((1+Title_RESULTS!$H$18/100)^('Sheet4(F_22)'!$A28-Title_RESULTS!$H$7))*Title_RESULTS!$C$8*Partcipation!$C$26/1000),0)</f>
        <v>12.709915992555025</v>
      </c>
      <c r="D28" s="5">
        <f>(+B28+C28)*+Partcipation!$H28</f>
        <v>28.48015670452918</v>
      </c>
      <c r="E28" s="5">
        <f>VLOOKUP(A28,'Value of Defferal'!$I35:$P$58,'Value of Defferal'!$K$13)</f>
        <v>33.433511926151226</v>
      </c>
      <c r="F28" s="5">
        <f>IF(+'Value of Defferal'!P35=0,0,Title_RESULTS!$H$17*Title_RESULTS!$C$7*Partcipation!$C$26*(1+Title_RESULTS!$H$18/100)^('Sheet4(F_22)'!A28-Title_RESULTS!$H$7))/1000</f>
        <v>46.57694650910093</v>
      </c>
      <c r="G28" s="5">
        <f>(+E28+F28)*Partcipation!$H28</f>
        <v>80.01045843525216</v>
      </c>
      <c r="H28" s="5">
        <f>+'Sheet5(p_5)'!$F28*'Sheet2(F_12)'!$I28</f>
        <v>1560.2034688981878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88</v>
      </c>
      <c r="B30" s="5">
        <f aca="true" t="shared" si="1" ref="B30:H30">SUM(B16:B29)</f>
        <v>166.6572900878021</v>
      </c>
      <c r="C30" s="5">
        <f t="shared" si="1"/>
        <v>134.31628567054878</v>
      </c>
      <c r="D30" s="5">
        <f t="shared" si="1"/>
        <v>300.9735757583509</v>
      </c>
      <c r="E30" s="5">
        <f t="shared" si="1"/>
        <v>353.319812772412</v>
      </c>
      <c r="F30" s="5">
        <f t="shared" si="1"/>
        <v>492.2174510549728</v>
      </c>
      <c r="G30" s="5">
        <f t="shared" si="1"/>
        <v>845.537263827385</v>
      </c>
      <c r="H30" s="5">
        <f t="shared" si="1"/>
        <v>13040.869713952943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90</v>
      </c>
      <c r="B32" s="5">
        <f>NPV(Title_RESULTS!$C$37,'Sheet4(F_22)'!B17:B29)+'Sheet4(F_22)'!B16</f>
        <v>107.75092532334038</v>
      </c>
      <c r="C32" s="5">
        <f>NPV(Title_RESULTS!$C$37,'Sheet4(F_22)'!C17:C29)+'Sheet4(F_22)'!C16</f>
        <v>86.8411100370762</v>
      </c>
      <c r="D32" s="5">
        <f>NPV(Title_RESULTS!$C$37,'Sheet4(F_22)'!D17:D29)+'Sheet4(F_22)'!D16</f>
        <v>194.5920353604166</v>
      </c>
      <c r="E32" s="5">
        <f>NPV(Title_RESULTS!$C$37,'Sheet4(F_22)'!E17:E29)+'Sheet4(F_22)'!E16</f>
        <v>228.436072260863</v>
      </c>
      <c r="F32" s="5">
        <f>NPV(Title_RESULTS!$C$37,'Sheet4(F_22)'!F17:F29)+'Sheet4(F_22)'!F16</f>
        <v>318.2392188396154</v>
      </c>
      <c r="G32" s="5">
        <f>NPV(Title_RESULTS!$C$37,'Sheet4(F_22)'!G17:G29)+'Sheet4(F_22)'!G16</f>
        <v>546.6752911004784</v>
      </c>
      <c r="H32" s="5">
        <f>NPV(Title_RESULTS!$C$37,'Sheet4(F_22)'!H17:H29)+'Sheet4(F_22)'!H16</f>
        <v>8067.913656007199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ht="12.75">
      <c r="A34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Chilled Water VSD</v>
      </c>
      <c r="P2" t="s">
        <v>121</v>
      </c>
    </row>
    <row r="3" ht="12.75">
      <c r="P3" s="35">
        <f>+Title_RESULTS!I4</f>
        <v>43599.320956365744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829.31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829.31</v>
      </c>
      <c r="H16" s="5">
        <f>IF(Partcipation!$B17&lt;Partcipation!$B16,0,IF(Partcipation!$B16=0,0,(Partcipation!$B16-Partcipation!$B15)*(+Title_RESULTS!$C$29*(1+Title_RESULTS!$C$30/100)^(+'Sheet8(F_24)'!$A16-Title_RESULTS!$H$7))/1000))</f>
        <v>1898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1898</v>
      </c>
      <c r="K16" s="5">
        <f>(+Partcipation!$B15+(Partcipation!$B16-Partcipation!$B15)/2)*(+Title_RESULTS!$C$14)/1000</f>
        <v>4513.705</v>
      </c>
      <c r="L16" s="5">
        <f>($K16)*Partcipation!$E73*Title_RESULTS!$C$12/100</f>
        <v>109.89122801909666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144.4122669</v>
      </c>
      <c r="N16" s="5">
        <f>'Sheet2(F_12)'!$I16*('Sheet6(p_6)'!$L16+'Sheet6(p_6)'!$M16)</f>
        <v>254.30349491909664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829.31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829.31</v>
      </c>
      <c r="H17" s="5">
        <f>IF(Partcipation!$B18&lt;Partcipation!$B17,0,IF(Partcipation!$B17=0,0,(Partcipation!$B17-Partcipation!$B16)*(+Title_RESULTS!$C$29*(1+Title_RESULTS!$C$30/100)^(+'Sheet8(F_24)'!$A17-Title_RESULTS!$H$7))/1000))</f>
        <v>1941.6539999999998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1941.6539999999998</v>
      </c>
      <c r="K17" s="5">
        <f>(+Partcipation!$B16+(Partcipation!$B17-Partcipation!$B16)/2)*(+Title_RESULTS!$C$14)/1000</f>
        <v>13541.115</v>
      </c>
      <c r="L17" s="5">
        <f>($K17)*Partcipation!$E74*Title_RESULTS!$C$12/100</f>
        <v>345.36400319865186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437.569168707</v>
      </c>
      <c r="N17" s="5">
        <f>'Sheet2(F_12)'!$I17*('Sheet6(p_6)'!$L17+'Sheet6(p_6)'!$M17)</f>
        <v>782.9331719056519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829.31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829.31</v>
      </c>
      <c r="H18" s="5">
        <f>IF(Partcipation!$B19&lt;Partcipation!$B18,0,IF(Partcipation!$B18=0,0,(Partcipation!$B18-Partcipation!$B17)*(+Title_RESULTS!$C$29*(1+Title_RESULTS!$C$30/100)^(+'Sheet8(F_24)'!$A18-Title_RESULTS!$H$7))/1000))</f>
        <v>1986.3120419999996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1986.3120419999996</v>
      </c>
      <c r="K18" s="5">
        <f>(+Partcipation!$B17+(Partcipation!$B18-Partcipation!$B17)/2)*(+Title_RESULTS!$C$14)/1000</f>
        <v>22568.525</v>
      </c>
      <c r="L18" s="5">
        <f>($K18)*Partcipation!$E75*Title_RESULTS!$C$12/100</f>
        <v>596.8093671421119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736.57476732345</v>
      </c>
      <c r="N18" s="5">
        <f>'Sheet2(F_12)'!$I18*('Sheet6(p_6)'!$L18+'Sheet6(p_6)'!$M18)</f>
        <v>1333.384134465562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8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8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8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8">SUM(H19:I19)</f>
        <v>0</v>
      </c>
      <c r="K19" s="5">
        <f>(+Partcipation!$B18+(Partcipation!$B19-Partcipation!$B18)/2)*(+Title_RESULTS!$C$14)/1000</f>
        <v>27082.23</v>
      </c>
      <c r="L19" s="5">
        <f>($K19)*Partcipation!$E76*Title_RESULTS!$C$12/100</f>
        <v>710.3005066948406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892.7286179960213</v>
      </c>
      <c r="N19" s="5">
        <f>'Sheet2(F_12)'!$I19*('Sheet6(p_6)'!$L19+'Sheet6(p_6)'!$M19)</f>
        <v>1603.0291246908619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27082.23</v>
      </c>
      <c r="L20" s="5">
        <f>($K20)*Partcipation!$E77*Title_RESULTS!$C$12/100</f>
        <v>750.5885621716156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901.6559041759816</v>
      </c>
      <c r="N20" s="5">
        <f>'Sheet2(F_12)'!$I20*('Sheet6(p_6)'!$L20+'Sheet6(p_6)'!$M20)</f>
        <v>1652.2444663475972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27082.23</v>
      </c>
      <c r="L21" s="5">
        <f>($K21)*Partcipation!$E78*Title_RESULTS!$C$12/100</f>
        <v>793.6713525626993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910.6724632177413</v>
      </c>
      <c r="N21" s="5">
        <f>'Sheet2(F_12)'!$I21*('Sheet6(p_6)'!$L21+'Sheet6(p_6)'!$M21)</f>
        <v>1704.3438157804408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27082.23</v>
      </c>
      <c r="L22" s="5">
        <f>($K22)*Partcipation!$E79*Title_RESULTS!$C$12/100</f>
        <v>829.5565412133827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919.7791878499189</v>
      </c>
      <c r="N22" s="5">
        <f>'Sheet2(F_12)'!$I22*('Sheet6(p_6)'!$L22+'Sheet6(p_6)'!$M22)</f>
        <v>1749.3357290633016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27082.23</v>
      </c>
      <c r="L23" s="5">
        <f>($K23)*Partcipation!$E80*Title_RESULTS!$C$12/100</f>
        <v>878.4016333097329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928.976979728418</v>
      </c>
      <c r="N23" s="5">
        <f>'Sheet2(F_12)'!$I23*('Sheet6(p_6)'!$L23+'Sheet6(p_6)'!$M23)</f>
        <v>1807.378613038151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27082.23</v>
      </c>
      <c r="L24" s="5">
        <f>($K24)*Partcipation!$E81*Title_RESULTS!$C$12/100</f>
        <v>961.5819738676156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938.2667495257024</v>
      </c>
      <c r="N24" s="5">
        <f>'Sheet2(F_12)'!$I24*('Sheet6(p_6)'!$L24+'Sheet6(p_6)'!$M24)</f>
        <v>1899.8487233933179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27082.23</v>
      </c>
      <c r="L25" s="5">
        <f>($K25)*Partcipation!$E82*Title_RESULTS!$C$12/100</f>
        <v>1010.5724102058754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947.6494170209594</v>
      </c>
      <c r="N25" s="5">
        <f>'Sheet2(F_12)'!$I25*('Sheet6(p_6)'!$L25+'Sheet6(p_6)'!$M25)</f>
        <v>1958.2218272268346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27082.23</v>
      </c>
      <c r="L26" s="5">
        <f>($K26)*Partcipation!$E83*Title_RESULTS!$C$12/100</f>
        <v>1101.0711777698355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957.125911191169</v>
      </c>
      <c r="N26" s="5">
        <f>'Sheet2(F_12)'!$I26*('Sheet6(p_6)'!$L26+'Sheet6(p_6)'!$M26)</f>
        <v>2058.1970889610047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27082.23</v>
      </c>
      <c r="L27" s="5">
        <f>($K27)*Partcipation!$E84*Title_RESULTS!$C$12/100</f>
        <v>1139.0273938065739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966.6971703030805</v>
      </c>
      <c r="N27" s="5">
        <f>'Sheet2(F_12)'!$I27*('Sheet6(p_6)'!$L27+'Sheet6(p_6)'!$M27)</f>
        <v>2105.7245641096542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27082.23</v>
      </c>
      <c r="L28" s="5">
        <f>($K28)*Partcipation!$E85*Title_RESULTS!$C$12/100</f>
        <v>1220.298191876159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976.3641420061114</v>
      </c>
      <c r="N28" s="5">
        <f>'Sheet2(F_12)'!$I28*('Sheet6(p_6)'!$L28+'Sheet6(p_6)'!$M28)</f>
        <v>2196.6623338822706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87</v>
      </c>
      <c r="B30" s="5">
        <f aca="true" t="shared" si="4" ref="B30:R30">SUM(B16:B29)</f>
        <v>384.072</v>
      </c>
      <c r="C30" s="5">
        <f t="shared" si="4"/>
        <v>0</v>
      </c>
      <c r="D30" s="5">
        <f t="shared" si="4"/>
        <v>384.072</v>
      </c>
      <c r="E30" s="5">
        <f t="shared" si="4"/>
        <v>2487.93</v>
      </c>
      <c r="F30" s="5">
        <f t="shared" si="4"/>
        <v>0</v>
      </c>
      <c r="G30" s="5">
        <f t="shared" si="4"/>
        <v>2487.93</v>
      </c>
      <c r="H30" s="5">
        <f t="shared" si="4"/>
        <v>5825.966041999999</v>
      </c>
      <c r="I30" s="5">
        <f t="shared" si="4"/>
        <v>0</v>
      </c>
      <c r="J30" s="5">
        <f t="shared" si="4"/>
        <v>5825.966041999999</v>
      </c>
      <c r="K30" s="5">
        <f t="shared" si="4"/>
        <v>311445.645</v>
      </c>
      <c r="L30" s="5">
        <f t="shared" si="4"/>
        <v>10447.134341838193</v>
      </c>
      <c r="M30" s="5">
        <f t="shared" si="4"/>
        <v>10658.472745945555</v>
      </c>
      <c r="N30" s="5">
        <f t="shared" si="4"/>
        <v>21105.607087783745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89</v>
      </c>
      <c r="B32" s="5">
        <f>NPV(Title_RESULTS!$C$37,'Sheet6(p_6)'!B17:B29)+'Sheet6(p_6)'!B16</f>
        <v>358.8491576370552</v>
      </c>
      <c r="C32" s="5">
        <f>NPV(Title_RESULTS!$C$37,'Sheet6(p_6)'!C17:C29)+'Sheet6(p_6)'!C16</f>
        <v>0</v>
      </c>
      <c r="D32" s="5">
        <f>NPV(Title_RESULTS!$C$37,'Sheet6(p_6)'!D17:D29)+'Sheet6(p_6)'!D16</f>
        <v>358.8491576370552</v>
      </c>
      <c r="E32" s="5">
        <f>NPV(Title_RESULTS!$C$37,'Sheet6(p_6)'!E17:E29)+'Sheet6(p_6)'!E16</f>
        <v>2327.0565694081306</v>
      </c>
      <c r="F32" s="5">
        <f>NPV(Title_RESULTS!$C$37,'Sheet6(p_6)'!F17:F29)+'Sheet6(p_6)'!F16</f>
        <v>0</v>
      </c>
      <c r="G32" s="5">
        <f>NPV(Title_RESULTS!$C$37,'Sheet6(p_6)'!G17:G29)+'Sheet6(p_6)'!G16</f>
        <v>2327.0565694081306</v>
      </c>
      <c r="H32" s="5">
        <f>NPV(Title_RESULTS!$C$37,'Sheet6(p_6)'!H17:H29)+'Sheet6(p_6)'!H16</f>
        <v>5443.60468232759</v>
      </c>
      <c r="I32" s="5">
        <f>NPV(Title_RESULTS!$C$37,'Sheet6(p_6)'!I17:I29)+'Sheet6(p_6)'!I16</f>
        <v>0</v>
      </c>
      <c r="J32" s="5">
        <f>NPV(Title_RESULTS!$C$37,'Sheet6(p_6)'!J17:J29)+'Sheet6(p_6)'!J16</f>
        <v>5443.60468232759</v>
      </c>
      <c r="K32" s="5"/>
      <c r="L32" s="5">
        <f>NPV(Title_RESULTS!$C$37,'Sheet6(p_6)'!L17:L29)+'Sheet6(p_6)'!L16</f>
        <v>6492.15470721709</v>
      </c>
      <c r="M32" s="5">
        <f>NPV(Title_RESULTS!$C$37,'Sheet6(p_6)'!M17:M29)+'Sheet6(p_6)'!M16</f>
        <v>6863.795915025501</v>
      </c>
      <c r="N32" s="5">
        <f>NPV(Title_RESULTS!$C$37,'Sheet6(p_6)'!N17:N29)+'Sheet6(p_6)'!N16</f>
        <v>13355.950622242593</v>
      </c>
      <c r="O32" s="5"/>
      <c r="P32" s="5">
        <f>NPV(Title_RESULTS!$C$37,'Sheet6(p_6)'!P17:P29)+'Sheet6(p_6)'!P16</f>
        <v>0</v>
      </c>
      <c r="Q32" s="5">
        <f>NPV(Title_RESULTS!$C$37,'Sheet6(p_6)'!Q17:Q29)+'Sheet6(p_6)'!Q16</f>
        <v>0</v>
      </c>
      <c r="R32" s="5">
        <f>NPV(Title_RESULTS!$C$37,'Sheet6(p_6)'!R17:R29)+'Sheet6(p_6)'!R16</f>
        <v>0</v>
      </c>
    </row>
    <row r="34" ht="12.75">
      <c r="A34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Chilled Water VSD</v>
      </c>
      <c r="M2" t="s">
        <v>55</v>
      </c>
    </row>
    <row r="3" ht="12.75">
      <c r="M3" s="35">
        <f>+Title_RESULTS!I4</f>
        <v>43599.320956365744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1898</v>
      </c>
      <c r="E16" s="5">
        <f>IF(A16&gt;=(Title_RESULTS!$H$7+Title_RESULTS!$C$17),0,(+'f-11B'!$N15))</f>
        <v>0</v>
      </c>
      <c r="F16" s="5">
        <f>IF(A16&gt;=(Title_RESULTS!$H$7+Title_RESULTS!$C$17),0,(SUM(B16:E16)))</f>
        <v>2023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138.11126087976575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138.11126087976575</v>
      </c>
      <c r="L16" s="23">
        <f>IF(A16&gt;=(Title_RESULTS!$H$7+Title_RESULTS!$C$17),0,(+$K16-$F16))</f>
        <v>-1884.8887391202343</v>
      </c>
      <c r="M16" s="23">
        <f>IF(A16&gt;=(Title_RESULTS!$H$7+Title_RESULTS!$C$17),0,(+$L16/(1+Title_RESULTS!$C$37)^('Sheet7(F_23)'!$A16-Title_RESULTS!$H$7)))</f>
        <v>-1884.8887391202343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1941.6539999999998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2069.6539999999995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83.57812975307843</v>
      </c>
      <c r="I17" s="5">
        <f>IF(A17&gt;=(Title_RESULTS!$H$7+Title_RESULTS!$C$17),0,(+'Sheet4(F_22)'!$H17))</f>
        <v>410.96365247793966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494.5417822310181</v>
      </c>
      <c r="L17" s="23">
        <f>IF(A17&gt;=(Title_RESULTS!$H$7+Title_RESULTS!$C$17),0,(+$K17-$F17))</f>
        <v>-1575.1122177689815</v>
      </c>
      <c r="M17" s="23">
        <f>IF(A17&gt;=(Title_RESULTS!$H$7+Title_RESULTS!$C$17),0,(+M16+$L17/(1+Title_RESULTS!$C$37)^('Sheet7(F_23)'!$A17-Title_RESULTS!$H$7)))</f>
        <v>-3355.8564434244754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1986.3120419999996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2117.3840419999997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85.5840048671523</v>
      </c>
      <c r="I18" s="5">
        <f>IF(A18&gt;=(Title_RESULTS!$H$7+Title_RESULTS!$C$17),0,(+'Sheet4(F_22)'!$H18))</f>
        <v>706.9033269110971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792.4873317782494</v>
      </c>
      <c r="L18" s="23">
        <f>IF(A18&gt;=(Title_RESULTS!$H$7+Title_RESULTS!$C$17),0,(+$K18-$F18))</f>
        <v>-1324.8967102217503</v>
      </c>
      <c r="M18" s="23">
        <f>IF(A18&gt;=(Title_RESULTS!$H$7+Title_RESULTS!$C$17),0,(+M17+$L18/(1+Title_RESULTS!$C$37)^('Sheet7(F_23)'!$A18-Title_RESULTS!$H$7)))</f>
        <v>-4511.3440632206</v>
      </c>
    </row>
    <row r="19" spans="1:13" ht="12.75">
      <c r="A19">
        <f aca="true" t="shared" si="0" ref="A19:A28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266.5327192021376</v>
      </c>
      <c r="H19" s="5">
        <f>IF(A19&gt;=(Title_RESULTS!$H$7+Title_RESULTS!$C$17),0,(+'Sheet4(F_22)'!$D19+'Sheet4(F_22)'!$G19))</f>
        <v>87.63802098396397</v>
      </c>
      <c r="I19" s="5">
        <f>IF(A19&gt;=(Title_RESULTS!$H$7+Title_RESULTS!$C$17),0,(+'Sheet4(F_22)'!$H19))</f>
        <v>883.0838203776759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1237.2545605637774</v>
      </c>
      <c r="L19" s="23">
        <f>IF(A19&gt;=(Title_RESULTS!$H$7+Title_RESULTS!$C$17),0,(+$K19-$F19))</f>
        <v>1237.2545605637774</v>
      </c>
      <c r="M19" s="23">
        <f>IF(A19&gt;=(Title_RESULTS!$H$7+Title_RESULTS!$C$17),0,(+M18+$L19/(1+Title_RESULTS!$C$37)^('Sheet7(F_23)'!$A19-Title_RESULTS!$H$7)))</f>
        <v>-3503.6377584297097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273.6396781186761</v>
      </c>
      <c r="H20" s="5">
        <f>IF(A20&gt;=(Title_RESULTS!$H$7+Title_RESULTS!$C$17),0,(+'Sheet4(F_22)'!$D20+'Sheet4(F_22)'!$G20))</f>
        <v>89.74133348757911</v>
      </c>
      <c r="I20" s="5">
        <f>IF(A20&gt;=(Title_RESULTS!$H$7+Title_RESULTS!$C$17),0,(+'Sheet4(F_22)'!$H20))</f>
        <v>917.7856859770451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1281.1666975833004</v>
      </c>
      <c r="L20" s="23">
        <f>IF(A20&gt;=(Title_RESULTS!$H$7+Title_RESULTS!$C$17),0,(+$K20-$F20))</f>
        <v>1281.1666975833004</v>
      </c>
      <c r="M20" s="23">
        <f>IF(A20&gt;=(Title_RESULTS!$H$7+Title_RESULTS!$C$17),0,(+M19+$L20/(1+Title_RESULTS!$C$37)^('Sheet7(F_23)'!$A20-Title_RESULTS!$H$7)))</f>
        <v>-2529.159416793727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281.41468846444104</v>
      </c>
      <c r="H21" s="5">
        <f>IF(A21&gt;=(Title_RESULTS!$H$7+Title_RESULTS!$C$17),0,(+'Sheet4(F_22)'!$D21+'Sheet4(F_22)'!$G21))</f>
        <v>91.895125491281</v>
      </c>
      <c r="I21" s="5">
        <f>IF(A21&gt;=(Title_RESULTS!$H$7+Title_RESULTS!$C$17),0,(+'Sheet4(F_22)'!$H21))</f>
        <v>985.4255132783751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1358.735327234097</v>
      </c>
      <c r="L21" s="23">
        <f>IF(A21&gt;=(Title_RESULTS!$H$7+Title_RESULTS!$C$17),0,(+$K21-$F21))</f>
        <v>1358.735327234097</v>
      </c>
      <c r="M21" s="23">
        <f>IF(A21&gt;=(Title_RESULTS!$H$7+Title_RESULTS!$C$17),0,(+M20+$L21/(1+Title_RESULTS!$C$37)^('Sheet7(F_23)'!$A21-Title_RESULTS!$H$7)))</f>
        <v>-1564.0133288676996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290.12223272779187</v>
      </c>
      <c r="H22" s="5">
        <f>IF(A22&gt;=(Title_RESULTS!$H$7+Title_RESULTS!$C$17),0,(+'Sheet4(F_22)'!$D22+'Sheet4(F_22)'!$G22))</f>
        <v>94.10060850307174</v>
      </c>
      <c r="I22" s="5">
        <f>IF(A22&gt;=(Title_RESULTS!$H$7+Title_RESULTS!$C$17),0,(+'Sheet4(F_22)'!$H22))</f>
        <v>1017.0326666654624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1401.255507896326</v>
      </c>
      <c r="L22" s="23">
        <f>IF(A22&gt;=(Title_RESULTS!$H$7+Title_RESULTS!$C$17),0,(+$K22-$F22))</f>
        <v>1401.255507896326</v>
      </c>
      <c r="M22" s="23">
        <f>IF(A22&gt;=(Title_RESULTS!$H$7+Title_RESULTS!$C$17),0,(+M21+$L22/(1+Title_RESULTS!$C$37)^('Sheet7(F_23)'!$A22-Title_RESULTS!$H$7)))</f>
        <v>-634.4753097416971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297.93220703135535</v>
      </c>
      <c r="H23" s="5">
        <f>IF(A23&gt;=(Title_RESULTS!$H$7+Title_RESULTS!$C$17),0,(+'Sheet4(F_22)'!$D23+'Sheet4(F_22)'!$G23))</f>
        <v>96.35902310714548</v>
      </c>
      <c r="I23" s="5">
        <f>IF(A23&gt;=(Title_RESULTS!$H$7+Title_RESULTS!$C$17),0,(+'Sheet4(F_22)'!$H23))</f>
        <v>1080.5926562975649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1474.8838864360657</v>
      </c>
      <c r="L23" s="23">
        <f>IF(A23&gt;=(Title_RESULTS!$H$7+Title_RESULTS!$C$17),0,(+$K23-$F23))</f>
        <v>1474.8838864360657</v>
      </c>
      <c r="M23" s="23">
        <f>IF(A23&gt;=(Title_RESULTS!$H$7+Title_RESULTS!$C$17),0,(+M22+$L23/(1+Title_RESULTS!$C$37)^('Sheet7(F_23)'!$A23-Title_RESULTS!$H$7)))</f>
        <v>279.2155770251966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302.7587657846491</v>
      </c>
      <c r="H24" s="5">
        <f>IF(A24&gt;=(Title_RESULTS!$H$7+Title_RESULTS!$C$17),0,(+'Sheet4(F_22)'!$D24+'Sheet4(F_22)'!$G24))</f>
        <v>98.67163966171695</v>
      </c>
      <c r="I24" s="5">
        <f>IF(A24&gt;=(Title_RESULTS!$H$7+Title_RESULTS!$C$17),0,(+'Sheet4(F_22)'!$H24))</f>
        <v>1197.42162349746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1598.8520289438259</v>
      </c>
      <c r="L24" s="23">
        <f>IF(A24&gt;=(Title_RESULTS!$H$7+Title_RESULTS!$C$17),0,(+$K24-$F24))</f>
        <v>1598.8520289438259</v>
      </c>
      <c r="M24" s="23">
        <f>IF(A24&gt;=(Title_RESULTS!$H$7+Title_RESULTS!$C$17),0,(+M23+$L24/(1+Title_RESULTS!$C$37)^('Sheet7(F_23)'!$A24-Title_RESULTS!$H$7)))</f>
        <v>1204.2148092565794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310.9825957929464</v>
      </c>
      <c r="H25" s="5">
        <f>IF(A25&gt;=(Title_RESULTS!$H$7+Title_RESULTS!$C$17),0,(+'Sheet4(F_22)'!$D25+'Sheet4(F_22)'!$G25))</f>
        <v>101.03975901359816</v>
      </c>
      <c r="I25" s="5">
        <f>IF(A25&gt;=(Title_RESULTS!$H$7+Title_RESULTS!$C$17),0,(+'Sheet4(F_22)'!$H25))</f>
        <v>1282.8747419946824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1694.897096801227</v>
      </c>
      <c r="L25" s="23">
        <f>IF(A25&gt;=(Title_RESULTS!$H$7+Title_RESULTS!$C$17),0,(+$K25-$F25))</f>
        <v>1694.897096801227</v>
      </c>
      <c r="M25" s="23">
        <f>IF(A25&gt;=(Title_RESULTS!$H$7+Title_RESULTS!$C$17),0,(+M24+$L25/(1+Title_RESULTS!$C$37)^('Sheet7(F_23)'!$A25-Title_RESULTS!$H$7)))</f>
        <v>2119.946139579468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315.9622531712903</v>
      </c>
      <c r="H26" s="5">
        <f>IF(A26&gt;=(Title_RESULTS!$H$7+Title_RESULTS!$C$17),0,(+'Sheet4(F_22)'!$D26+'Sheet4(F_22)'!$G26))</f>
        <v>103.46471322992451</v>
      </c>
      <c r="I26" s="5">
        <f>IF(A26&gt;=(Title_RESULTS!$H$7+Title_RESULTS!$C$17),0,(+'Sheet4(F_22)'!$H26))</f>
        <v>1432.9000152821134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1852.326981683328</v>
      </c>
      <c r="L26" s="23">
        <f>IF(A26&gt;=(Title_RESULTS!$H$7+Title_RESULTS!$C$17),0,(+$K26-$F26))</f>
        <v>1852.326981683328</v>
      </c>
      <c r="M26" s="23">
        <f>IF(A26&gt;=(Title_RESULTS!$H$7+Title_RESULTS!$C$17),0,(+M25+$L26/(1+Title_RESULTS!$C$37)^('Sheet7(F_23)'!$A26-Title_RESULTS!$H$7)))</f>
        <v>3054.5638959327316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326.8688493007335</v>
      </c>
      <c r="H27" s="5">
        <f>IF(A27&gt;=(Title_RESULTS!$H$7+Title_RESULTS!$C$17),0,(+'Sheet4(F_22)'!$D27+'Sheet4(F_22)'!$G27))</f>
        <v>105.94786634744273</v>
      </c>
      <c r="I27" s="5">
        <f>IF(A27&gt;=(Title_RESULTS!$H$7+Title_RESULTS!$C$17),0,(+'Sheet4(F_22)'!$H27))</f>
        <v>1427.5712814155736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1860.38799706375</v>
      </c>
      <c r="L27" s="23">
        <f>IF(A27&gt;=(Title_RESULTS!$H$7+Title_RESULTS!$C$17),0,(+$K27-$F27))</f>
        <v>1860.38799706375</v>
      </c>
      <c r="M27" s="23">
        <f>IF(A27&gt;=(Title_RESULTS!$H$7+Title_RESULTS!$C$17),0,(+M26+$L27/(1+Title_RESULTS!$C$37)^('Sheet7(F_23)'!$A27-Title_RESULTS!$H$7)))</f>
        <v>3931.1842317420305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333.7599619134103</v>
      </c>
      <c r="H28" s="5">
        <f>IF(A28&gt;=(Title_RESULTS!$H$7+Title_RESULTS!$C$17),0,(+'Sheet4(F_22)'!$D28+'Sheet4(F_22)'!$G28))</f>
        <v>108.49061513978134</v>
      </c>
      <c r="I28" s="5">
        <f>IF(A28&gt;=(Title_RESULTS!$H$7+Title_RESULTS!$C$17),0,(+'Sheet4(F_22)'!$H28))</f>
        <v>1560.2034688981878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2002.4540459513794</v>
      </c>
      <c r="L28" s="23">
        <f>IF(A28&gt;=(Title_RESULTS!$H$7+Title_RESULTS!$C$17),0,(+$K28-$F28))</f>
        <v>2002.4540459513794</v>
      </c>
      <c r="M28" s="23">
        <f>IF(A28&gt;=(Title_RESULTS!$H$7+Title_RESULTS!$C$17),0,(+M27+$L28/(1+Title_RESULTS!$C$37)^('Sheet7(F_23)'!$A28-Title_RESULTS!$H$7)))</f>
        <v>4812.359314792638</v>
      </c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L30">SUM(B16:B29)</f>
        <v>0</v>
      </c>
      <c r="C30" s="5">
        <f t="shared" si="1"/>
        <v>384.072</v>
      </c>
      <c r="D30" s="5">
        <f t="shared" si="1"/>
        <v>5825.966041999999</v>
      </c>
      <c r="E30" s="5">
        <f t="shared" si="1"/>
        <v>0</v>
      </c>
      <c r="F30" s="5">
        <f t="shared" si="1"/>
        <v>6210.038041999999</v>
      </c>
      <c r="G30" s="5">
        <f t="shared" si="1"/>
        <v>2999.9739515074316</v>
      </c>
      <c r="H30" s="5">
        <f t="shared" si="1"/>
        <v>1146.5108395857358</v>
      </c>
      <c r="I30" s="5">
        <f t="shared" si="1"/>
        <v>13040.869713952943</v>
      </c>
      <c r="J30" s="5">
        <f t="shared" si="1"/>
        <v>0</v>
      </c>
      <c r="K30" s="5">
        <f t="shared" si="1"/>
        <v>17187.354505046114</v>
      </c>
      <c r="L30" s="5">
        <f t="shared" si="1"/>
        <v>10977.31646304611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118</v>
      </c>
      <c r="B32" s="5">
        <f>NPV(Title_RESULTS!$C$37,'Sheet7(F_23)'!B17:B29)+'Sheet7(F_23)'!B16</f>
        <v>0</v>
      </c>
      <c r="C32" s="5">
        <f>NPV(Title_RESULTS!$C$37,'Sheet7(F_23)'!C17:C29)+'Sheet7(F_23)'!C16</f>
        <v>358.8491576370552</v>
      </c>
      <c r="D32" s="5">
        <f>NPV(Title_RESULTS!$C$37,'Sheet7(F_23)'!D17:D29)+'Sheet7(F_23)'!D16</f>
        <v>5443.60468232759</v>
      </c>
      <c r="E32" s="5">
        <f>NPV(Title_RESULTS!$C$37,'Sheet7(F_23)'!E17:E29)+'Sheet7(F_23)'!E16</f>
        <v>0</v>
      </c>
      <c r="F32" s="5">
        <f>NPV(Title_RESULTS!$C$37,'Sheet7(F_23)'!F17:F29)+'Sheet7(F_23)'!F16</f>
        <v>5802.453839964645</v>
      </c>
      <c r="G32" s="5">
        <f>NPV(Title_RESULTS!$C$37,'Sheet7(F_23)'!G17:G29)+'Sheet7(F_23)'!G16</f>
        <v>1805.6321722891876</v>
      </c>
      <c r="H32" s="5">
        <f>NPV(Title_RESULTS!$C$37,'Sheet7(F_23)'!H17:H29)+'Sheet7(F_23)'!H16</f>
        <v>741.2673264608949</v>
      </c>
      <c r="I32" s="5">
        <f>NPV(Title_RESULTS!$C$37,'Sheet7(F_23)'!I17:I29)+'Sheet7(F_23)'!I16</f>
        <v>8067.913656007199</v>
      </c>
      <c r="J32" s="5">
        <f>NPV(Title_RESULTS!$C$37,'Sheet7(F_23)'!J17:J29)+'Sheet7(F_23)'!J16</f>
        <v>0</v>
      </c>
      <c r="K32" s="5">
        <f>NPV(Title_RESULTS!$C$37,'Sheet7(F_23)'!K17:K29)+'Sheet7(F_23)'!K16</f>
        <v>10614.813154757283</v>
      </c>
      <c r="L32" s="5">
        <f>NPV(Title_RESULTS!$C$37,'Sheet7(F_23)'!L17:L29)+'Sheet7(F_23)'!L16</f>
        <v>4812.359314792637</v>
      </c>
      <c r="M32" s="5"/>
    </row>
    <row r="34" spans="1:8" ht="12.75">
      <c r="A34" t="s">
        <v>162</v>
      </c>
      <c r="C34">
        <f>+Title_RESULTS!C37</f>
        <v>0.0708</v>
      </c>
      <c r="D34" t="s">
        <v>163</v>
      </c>
      <c r="H34" s="10">
        <f>+K32/F32</f>
        <v>1.8293662384088798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Chilled Water VSD</v>
      </c>
      <c r="L2" t="s">
        <v>55</v>
      </c>
    </row>
    <row r="3" ht="12.75">
      <c r="L3" s="35">
        <f>+Title_RESULTS!I4</f>
        <v>43599.320956365744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254.30349491909664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829.31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1083.6134949190966</v>
      </c>
      <c r="G16" s="5">
        <f>IF(A16&gt;=(Title_RESULTS!$H$7+Title_RESULTS!$C$17),0,(+'Sheet6(p_6)'!$H16))</f>
        <v>1898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1898</v>
      </c>
      <c r="K16" s="23">
        <f>IF(A16&gt;=(Title_RESULTS!$H$7+Title_RESULTS!$C$17),0,(+F16-J16))</f>
        <v>-814.3865050809034</v>
      </c>
      <c r="L16" s="23">
        <f>IF(A16&gt;=(Title_RESULTS!$H$7+Title_RESULTS!$C$17),0,(+$K16/((1+Title_RESULTS!$C$37)^('Sheet8(F_24)'!$A16-Title_RESULTS!$H$7))))</f>
        <v>-814.3865050809034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782.9331719056519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829.31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1612.2431719056517</v>
      </c>
      <c r="G17" s="5">
        <f>IF(A17&gt;=(Title_RESULTS!$H$7+Title_RESULTS!$C$17),0,(+'Sheet6(p_6)'!$H17))</f>
        <v>1941.6539999999998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1941.6539999999998</v>
      </c>
      <c r="K17" s="23">
        <f>IF(A17&gt;=(Title_RESULTS!$H$7+Title_RESULTS!$C$17),0,(+F17-J17))</f>
        <v>-329.41082809434806</v>
      </c>
      <c r="L17" s="23">
        <f>IF(A16&gt;=(Title_RESULTS!$H$7+Title_RESULTS!$C$17),0,(+$K17/((1+Title_RESULTS!$C$37)^('Sheet8(F_24)'!$A17-Title_RESULTS!$H$7))+L16))</f>
        <v>-1122.0170879108884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1333.384134465562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829.31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2162.694134465562</v>
      </c>
      <c r="G18" s="5">
        <f>IF(A18&gt;=(Title_RESULTS!$H$7+Title_RESULTS!$C$17),0,(+'Sheet6(p_6)'!$H18))</f>
        <v>1986.3120419999996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1986.3120419999996</v>
      </c>
      <c r="K18" s="23">
        <f>IF(A18&gt;=(Title_RESULTS!$H$7+Title_RESULTS!$C$17),0,(+F18-J18))</f>
        <v>176.38209246556244</v>
      </c>
      <c r="L18" s="23">
        <f>IF(A17&gt;=(Title_RESULTS!$H$7+Title_RESULTS!$C$17),0,(+$K18/((1+Title_RESULTS!$C$37)^('Sheet8(F_24)'!$A18-Title_RESULTS!$H$7))+L17))</f>
        <v>-968.18824780185</v>
      </c>
      <c r="M18" s="5"/>
    </row>
    <row r="19" spans="1:13" ht="12.75">
      <c r="A19">
        <f aca="true" t="shared" si="0" ref="A19:A28">+A18+1</f>
        <v>2023</v>
      </c>
      <c r="B19" s="5">
        <f>IF(A19&gt;=(Title_RESULTS!$H$7+Title_RESULTS!$C$17),0,(+'Sheet6(p_6)'!N19-'Sheet6(p_6)'!R19))</f>
        <v>1603.0291246908619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1603.0291246908619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1603.0291246908619</v>
      </c>
      <c r="L19" s="23">
        <f>IF(A18&gt;=(Title_RESULTS!$H$7+Title_RESULTS!$C$17),0,(+$K19/((1+Title_RESULTS!$C$37)^('Sheet8(F_24)'!$A19-Title_RESULTS!$H$7))+L18))</f>
        <v>337.4303429094472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1652.2444663475972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1652.2444663475972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1652.2444663475972</v>
      </c>
      <c r="L20" s="23">
        <f>IF(A19&gt;=(Title_RESULTS!$H$7+Title_RESULTS!$C$17),0,(+$K20/((1+Title_RESULTS!$C$37)^('Sheet8(F_24)'!$A20-Title_RESULTS!$H$7))+L19))</f>
        <v>1594.1570831383078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1704.3438157804408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1704.3438157804408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1704.3438157804408</v>
      </c>
      <c r="L21" s="23">
        <f>IF(A20&gt;=(Title_RESULTS!$H$7+Title_RESULTS!$C$17),0,(+$K21/((1+Title_RESULTS!$C$37)^('Sheet8(F_24)'!$A21-Title_RESULTS!$H$7))+L20))</f>
        <v>2804.7981353805617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1749.3357290633016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1749.3357290633016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1749.3357290633016</v>
      </c>
      <c r="L22" s="23">
        <f>IF(A21&gt;=(Title_RESULTS!$H$7+Title_RESULTS!$C$17),0,(+$K22/((1+Title_RESULTS!$C$37)^('Sheet8(F_24)'!$A22-Title_RESULTS!$H$7))+L21))</f>
        <v>3965.2389395141577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1807.378613038151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1807.378613038151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1807.378613038151</v>
      </c>
      <c r="L23" s="23">
        <f>IF(A22&gt;=(Title_RESULTS!$H$7+Title_RESULTS!$C$17),0,(+$K23/((1+Title_RESULTS!$C$37)^('Sheet8(F_24)'!$A23-Title_RESULTS!$H$7))+L22))</f>
        <v>5084.91038135273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1899.8487233933179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1899.8487233933179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1899.8487233933179</v>
      </c>
      <c r="L24" s="23">
        <f>IF(A23&gt;=(Title_RESULTS!$H$7+Title_RESULTS!$C$17),0,(+$K24/((1+Title_RESULTS!$C$37)^('Sheet8(F_24)'!$A24-Title_RESULTS!$H$7))+L23))</f>
        <v>6184.048124359175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1958.2218272268346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1958.2218272268346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1958.2218272268346</v>
      </c>
      <c r="L25" s="23">
        <f>IF(A24&gt;=(Title_RESULTS!$H$7+Title_RESULTS!$C$17),0,(+$K25/((1+Title_RESULTS!$C$37)^('Sheet8(F_24)'!$A25-Title_RESULTS!$H$7))+L24))</f>
        <v>7242.050455177993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2058.1970889610047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2058.1970889610047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2058.1970889610047</v>
      </c>
      <c r="L26" s="23">
        <f>IF(A25&gt;=(Title_RESULTS!$H$7+Title_RESULTS!$C$17),0,(+$K26/((1+Title_RESULTS!$C$37)^('Sheet8(F_24)'!$A26-Title_RESULTS!$H$7))+L25))</f>
        <v>8280.542883587921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2105.7245641096542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2105.7245641096542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2105.7245641096542</v>
      </c>
      <c r="L27" s="23">
        <f>IF(A26&gt;=(Title_RESULTS!$H$7+Title_RESULTS!$C$17),0,(+$K27/((1+Title_RESULTS!$C$37)^('Sheet8(F_24)'!$A27-Title_RESULTS!$H$7))+L26))</f>
        <v>9272.766536624336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2196.6623338822706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2196.6623338822706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2196.6623338822706</v>
      </c>
      <c r="L28" s="23">
        <f>IF(A27&gt;=(Title_RESULTS!$H$7+Title_RESULTS!$C$17),0,(+$K28/((1+Title_RESULTS!$C$37)^('Sheet8(F_24)'!$A28-Title_RESULTS!$H$7))+L27))</f>
        <v>10239.402509323132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K30">SUM(B16:B29)</f>
        <v>21105.607087783745</v>
      </c>
      <c r="C30" s="5">
        <f t="shared" si="1"/>
        <v>0</v>
      </c>
      <c r="D30" s="5">
        <f t="shared" si="1"/>
        <v>2487.93</v>
      </c>
      <c r="E30" s="5">
        <f t="shared" si="1"/>
        <v>0</v>
      </c>
      <c r="F30" s="5">
        <f t="shared" si="1"/>
        <v>23593.537087783745</v>
      </c>
      <c r="G30" s="5">
        <f t="shared" si="1"/>
        <v>5825.966041999999</v>
      </c>
      <c r="H30" s="5">
        <f t="shared" si="1"/>
        <v>0</v>
      </c>
      <c r="I30" s="5">
        <f t="shared" si="1"/>
        <v>0</v>
      </c>
      <c r="J30" s="5">
        <f t="shared" si="1"/>
        <v>5825.966041999999</v>
      </c>
      <c r="K30" s="5">
        <f t="shared" si="1"/>
        <v>17767.571045783745</v>
      </c>
      <c r="L30" s="5"/>
      <c r="M30" s="5"/>
    </row>
    <row r="31" ht="12.75">
      <c r="M31" s="5"/>
    </row>
    <row r="32" spans="1:13" ht="12.75">
      <c r="A32" t="s">
        <v>118</v>
      </c>
      <c r="B32" s="5">
        <f>NPV(Title_RESULTS!$C$37,'Sheet8(F_24)'!B17:B29)+'Sheet8(F_24)'!B16</f>
        <v>13355.950622242593</v>
      </c>
      <c r="C32" s="5">
        <f>NPV(Title_RESULTS!$C$37,'Sheet8(F_24)'!C17:C29)+'Sheet8(F_24)'!C16</f>
        <v>0</v>
      </c>
      <c r="D32" s="5">
        <f>NPV(Title_RESULTS!$C$37,'Sheet8(F_24)'!D17:D29)+'Sheet8(F_24)'!D16</f>
        <v>2327.0565694081306</v>
      </c>
      <c r="E32" s="5">
        <f>NPV(Title_RESULTS!$C$37,'Sheet8(F_24)'!E17:E29)+'Sheet8(F_24)'!E16</f>
        <v>0</v>
      </c>
      <c r="F32" s="5">
        <f>NPV(Title_RESULTS!$C$37,'Sheet8(F_24)'!F17:F29)+'Sheet8(F_24)'!F16</f>
        <v>15683.007191650724</v>
      </c>
      <c r="G32" s="5">
        <f>NPV(Title_RESULTS!$C$37,'Sheet8(F_24)'!G17:G29)+'Sheet8(F_24)'!G16</f>
        <v>5443.60468232759</v>
      </c>
      <c r="H32" s="5">
        <f>NPV(Title_RESULTS!$C$37,'Sheet8(F_24)'!H17:H29)+'Sheet8(F_24)'!H16</f>
        <v>0</v>
      </c>
      <c r="I32" s="5">
        <f>NPV(Title_RESULTS!$C$37,'Sheet8(F_24)'!I17:I29)+'Sheet8(F_24)'!I16</f>
        <v>0</v>
      </c>
      <c r="J32" s="5">
        <f>NPV(Title_RESULTS!$C$37,'Sheet8(F_24)'!J17:J29)+'Sheet8(F_24)'!J16</f>
        <v>5443.60468232759</v>
      </c>
      <c r="K32" s="5">
        <f>NPV(Title_RESULTS!$C$37,'Sheet8(F_24)'!K17:K29)+'Sheet8(F_24)'!K16</f>
        <v>10239.40250932313</v>
      </c>
      <c r="L32" s="5"/>
      <c r="M32" s="5"/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1" ht="12.75">
      <c r="A34" t="s">
        <v>174</v>
      </c>
      <c r="D34">
        <f>+Title_RESULTS!H8</f>
        <v>2023</v>
      </c>
      <c r="F34">
        <f>+F32/J32</f>
        <v>2.880996712080302</v>
      </c>
      <c r="K34" s="10"/>
    </row>
    <row r="35" spans="1:10" ht="12.75">
      <c r="A35" t="s">
        <v>175</v>
      </c>
      <c r="D35">
        <f>+Title_RESULTS!C37</f>
        <v>0.0708</v>
      </c>
      <c r="J35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Chilled Water VSD</v>
      </c>
      <c r="N2" t="s">
        <v>55</v>
      </c>
    </row>
    <row r="3" ht="12.75">
      <c r="N3" s="35">
        <f>+Title_RESULTS!I4</f>
        <v>43599.320956365744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829.31</v>
      </c>
      <c r="E16" s="5">
        <f>+'Sheet6(p_6)'!M16</f>
        <v>144.4122669</v>
      </c>
      <c r="F16">
        <f>IF(A16&gt;=(Title_RESULTS!$H$7+Title_RESULTS!$C$17),0,(+'f-11B'!$R15))</f>
        <v>0</v>
      </c>
      <c r="G16" s="5">
        <f>IF(A16&gt;=(Title_RESULTS!$H$7+Title_RESULTS!$C$17),0,(SUM(B16:F16)))</f>
        <v>1098.7222669</v>
      </c>
      <c r="H16" s="5">
        <f>IF(A16&gt;=(Title_RESULTS!$H$7+Title_RESULTS!$C$17),0,(+'Sheet3(F_21)'!$J16+'Sheet4(F_22)'!$H16))</f>
        <v>138.11126087976575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138.11126087976575</v>
      </c>
      <c r="M16" s="23">
        <f>IF(A16&gt;=(Title_RESULTS!$H$7+Title_RESULTS!$C$17),0,(+L16-G16))</f>
        <v>-960.6110060202343</v>
      </c>
      <c r="N16" s="24">
        <f>IF(A16&gt;=(Title_RESULTS!$H$7+Title_RESULTS!$C$17),0,(+$M16/((1+Title_RESULTS!$C$37)^('Sheet9(F_25)'!$A16-Title_RESULTS!$H$7))))</f>
        <v>-960.6110060202343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829.31</v>
      </c>
      <c r="E17" s="5">
        <f>+'Sheet6(p_6)'!M17</f>
        <v>437.569168707</v>
      </c>
      <c r="F17">
        <f>IF(A17&gt;=(Title_RESULTS!$H$7+Title_RESULTS!$C$17),0,(+'f-11B'!$R16))</f>
        <v>0</v>
      </c>
      <c r="G17" s="5">
        <f>IF(A17&gt;=(Title_RESULTS!$H$7+Title_RESULTS!$C$17),0,(SUM(B17:F17)))</f>
        <v>1394.879168707</v>
      </c>
      <c r="H17" s="5">
        <f>IF(A17&gt;=(Title_RESULTS!$H$7+Title_RESULTS!$C$17),0,(+'Sheet3(F_21)'!$J17+'Sheet4(F_22)'!$H17))</f>
        <v>410.96365247793966</v>
      </c>
      <c r="I17" s="5">
        <f>IF(A17&gt;=(Title_RESULTS!$H$7+Title_RESULTS!$C$17),0,(+'Sheet4(F_22)'!$D17+'Sheet4(F_22)'!$G17))</f>
        <v>83.57812975307843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494.5417822310181</v>
      </c>
      <c r="M17" s="23">
        <f>IF(A17&gt;=(Title_RESULTS!$H$7+Title_RESULTS!$C$17),0,(+L17-G17))</f>
        <v>-900.3373864759819</v>
      </c>
      <c r="N17" s="24">
        <f>(IF(A16&gt;=(Title_RESULTS!$H$7+Title_RESULTS!$C$17),0,(+$M17/((1+Title_RESULTS!$C$37)^('Sheet9(F_25)'!$A17-Title_RESULTS!$H$7))+N16)))</f>
        <v>-1801.4191741898103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829.31</v>
      </c>
      <c r="E18" s="5">
        <f>+'Sheet6(p_6)'!M18</f>
        <v>736.57476732345</v>
      </c>
      <c r="F18">
        <f>IF(A18&gt;=(Title_RESULTS!$H$7+Title_RESULTS!$C$17),0,(+'f-11B'!$R17))</f>
        <v>0</v>
      </c>
      <c r="G18" s="5">
        <f>IF(A18&gt;=(Title_RESULTS!$H$7+Title_RESULTS!$C$17),0,(SUM(B18:F18)))</f>
        <v>1696.95676732345</v>
      </c>
      <c r="H18" s="5">
        <f>IF(A18&gt;=(Title_RESULTS!$H$7+Title_RESULTS!$C$17),0,(+'Sheet3(F_21)'!$J18+'Sheet4(F_22)'!$H18))</f>
        <v>706.9033269110971</v>
      </c>
      <c r="I18" s="5">
        <f>IF(A18&gt;=(Title_RESULTS!$H$7+Title_RESULTS!$C$17),0,(+'Sheet4(F_22)'!$D18+'Sheet4(F_22)'!$G18))</f>
        <v>85.5840048671523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792.4873317782494</v>
      </c>
      <c r="M18" s="23">
        <f>IF(A18&gt;=(Title_RESULTS!$H$7+Title_RESULTS!$C$17),0,(+L18-G18))</f>
        <v>-904.4694355452007</v>
      </c>
      <c r="N18" s="24">
        <f>(IF(A17&gt;=(Title_RESULTS!$H$7+Title_RESULTS!$C$17),0,(+$M18/((1+Title_RESULTS!$C$37)^('Sheet9(F_25)'!$A18-Title_RESULTS!$H$7))+N17)))</f>
        <v>-2590.2378248765854</v>
      </c>
    </row>
    <row r="19" spans="1:14" ht="12.75">
      <c r="A19">
        <f aca="true" t="shared" si="0" ref="A19:A28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892.7286179960213</v>
      </c>
      <c r="F19">
        <f>IF(A19&gt;=(Title_RESULTS!$H$7+Title_RESULTS!$C$17),0,(+'f-11B'!$R18))</f>
        <v>0</v>
      </c>
      <c r="G19" s="5">
        <f>IF(A19&gt;=(Title_RESULTS!$H$7+Title_RESULTS!$C$17),0,(SUM(B19:F19)))</f>
        <v>892.7286179960213</v>
      </c>
      <c r="H19" s="5">
        <f>IF(A19&gt;=(Title_RESULTS!$H$7+Title_RESULTS!$C$17),0,(+'Sheet3(F_21)'!$J19+'Sheet4(F_22)'!$H19))</f>
        <v>1149.6165395798134</v>
      </c>
      <c r="I19" s="5">
        <f>IF(A19&gt;=(Title_RESULTS!$H$7+Title_RESULTS!$C$17),0,(+'Sheet4(F_22)'!$D19+'Sheet4(F_22)'!$G19))</f>
        <v>87.63802098396397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1237.2545605637774</v>
      </c>
      <c r="M19" s="23">
        <f>IF(A19&gt;=(Title_RESULTS!$H$7+Title_RESULTS!$C$17),0,(+L19-G19))</f>
        <v>344.52594256775615</v>
      </c>
      <c r="N19" s="24">
        <f>(IF(A18&gt;=(Title_RESULTS!$H$7+Title_RESULTS!$C$17),0,(+$M19/((1+Title_RESULTS!$C$37)^('Sheet9(F_25)'!$A19-Title_RESULTS!$H$7))+N18)))</f>
        <v>-2309.6318965934415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901.6559041759816</v>
      </c>
      <c r="F20">
        <f>IF(A20&gt;=(Title_RESULTS!$H$7+Title_RESULTS!$C$17),0,(+'f-11B'!$R19))</f>
        <v>0</v>
      </c>
      <c r="G20" s="5">
        <f>IF(A20&gt;=(Title_RESULTS!$H$7+Title_RESULTS!$C$17),0,(SUM(B20:F20)))</f>
        <v>901.6559041759816</v>
      </c>
      <c r="H20" s="5">
        <f>IF(A20&gt;=(Title_RESULTS!$H$7+Title_RESULTS!$C$17),0,(+'Sheet3(F_21)'!$J20+'Sheet4(F_22)'!$H20))</f>
        <v>1191.4253640957213</v>
      </c>
      <c r="I20" s="5">
        <f>IF(A20&gt;=(Title_RESULTS!$H$7+Title_RESULTS!$C$17),0,(+'Sheet4(F_22)'!$D20+'Sheet4(F_22)'!$G20))</f>
        <v>89.74133348757911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1281.1666975833004</v>
      </c>
      <c r="M20" s="23">
        <f>IF(A20&gt;=(Title_RESULTS!$H$7+Title_RESULTS!$C$17),0,(+L20-G20))</f>
        <v>379.51079340731883</v>
      </c>
      <c r="N20" s="24">
        <f>(IF(A19&gt;=(Title_RESULTS!$H$7+Title_RESULTS!$C$17),0,(+$M20/((1+Title_RESULTS!$C$37)^('Sheet9(F_25)'!$A20-Title_RESULTS!$H$7))+N19)))</f>
        <v>-2020.969188383705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910.6724632177413</v>
      </c>
      <c r="F21">
        <f>IF(A21&gt;=(Title_RESULTS!$H$7+Title_RESULTS!$C$17),0,(+'f-11B'!$R20))</f>
        <v>0</v>
      </c>
      <c r="G21" s="5">
        <f>IF(A21&gt;=(Title_RESULTS!$H$7+Title_RESULTS!$C$17),0,(SUM(B21:F21)))</f>
        <v>910.6724632177413</v>
      </c>
      <c r="H21" s="5">
        <f>IF(A21&gt;=(Title_RESULTS!$H$7+Title_RESULTS!$C$17),0,(+'Sheet3(F_21)'!$J21+'Sheet4(F_22)'!$H21))</f>
        <v>1266.8402017428161</v>
      </c>
      <c r="I21" s="5">
        <f>IF(A21&gt;=(Title_RESULTS!$H$7+Title_RESULTS!$C$17),0,(+'Sheet4(F_22)'!$D21+'Sheet4(F_22)'!$G21))</f>
        <v>91.895125491281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1358.7353272340972</v>
      </c>
      <c r="M21" s="23">
        <f>IF(A21&gt;=(Title_RESULTS!$H$7+Title_RESULTS!$C$17),0,(+L21-G21))</f>
        <v>448.0628640163559</v>
      </c>
      <c r="N21" s="24">
        <f>(IF(A20&gt;=(Title_RESULTS!$H$7+Title_RESULTS!$C$17),0,(+$M21/((1+Title_RESULTS!$C$37)^('Sheet9(F_25)'!$A21-Title_RESULTS!$H$7))+N20)))</f>
        <v>-1702.6981375892692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919.7791878499189</v>
      </c>
      <c r="F22">
        <f>IF(A22&gt;=(Title_RESULTS!$H$7+Title_RESULTS!$C$17),0,(+'f-11B'!$R21))</f>
        <v>0</v>
      </c>
      <c r="G22" s="5">
        <f>IF(A22&gt;=(Title_RESULTS!$H$7+Title_RESULTS!$C$17),0,(SUM(B22:F22)))</f>
        <v>919.7791878499189</v>
      </c>
      <c r="H22" s="5">
        <f>IF(A22&gt;=(Title_RESULTS!$H$7+Title_RESULTS!$C$17),0,(+'Sheet3(F_21)'!$J22+'Sheet4(F_22)'!$H22))</f>
        <v>1307.1548993932543</v>
      </c>
      <c r="I22" s="5">
        <f>IF(A22&gt;=(Title_RESULTS!$H$7+Title_RESULTS!$C$17),0,(+'Sheet4(F_22)'!$D22+'Sheet4(F_22)'!$G22))</f>
        <v>94.10060850307174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1401.255507896326</v>
      </c>
      <c r="M22" s="23">
        <f>IF(A22&gt;=(Title_RESULTS!$H$7+Title_RESULTS!$C$17),0,(+L22-G22))</f>
        <v>481.47632004640707</v>
      </c>
      <c r="N22" s="24">
        <f>(IF(A21&gt;=(Title_RESULTS!$H$7+Title_RESULTS!$C$17),0,(+$M22/((1+Title_RESULTS!$C$37)^('Sheet9(F_25)'!$A22-Title_RESULTS!$H$7))+N21)))</f>
        <v>-1383.3056054850335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928.976979728418</v>
      </c>
      <c r="F23">
        <f>IF(A23&gt;=(Title_RESULTS!$H$7+Title_RESULTS!$C$17),0,(+'f-11B'!$R22))</f>
        <v>0</v>
      </c>
      <c r="G23" s="5">
        <f>IF(A23&gt;=(Title_RESULTS!$H$7+Title_RESULTS!$C$17),0,(SUM(B23:F23)))</f>
        <v>928.976979728418</v>
      </c>
      <c r="H23" s="5">
        <f>IF(A23&gt;=(Title_RESULTS!$H$7+Title_RESULTS!$C$17),0,(+'Sheet3(F_21)'!$J23+'Sheet4(F_22)'!$H23))</f>
        <v>1378.5248633289202</v>
      </c>
      <c r="I23" s="5">
        <f>IF(A23&gt;=(Title_RESULTS!$H$7+Title_RESULTS!$C$17),0,(+'Sheet4(F_22)'!$D23+'Sheet4(F_22)'!$G23))</f>
        <v>96.35902310714548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1474.8838864360657</v>
      </c>
      <c r="M23" s="23">
        <f>IF(A23&gt;=(Title_RESULTS!$H$7+Title_RESULTS!$C$17),0,(+L23-G23))</f>
        <v>545.9069067076477</v>
      </c>
      <c r="N23" s="24">
        <f>(IF(A22&gt;=(Title_RESULTS!$H$7+Title_RESULTS!$C$17),0,(+$M23/((1+Title_RESULTS!$C$37)^('Sheet9(F_25)'!$A23-Title_RESULTS!$H$7))+N22)))</f>
        <v>-1045.1161586620924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938.2667495257024</v>
      </c>
      <c r="F24">
        <f>IF(A24&gt;=(Title_RESULTS!$H$7+Title_RESULTS!$C$17),0,(+'f-11B'!$R23))</f>
        <v>0</v>
      </c>
      <c r="G24" s="5">
        <f>IF(A24&gt;=(Title_RESULTS!$H$7+Title_RESULTS!$C$17),0,(SUM(B24:F24)))</f>
        <v>938.2667495257024</v>
      </c>
      <c r="H24" s="5">
        <f>IF(A24&gt;=(Title_RESULTS!$H$7+Title_RESULTS!$C$17),0,(+'Sheet3(F_21)'!$J24+'Sheet4(F_22)'!$H24))</f>
        <v>1500.180389282109</v>
      </c>
      <c r="I24" s="5">
        <f>IF(A24&gt;=(Title_RESULTS!$H$7+Title_RESULTS!$C$17),0,(+'Sheet4(F_22)'!$D24+'Sheet4(F_22)'!$G24))</f>
        <v>98.67163966171695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1598.8520289438259</v>
      </c>
      <c r="M24" s="23">
        <f>IF(A24&gt;=(Title_RESULTS!$H$7+Title_RESULTS!$C$17),0,(+L24-G24))</f>
        <v>660.5852794181235</v>
      </c>
      <c r="N24" s="24">
        <f>(IF(A23&gt;=(Title_RESULTS!$H$7+Title_RESULTS!$C$17),0,(+$M24/((1+Title_RESULTS!$C$37)^('Sheet9(F_25)'!$A24-Title_RESULTS!$H$7))+N23)))</f>
        <v>-662.9414075134443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947.6494170209594</v>
      </c>
      <c r="F25">
        <f>IF(A25&gt;=(Title_RESULTS!$H$7+Title_RESULTS!$C$17),0,(+'f-11B'!$R24))</f>
        <v>0</v>
      </c>
      <c r="G25" s="5">
        <f>IF(A25&gt;=(Title_RESULTS!$H$7+Title_RESULTS!$C$17),0,(SUM(B25:F25)))</f>
        <v>947.6494170209594</v>
      </c>
      <c r="H25" s="5">
        <f>IF(A25&gt;=(Title_RESULTS!$H$7+Title_RESULTS!$C$17),0,(+'Sheet3(F_21)'!$J25+'Sheet4(F_22)'!$H25))</f>
        <v>1593.8573377876287</v>
      </c>
      <c r="I25" s="5">
        <f>IF(A25&gt;=(Title_RESULTS!$H$7+Title_RESULTS!$C$17),0,(+'Sheet4(F_22)'!$D25+'Sheet4(F_22)'!$G25))</f>
        <v>101.03975901359816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1694.8970968012268</v>
      </c>
      <c r="M25" s="23">
        <f>IF(A25&gt;=(Title_RESULTS!$H$7+Title_RESULTS!$C$17),0,(+L25-G25))</f>
        <v>747.2476797802674</v>
      </c>
      <c r="N25" s="24">
        <f>(IF(A24&gt;=(Title_RESULTS!$H$7+Title_RESULTS!$C$17),0,(+$M25/((1+Title_RESULTS!$C$37)^('Sheet9(F_25)'!$A25-Title_RESULTS!$H$7))+N24)))</f>
        <v>-259.21299640381926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957.125911191169</v>
      </c>
      <c r="F26">
        <f>IF(A26&gt;=(Title_RESULTS!$H$7+Title_RESULTS!$C$17),0,(+'f-11B'!$R25))</f>
        <v>0</v>
      </c>
      <c r="G26" s="5">
        <f>IF(A26&gt;=(Title_RESULTS!$H$7+Title_RESULTS!$C$17),0,(SUM(B26:F26)))</f>
        <v>957.125911191169</v>
      </c>
      <c r="H26" s="5">
        <f>IF(A26&gt;=(Title_RESULTS!$H$7+Title_RESULTS!$C$17),0,(+'Sheet3(F_21)'!$J26+'Sheet4(F_22)'!$H26))</f>
        <v>1748.8622684534037</v>
      </c>
      <c r="I26" s="5">
        <f>IF(A26&gt;=(Title_RESULTS!$H$7+Title_RESULTS!$C$17),0,(+'Sheet4(F_22)'!$D26+'Sheet4(F_22)'!$G26))</f>
        <v>103.46471322992451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1852.326981683328</v>
      </c>
      <c r="M26" s="23">
        <f>IF(A26&gt;=(Title_RESULTS!$H$7+Title_RESULTS!$C$17),0,(+L26-G26))</f>
        <v>895.201070492159</v>
      </c>
      <c r="N26" s="24">
        <f>(IF(A25&gt;=(Title_RESULTS!$H$7+Title_RESULTS!$C$17),0,(+$M26/((1+Title_RESULTS!$C$37)^('Sheet9(F_25)'!$A26-Title_RESULTS!$H$7))+N25)))</f>
        <v>192.47335501351267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966.6971703030805</v>
      </c>
      <c r="F27">
        <f>IF(A27&gt;=(Title_RESULTS!$H$7+Title_RESULTS!$C$17),0,(+'f-11B'!$R26))</f>
        <v>0</v>
      </c>
      <c r="G27" s="5">
        <f>IF(A27&gt;=(Title_RESULTS!$H$7+Title_RESULTS!$C$17),0,(SUM(B27:F27)))</f>
        <v>966.6971703030805</v>
      </c>
      <c r="H27" s="5">
        <f>IF(A27&gt;=(Title_RESULTS!$H$7+Title_RESULTS!$C$17),0,(+'Sheet3(F_21)'!$J27+'Sheet4(F_22)'!$H27))</f>
        <v>1754.440130716307</v>
      </c>
      <c r="I27" s="5">
        <f>IF(A27&gt;=(Title_RESULTS!$H$7+Title_RESULTS!$C$17),0,(+'Sheet4(F_22)'!$D27+'Sheet4(F_22)'!$G27))</f>
        <v>105.94786634744273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1860.3879970637497</v>
      </c>
      <c r="M27" s="23">
        <f>IF(A27&gt;=(Title_RESULTS!$H$7+Title_RESULTS!$C$17),0,(+L27-G27))</f>
        <v>893.6908267606692</v>
      </c>
      <c r="N27" s="24">
        <f>(IF(A26&gt;=(Title_RESULTS!$H$7+Title_RESULTS!$C$17),0,(+$M27/((1+Title_RESULTS!$C$37)^('Sheet9(F_25)'!$A27-Title_RESULTS!$H$7))+N26)))</f>
        <v>613.5831202351285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976.3641420061114</v>
      </c>
      <c r="F28">
        <f>IF(A28&gt;=(Title_RESULTS!$H$7+Title_RESULTS!$C$17),0,(+'f-11B'!$R27))</f>
        <v>0</v>
      </c>
      <c r="G28" s="5">
        <f>IF(A28&gt;=(Title_RESULTS!$H$7+Title_RESULTS!$C$17),0,(SUM(B28:F28)))</f>
        <v>976.3641420061114</v>
      </c>
      <c r="H28" s="5">
        <f>IF(A28&gt;=(Title_RESULTS!$H$7+Title_RESULTS!$C$17),0,(+'Sheet3(F_21)'!$J28+'Sheet4(F_22)'!$H28))</f>
        <v>1893.963430811598</v>
      </c>
      <c r="I28" s="5">
        <f>IF(A28&gt;=(Title_RESULTS!$H$7+Title_RESULTS!$C$17),0,(+'Sheet4(F_22)'!$D28+'Sheet4(F_22)'!$G28))</f>
        <v>108.49061513978134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2002.4540459513794</v>
      </c>
      <c r="M28" s="23">
        <f>IF(A28&gt;=(Title_RESULTS!$H$7+Title_RESULTS!$C$17),0,(+L28-G28))</f>
        <v>1026.089903945268</v>
      </c>
      <c r="N28" s="24">
        <f>(IF(A27&gt;=(Title_RESULTS!$H$7+Title_RESULTS!$C$17),0,(+$M28/((1+Title_RESULTS!$C$37)^('Sheet9(F_25)'!$A28-Title_RESULTS!$H$7))+N27)))</f>
        <v>1065.1115126865948</v>
      </c>
    </row>
    <row r="29" ht="12.75">
      <c r="E29" s="5"/>
    </row>
    <row r="30" spans="1:13" ht="12.75">
      <c r="A30" t="s">
        <v>87</v>
      </c>
      <c r="B30" s="5">
        <f aca="true" t="shared" si="1" ref="B30:M30">SUM(B16:B29)</f>
        <v>0</v>
      </c>
      <c r="C30" s="5">
        <f t="shared" si="1"/>
        <v>384.072</v>
      </c>
      <c r="D30" s="5">
        <f t="shared" si="1"/>
        <v>2487.93</v>
      </c>
      <c r="E30" s="5">
        <f t="shared" si="1"/>
        <v>10658.472745945555</v>
      </c>
      <c r="F30" s="5">
        <f t="shared" si="1"/>
        <v>0</v>
      </c>
      <c r="G30" s="5">
        <f t="shared" si="1"/>
        <v>13530.474745945556</v>
      </c>
      <c r="H30" s="5">
        <f t="shared" si="1"/>
        <v>16040.843665460374</v>
      </c>
      <c r="I30" s="5">
        <f t="shared" si="1"/>
        <v>1146.5108395857358</v>
      </c>
      <c r="J30" s="5">
        <f t="shared" si="1"/>
        <v>0</v>
      </c>
      <c r="K30" s="9">
        <f t="shared" si="1"/>
        <v>0</v>
      </c>
      <c r="L30" s="5">
        <f t="shared" si="1"/>
        <v>17187.354505046114</v>
      </c>
      <c r="M30" s="5">
        <f t="shared" si="1"/>
        <v>3656.8797591005555</v>
      </c>
    </row>
    <row r="32" spans="1:13" ht="12.75">
      <c r="A32" t="s">
        <v>118</v>
      </c>
      <c r="B32" s="5">
        <f>NPV(Title_RESULTS!$C$37,'Sheet9(F_25)'!B17:B29)+'Sheet9(F_25)'!B16</f>
        <v>0</v>
      </c>
      <c r="C32" s="5">
        <f>NPV(Title_RESULTS!$C$37,'Sheet9(F_25)'!C17:C29)+'Sheet9(F_25)'!C16</f>
        <v>358.8491576370552</v>
      </c>
      <c r="D32" s="5">
        <f>NPV(Title_RESULTS!$C$37,'Sheet9(F_25)'!D17:D29)+'Sheet9(F_25)'!D16</f>
        <v>2327.0565694081306</v>
      </c>
      <c r="E32" s="5">
        <f>NPV(Title_RESULTS!$C$37,'Sheet9(F_25)'!E17:E29)+'Sheet9(F_25)'!E16</f>
        <v>6863.795915025501</v>
      </c>
      <c r="F32" s="5">
        <f>NPV(Title_RESULTS!$C$37,'Sheet9(F_25)'!F17:F29)+'Sheet9(F_25)'!F16</f>
        <v>0</v>
      </c>
      <c r="G32" s="5">
        <f>NPV(Title_RESULTS!$C$37,'Sheet9(F_25)'!G17:G29)+'Sheet9(F_25)'!G16</f>
        <v>9549.701642070688</v>
      </c>
      <c r="H32" s="5">
        <f>NPV(Title_RESULTS!$C$37,'Sheet9(F_25)'!H17:H29)+'Sheet9(F_25)'!H16</f>
        <v>9873.545828296388</v>
      </c>
      <c r="I32" s="5">
        <f>NPV(Title_RESULTS!$C$37,'Sheet9(F_25)'!I17:I29)+'Sheet9(F_25)'!I16</f>
        <v>741.2673264608949</v>
      </c>
      <c r="J32" s="5">
        <f>NPV(Title_RESULTS!$C$37,'Sheet9(F_25)'!J17:J29)+'Sheet9(F_25)'!J16</f>
        <v>0</v>
      </c>
      <c r="K32" s="9">
        <f>NPV(Title_RESULTS!$C$37,'Sheet9(F_25)'!K17:K29)+'Sheet9(F_25)'!K16</f>
        <v>0</v>
      </c>
      <c r="L32" s="5">
        <f>NPV(Title_RESULTS!$C$37,'Sheet9(F_25)'!L17:L29)+'Sheet9(F_25)'!L16</f>
        <v>10614.813154757283</v>
      </c>
      <c r="M32" s="5">
        <f>NPV(Title_RESULTS!$C$37,'Sheet9(F_25)'!M17:M29)+'Sheet9(F_25)'!M16</f>
        <v>1065.1115126865943</v>
      </c>
    </row>
    <row r="34" spans="1:10" ht="12.75">
      <c r="A34" t="s">
        <v>175</v>
      </c>
      <c r="D34">
        <f>+Title_RESULTS!C37</f>
        <v>0.0708</v>
      </c>
      <c r="F34" t="s">
        <v>183</v>
      </c>
      <c r="J34" s="10">
        <f>+L32/G32</f>
        <v>1.1115334858205732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2107.5133239038187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122.937344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260.63185920000006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12.148951526954278</v>
      </c>
      <c r="P24" s="48">
        <f aca="true" t="shared" si="4" ref="P24:P61">N24*$L$5</f>
        <v>25.756240705840966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12.440526363601181</v>
      </c>
      <c r="P25" s="48">
        <f t="shared" si="4"/>
        <v>26.374390482781145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289.9741539625721</v>
      </c>
      <c r="E26" s="11">
        <f>IF(B26=Title_RESULTS!$H$8,$F$16,+E25*(1+$F$7))</f>
        <v>0.09882230355451863</v>
      </c>
      <c r="F26" s="9">
        <f t="shared" si="1"/>
        <v>208.26932144001572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16.91503057772962</v>
      </c>
      <c r="L26" s="5">
        <f t="shared" si="3"/>
        <v>35.86051011398556</v>
      </c>
      <c r="N26" s="11">
        <f>IF(+B26=Title_RESULTS!$H$9,'Value of Defferal'!$O$16,+'Value of Defferal'!N25*(1+'Value of Defferal'!$F$7))</f>
        <v>0.10362269577198292</v>
      </c>
      <c r="O26" s="5">
        <f t="shared" si="7"/>
        <v>12.73909899632761</v>
      </c>
      <c r="P26" s="48">
        <f t="shared" si="4"/>
        <v>27.007375854367893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281.4112507989306</v>
      </c>
      <c r="E27" s="11">
        <f>IF(B27=Title_RESULTS!$H$8,$F$16,+E26*(1+$F$7))</f>
        <v>0.10119403883982707</v>
      </c>
      <c r="F27" s="9">
        <f t="shared" si="1"/>
        <v>213.26778515457607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16.415531684921994</v>
      </c>
      <c r="L27" s="5">
        <f t="shared" si="3"/>
        <v>34.801553405918135</v>
      </c>
      <c r="N27" s="11">
        <f>IF(+B27=Title_RESULTS!$H$9,'Value of Defferal'!$O$16,+'Value of Defferal'!N26*(1+'Value of Defferal'!$F$7))</f>
        <v>0.10610964047051051</v>
      </c>
      <c r="O27" s="5">
        <f t="shared" si="7"/>
        <v>13.044837372239472</v>
      </c>
      <c r="P27" s="48">
        <f t="shared" si="4"/>
        <v>27.655552874872726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271.95786815629685</v>
      </c>
      <c r="E28" s="11">
        <f>IF(B28=Title_RESULTS!$H$8,$F$16,+E27*(1+$F$7))</f>
        <v>0.10362269577198292</v>
      </c>
      <c r="F28" s="9">
        <f t="shared" si="1"/>
        <v>218.38621199828592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15.864088550152928</v>
      </c>
      <c r="L28" s="5">
        <f t="shared" si="3"/>
        <v>33.632472923278634</v>
      </c>
      <c r="N28" s="11">
        <f>IF(+B28=Title_RESULTS!$H$9,'Value of Defferal'!$O$16,+'Value of Defferal'!N27*(1+'Value of Defferal'!$F$7))</f>
        <v>0.10865627184180277</v>
      </c>
      <c r="O28" s="5">
        <f t="shared" si="7"/>
        <v>13.35791346917322</v>
      </c>
      <c r="P28" s="48">
        <f t="shared" si="4"/>
        <v>28.31928614386967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262.95725043185496</v>
      </c>
      <c r="E29" s="11">
        <f>IF(B29=Title_RESULTS!$H$8,$F$16,+E28*(1+$F$7))</f>
        <v>0.10610964047051051</v>
      </c>
      <c r="F29" s="9">
        <f t="shared" si="1"/>
        <v>223.62748108624476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15.339056501789608</v>
      </c>
      <c r="L29" s="5">
        <f t="shared" si="3"/>
        <v>32.51938495137226</v>
      </c>
      <c r="N29" s="11">
        <f>IF(+B29=Title_RESULTS!$H$9,'Value of Defferal'!$O$16,+'Value of Defferal'!N28*(1+'Value of Defferal'!$F$7))</f>
        <v>0.11126402236600604</v>
      </c>
      <c r="O29" s="5">
        <f t="shared" si="7"/>
        <v>13.678503392433377</v>
      </c>
      <c r="P29" s="48">
        <f t="shared" si="4"/>
        <v>28.998949011322544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254.36399571414077</v>
      </c>
      <c r="E30" s="11">
        <f>IF(B30=Title_RESULTS!$H$8,$F$16,+E29*(1+$F$7))</f>
        <v>0.10865627184180277</v>
      </c>
      <c r="F30" s="9">
        <f t="shared" si="1"/>
        <v>228.99454063231465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14.837787115101042</v>
      </c>
      <c r="L30" s="5">
        <f t="shared" si="3"/>
        <v>31.456674728734907</v>
      </c>
      <c r="N30" s="11">
        <f>IF(+B30=Title_RESULTS!$H$9,'Value of Defferal'!$O$16,+'Value of Defferal'!N29*(1+'Value of Defferal'!$F$7))</f>
        <v>0.11393435890279018</v>
      </c>
      <c r="O30" s="5">
        <f t="shared" si="7"/>
        <v>14.006787473851778</v>
      </c>
      <c r="P30" s="48">
        <f t="shared" si="4"/>
        <v>29.694923787594284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246.13771887748734</v>
      </c>
      <c r="E31" s="11">
        <f>IF(B31=Title_RESULTS!$H$8,$F$16,+E30*(1+$F$7))</f>
        <v>0.11126402236600604</v>
      </c>
      <c r="F31" s="9">
        <f t="shared" si="1"/>
        <v>234.4904096074902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14.35792460897292</v>
      </c>
      <c r="L31" s="5">
        <f t="shared" si="3"/>
        <v>30.439347909533872</v>
      </c>
      <c r="N31" s="11">
        <f>IF(+B31=Title_RESULTS!$H$9,'Value of Defferal'!$O$16,+'Value of Defferal'!N30*(1+'Value of Defferal'!$F$7))</f>
        <v>0.11666878351645714</v>
      </c>
      <c r="O31" s="5">
        <f t="shared" si="7"/>
        <v>14.34295037322422</v>
      </c>
      <c r="P31" s="48">
        <f t="shared" si="4"/>
        <v>30.407601958496546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238.16754895577796</v>
      </c>
      <c r="E32" s="11">
        <f>IF(B32=Title_RESULTS!$H$8,$F$16,+E31*(1+$F$7))</f>
        <v>0.11393435890279018</v>
      </c>
      <c r="F32" s="9">
        <f t="shared" si="1"/>
        <v>240.11817943806994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13.893001559476529</v>
      </c>
      <c r="L32" s="5">
        <f t="shared" si="3"/>
        <v>29.453693308315398</v>
      </c>
      <c r="N32" s="11">
        <f>IF(+B32=Title_RESULTS!$H$9,'Value of Defferal'!$O$16,+'Value of Defferal'!N31*(1+'Value of Defferal'!$F$7))</f>
        <v>0.11946883432085212</v>
      </c>
      <c r="O32" s="5">
        <f t="shared" si="7"/>
        <v>14.687181182181602</v>
      </c>
      <c r="P32" s="48">
        <f t="shared" si="4"/>
        <v>31.137384405500466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230.27940348185183</v>
      </c>
      <c r="E33" s="11">
        <f>IF(B33=Title_RESULTS!$H$8,$F$16,+E32*(1+$F$7))</f>
        <v>0.11666878351645714</v>
      </c>
      <c r="F33" s="9">
        <f t="shared" si="1"/>
        <v>245.88101574458364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13.432863233112926</v>
      </c>
      <c r="L33" s="5">
        <f t="shared" si="3"/>
        <v>28.478182502670187</v>
      </c>
      <c r="N33" s="11">
        <f>IF(+B33=Title_RESULTS!$H$9,'Value of Defferal'!$O$16,+'Value of Defferal'!N32*(1+'Value of Defferal'!$F$7))</f>
        <v>0.12233608634455258</v>
      </c>
      <c r="O33" s="5">
        <f t="shared" si="7"/>
        <v>15.039673530553962</v>
      </c>
      <c r="P33" s="48">
        <f t="shared" si="4"/>
        <v>31.88468163123248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222.39125800792567</v>
      </c>
      <c r="E34" s="11">
        <f>IF(B34=Title_RESULTS!$H$8,$F$16,+E33*(1+$F$7))</f>
        <v>0.11946883432085212</v>
      </c>
      <c r="F34" s="9">
        <f t="shared" si="1"/>
        <v>251.78216012245366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12.972724906749319</v>
      </c>
      <c r="L34" s="5">
        <f t="shared" si="3"/>
        <v>27.50267169702497</v>
      </c>
      <c r="N34" s="11">
        <f>IF(+B34=Title_RESULTS!$H$9,'Value of Defferal'!$O$16,+'Value of Defferal'!N33*(1+'Value of Defferal'!$F$7))</f>
        <v>0.12527215241682185</v>
      </c>
      <c r="O34" s="5">
        <f t="shared" si="7"/>
        <v>15.400625695287259</v>
      </c>
      <c r="P34" s="48">
        <f t="shared" si="4"/>
        <v>32.64991399038206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214.5031125339995</v>
      </c>
      <c r="E35" s="11">
        <f>IF(B35=Title_RESULTS!$H$8,$F$16,+E34*(1+$F$7))</f>
        <v>0.12233608634455258</v>
      </c>
      <c r="F35" s="9">
        <f t="shared" si="1"/>
        <v>257.8249319653926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12.512586580385713</v>
      </c>
      <c r="L35" s="5">
        <f t="shared" si="3"/>
        <v>26.527160891379754</v>
      </c>
      <c r="N35" s="11">
        <f>IF(+B35=Title_RESULTS!$H$9,'Value of Defferal'!$O$16,+'Value of Defferal'!N34*(1+'Value of Defferal'!$F$7))</f>
        <v>0.12827868407482557</v>
      </c>
      <c r="O35" s="5">
        <f t="shared" si="7"/>
        <v>15.770240711974152</v>
      </c>
      <c r="P35" s="48">
        <f t="shared" si="4"/>
        <v>33.433511926151226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206.61496706007338</v>
      </c>
      <c r="E36" s="11">
        <f>IF(B36=Title_RESULTS!$H$8,$F$16,+E35*(1+$F$7))</f>
        <v>0.12527215241682185</v>
      </c>
      <c r="F36" s="9">
        <f t="shared" si="1"/>
        <v>264.012730332562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12.052448254022108</v>
      </c>
      <c r="L36" s="5">
        <f t="shared" si="3"/>
        <v>25.551650085734543</v>
      </c>
      <c r="N36" s="11">
        <f>IF(+B36=Title_RESULTS!$H$9,'Value of Defferal'!$O$16,+'Value of Defferal'!N35*(1+'Value of Defferal'!$F$7))</f>
        <v>0.1313573724926214</v>
      </c>
      <c r="O36" s="5">
        <f t="shared" si="7"/>
        <v>16.148726489061534</v>
      </c>
      <c r="P36" s="48">
        <f t="shared" si="4"/>
        <v>34.23591621237886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198.72682158614722</v>
      </c>
      <c r="E37" s="11">
        <f>IF(B37&gt;Title_RESULTS!$H$8-1+Title_RESULTS!$C$18,0,+E36*(1+$F$7))</f>
        <v>0.12827868407482557</v>
      </c>
      <c r="F37" s="9">
        <f t="shared" si="1"/>
        <v>270.3490358605435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11.592309927658501</v>
      </c>
      <c r="L37" s="5">
        <f t="shared" si="3"/>
        <v>24.576139280089325</v>
      </c>
      <c r="N37" s="11">
        <f>IF(+B37=Title_RESULTS!$H$9,'Value of Defferal'!$O$16,+'Value of Defferal'!N36*(1+'Value of Defferal'!$F$7))</f>
        <v>0.1345099494324443</v>
      </c>
      <c r="O37" s="5">
        <f t="shared" si="7"/>
        <v>16.53629592479901</v>
      </c>
      <c r="P37" s="48">
        <f t="shared" si="4"/>
        <v>35.05757820147595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190.83867611222104</v>
      </c>
      <c r="E38" s="11">
        <f>IF(B38&gt;Title_RESULTS!$H$8-1+Title_RESULTS!$C$18,0,+E37*(1+$F$7))</f>
        <v>0.1313573724926214</v>
      </c>
      <c r="F38" s="9">
        <f t="shared" si="1"/>
        <v>276.83741272119653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11.132171601294894</v>
      </c>
      <c r="L38" s="5">
        <f t="shared" si="3"/>
        <v>23.600628474444107</v>
      </c>
      <c r="N38" s="11">
        <f>IF(+B38=Title_RESULTS!$H$9,'Value of Defferal'!$O$16,+'Value of Defferal'!N37*(1+'Value of Defferal'!$F$7))</f>
        <v>0.13773818821882297</v>
      </c>
      <c r="O38" s="5">
        <f t="shared" si="7"/>
        <v>16.933167026994187</v>
      </c>
      <c r="P38" s="48">
        <f t="shared" si="4"/>
        <v>35.898960078311376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182.95053063829485</v>
      </c>
      <c r="E39" s="11">
        <f>IF(B39&gt;Title_RESULTS!$H$8-1+Title_RESULTS!$C$18,0,+E38*(1+$F$7))</f>
        <v>0.1345099494324443</v>
      </c>
      <c r="F39" s="9">
        <f t="shared" si="1"/>
        <v>283.4815106265052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10.672033274931287</v>
      </c>
      <c r="L39" s="5">
        <f t="shared" si="3"/>
        <v>22.62511766879889</v>
      </c>
      <c r="N39" s="11">
        <f>IF(+B39&gt;Title_RESULTS!$H$9+Title_RESULTS!$C$19-1,0,+'Value of Defferal'!N38*(1+'Value of Defferal'!$F$7))</f>
        <v>0.14104390473607473</v>
      </c>
      <c r="O39" s="5">
        <f t="shared" si="7"/>
        <v>17.339563035642048</v>
      </c>
      <c r="P39" s="48">
        <f t="shared" si="4"/>
        <v>36.76053512019085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175.06238516436878</v>
      </c>
      <c r="E40" s="11">
        <f>IF(B40&gt;Title_RESULTS!$H$8-1+Title_RESULTS!$C$18,0,+E39*(1+$F$7))</f>
        <v>0.13773818821882297</v>
      </c>
      <c r="F40" s="9">
        <f t="shared" si="1"/>
        <v>290.2850668815414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10.211894948567686</v>
      </c>
      <c r="L40" s="5">
        <f t="shared" si="3"/>
        <v>21.649606863153682</v>
      </c>
      <c r="N40" s="11">
        <f>IF(+B40&gt;Title_RESULTS!$H$9+Title_RESULTS!$C$19-1,0,+'Value of Defferal'!N39*(1+'Value of Defferal'!$F$7))</f>
        <v>0.14442895844974052</v>
      </c>
      <c r="O40" s="5">
        <f t="shared" si="7"/>
        <v>17.755712548497456</v>
      </c>
      <c r="P40" s="48">
        <f t="shared" si="4"/>
        <v>37.64278796307543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167.91496811339027</v>
      </c>
      <c r="E41" s="11">
        <f>IF(B41&gt;Title_RESULTS!$H$8-1+Title_RESULTS!$C$18,0,+E40*(1+$F$7))</f>
        <v>0.14104390473607473</v>
      </c>
      <c r="F41" s="9">
        <f t="shared" si="1"/>
        <v>297.2519084866984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9.794965452207496</v>
      </c>
      <c r="L41" s="5">
        <f t="shared" si="3"/>
        <v>20.765700425483484</v>
      </c>
      <c r="N41" s="11">
        <f>IF(+B41&gt;Title_RESULTS!$H$9+Title_RESULTS!$C$19-1,0,+'Value of Defferal'!N40*(1+'Value of Defferal'!$F$7))</f>
        <v>0.1478952534525343</v>
      </c>
      <c r="O41" s="5">
        <f t="shared" si="7"/>
        <v>18.181849649661395</v>
      </c>
      <c r="P41" s="48">
        <f t="shared" si="4"/>
        <v>38.54621487418924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162.24875706901733</v>
      </c>
      <c r="E42" s="11">
        <f>IF(B42&gt;Title_RESULTS!$H$8-1+Title_RESULTS!$C$18,0,+E41*(1+$F$7))</f>
        <v>0.14442895844974052</v>
      </c>
      <c r="F42" s="9">
        <f t="shared" si="1"/>
        <v>304.3859542903792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9.46443898367331</v>
      </c>
      <c r="L42" s="5">
        <f t="shared" si="3"/>
        <v>20.064971702981754</v>
      </c>
      <c r="N42" s="11">
        <f>IF(+B42&gt;Title_RESULTS!$H$9+Title_RESULTS!$C$19-1,0,+'Value of Defferal'!N41*(1+'Value of Defferal'!$F$7))</f>
        <v>0.1514447395353951</v>
      </c>
      <c r="O42" s="5">
        <f t="shared" si="7"/>
        <v>18.618214041253268</v>
      </c>
      <c r="P42" s="48">
        <f t="shared" si="4"/>
        <v>39.47132403116978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157.32302360830226</v>
      </c>
      <c r="E43" s="11">
        <f>IF(B43&gt;Title_RESULTS!$H$8-1+Title_RESULTS!$C$18,0,+E42*(1+$F$7))</f>
        <v>0.1478952534525343</v>
      </c>
      <c r="F43" s="9">
        <f t="shared" si="1"/>
        <v>311.6912171933483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9.177106712961708</v>
      </c>
      <c r="L43" s="5">
        <f t="shared" si="3"/>
        <v>19.455816327673478</v>
      </c>
      <c r="N43" s="11">
        <f>IF(+B43&gt;Title_RESULTS!$H$9+Title_RESULTS!$C$19-1,0,+'Value of Defferal'!N42*(1+'Value of Defferal'!$F$7))</f>
        <v>0.1550794132842446</v>
      </c>
      <c r="O43" s="5">
        <f t="shared" si="7"/>
        <v>19.065051178243348</v>
      </c>
      <c r="P43" s="48">
        <f t="shared" si="4"/>
        <v>40.41863580791786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152.3972901475872</v>
      </c>
      <c r="E44" s="11">
        <f>IF(B44&gt;Title_RESULTS!$H$8-1+Title_RESULTS!$C$18,0,+E43*(1+$F$7))</f>
        <v>0.1514447395353951</v>
      </c>
      <c r="F44" s="9">
        <f t="shared" si="1"/>
        <v>319.1718064059886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8.889774442250106</v>
      </c>
      <c r="L44" s="5">
        <f t="shared" si="3"/>
        <v>18.846660952365205</v>
      </c>
      <c r="N44" s="11">
        <f>IF(+B44&gt;Title_RESULTS!$H$9+Title_RESULTS!$C$19-1,0,+'Value of Defferal'!N43*(1+'Value of Defferal'!$F$7))</f>
        <v>0.15880131920306648</v>
      </c>
      <c r="O44" s="5">
        <f t="shared" si="7"/>
        <v>19.522612406521187</v>
      </c>
      <c r="P44" s="48">
        <f t="shared" si="4"/>
        <v>41.38868306730789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147.47155668687205</v>
      </c>
      <c r="E45" s="11">
        <f>IF(B45&gt;Title_RESULTS!$H$8-1+Title_RESULTS!$C$18,0,+E44*(1+$F$7))</f>
        <v>0.1550794132842446</v>
      </c>
      <c r="F45" s="9">
        <f t="shared" si="1"/>
        <v>326.83192975973236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8.6024421715385</v>
      </c>
      <c r="L45" s="5">
        <f t="shared" si="3"/>
        <v>18.237505577056922</v>
      </c>
      <c r="N45" s="11">
        <f>IF(+B45&gt;Title_RESULTS!$H$9+Title_RESULTS!$C$19-1,0,+'Value of Defferal'!N44*(1+'Value of Defferal'!$F$7))</f>
        <v>0.16261255086394008</v>
      </c>
      <c r="O45" s="5">
        <f t="shared" si="7"/>
        <v>19.9911551042777</v>
      </c>
      <c r="P45" s="48">
        <f t="shared" si="4"/>
        <v>42.38201146092328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142.54582322615695</v>
      </c>
      <c r="E46" s="11">
        <f>IF(B46&gt;Title_RESULTS!$H$8-1+Title_RESULTS!$C$18,0,+E45*(1+$F$7))</f>
        <v>0.15880131920306648</v>
      </c>
      <c r="F46" s="9">
        <f t="shared" si="1"/>
        <v>334.67589607396593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8.315109900826897</v>
      </c>
      <c r="L46" s="5">
        <f t="shared" si="3"/>
        <v>17.628350201748646</v>
      </c>
      <c r="N46" s="11">
        <f>IF(+B46&gt;Title_RESULTS!$H$9+Title_RESULTS!$C$19-1,0,+'Value of Defferal'!N45*(1+'Value of Defferal'!$F$7))</f>
        <v>0.16651525208467466</v>
      </c>
      <c r="O46" s="5">
        <f t="shared" si="7"/>
        <v>20.470942826780366</v>
      </c>
      <c r="P46" s="48">
        <f t="shared" si="4"/>
        <v>43.39917973598544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137.6200897654419</v>
      </c>
      <c r="E47" s="11">
        <f>IF(B47&gt;Title_RESULTS!$H$8-1+Title_RESULTS!$C$18,0,+E46*(1+$F$7))</f>
        <v>0.16261255086394008</v>
      </c>
      <c r="F47" s="9">
        <f t="shared" si="1"/>
        <v>342.70811757974116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8.027777630115297</v>
      </c>
      <c r="L47" s="5">
        <f t="shared" si="3"/>
        <v>17.019194826440373</v>
      </c>
      <c r="N47" s="11">
        <f>IF(+B47&gt;Title_RESULTS!$H$9+Title_RESULTS!$C$19-1,0,+'Value of Defferal'!N46*(1+'Value of Defferal'!$F$7))</f>
        <v>0.17051161813470686</v>
      </c>
      <c r="O47" s="5">
        <f t="shared" si="7"/>
        <v>20.962245454623094</v>
      </c>
      <c r="P47" s="48">
        <f t="shared" si="4"/>
        <v>44.44076004964909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132.6943563047268</v>
      </c>
      <c r="E48" s="11">
        <f>IF(B48&gt;Title_RESULTS!$H$8-1+Title_RESULTS!$C$18,0,+E47*(1+$F$7))</f>
        <v>0.16651525208467466</v>
      </c>
      <c r="F48" s="9">
        <f t="shared" si="1"/>
        <v>350.93311240165497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7.740445359403694</v>
      </c>
      <c r="L48" s="5">
        <f t="shared" si="3"/>
        <v>16.410039451132093</v>
      </c>
      <c r="N48" s="11">
        <f>IF(+B48&gt;Title_RESULTS!$H$9+Title_RESULTS!$C$19-1,0,+'Value of Defferal'!N47*(1+'Value of Defferal'!$F$7))</f>
        <v>0.17460389696993983</v>
      </c>
      <c r="O48" s="5">
        <f t="shared" si="7"/>
        <v>21.46533934553405</v>
      </c>
      <c r="P48" s="48">
        <f t="shared" si="4"/>
        <v>45.50733829084068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127.76862284401167</v>
      </c>
      <c r="E49" s="11">
        <f>IF(B49&gt;Title_RESULTS!$H$8-1+Title_RESULTS!$C$18,0,+E48*(1+$F$7))</f>
        <v>0.17051161813470686</v>
      </c>
      <c r="F49" s="9">
        <f t="shared" si="1"/>
        <v>359.3555070992947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7.453113088692088</v>
      </c>
      <c r="L49" s="5">
        <f t="shared" si="3"/>
        <v>15.800884075823813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122.84288938329658</v>
      </c>
      <c r="E50" s="11">
        <f>IF(B50&gt;Title_RESULTS!$H$8-1+Title_RESULTS!$C$18,0,+E49*(1+$F$7))</f>
        <v>0.17460389696993983</v>
      </c>
      <c r="F50" s="9">
        <f t="shared" si="1"/>
        <v>367.9800392696778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7.165780817980486</v>
      </c>
      <c r="L50" s="5">
        <f t="shared" si="3"/>
        <v>15.191728700515535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117.9171559225815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6.878448547268884</v>
      </c>
      <c r="L51" s="5">
        <f t="shared" si="3"/>
        <v>14.58257332520726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5035.081474553328</v>
      </c>
      <c r="F63" s="9">
        <f>SUM(F23:F61)</f>
        <v>7022.593282172258</v>
      </c>
      <c r="J63" t="s">
        <v>87</v>
      </c>
      <c r="K63" s="9">
        <f>SUM(K23:K61)</f>
        <v>293.7108564317855</v>
      </c>
      <c r="O63" s="9">
        <f>SUM(O23:O61)</f>
        <v>409.64816511969076</v>
      </c>
    </row>
    <row r="64" spans="3:15" ht="12.75">
      <c r="C64" t="s">
        <v>89</v>
      </c>
      <c r="D64" s="9">
        <f>NPV(+Title_RESULTS!$C$37,'Value of Defferal'!D24:D61)+'Value of Defferal'!D23</f>
        <v>2248.194330040698</v>
      </c>
      <c r="F64" s="9">
        <f>NPV(+Title_RESULTS!$C$37,'Value of Defferal'!F24:F61)+'Value of Defferal'!F23</f>
        <v>2611.3200702226604</v>
      </c>
      <c r="J64" t="s">
        <v>89</v>
      </c>
      <c r="K64" s="9">
        <f>NPV(+Title_RESULTS!$C$37,'Value of Defferal'!K24:K61)+'Value of Defferal'!K23</f>
        <v>131.14367372971188</v>
      </c>
      <c r="O64" s="9">
        <f>NPV(+Title_RESULTS!$C$37,'Value of Defferal'!O24:O61)+'Value of Defferal'!O23</f>
        <v>174.65874246096388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1.1502185415228894</v>
      </c>
      <c r="C25" t="s">
        <v>372</v>
      </c>
    </row>
    <row r="26" spans="2:3" ht="18">
      <c r="B26" s="15">
        <f>+((Input!$C$6*'EUE_Line Losses'!C4)+(Input!$C$7*'EUE_Line Losses'!C3))/'EUE_Line Losses'!C22</f>
        <v>1.1465081591308801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1.03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1.03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9027.41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13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1898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829.31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Chilled Water VSD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43599.320956365744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1.03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1.1465081591308801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9522.584388185654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9027.41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13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1898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829.31</v>
      </c>
      <c r="D39" s="13" t="s">
        <v>189</v>
      </c>
      <c r="G39" s="20" t="s">
        <v>346</v>
      </c>
      <c r="H39" s="79">
        <f>+'Sheet7(F_23)'!H34</f>
        <v>1.8293662384088798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+'Sheet8(F_24)'!K32</f>
        <v>10239.40250932313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+'Sheet9(F_25)'!J34</f>
        <v>1.1115334858205732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2019-05-14T11:42:12Z</dcterms:created>
  <dcterms:modified xsi:type="dcterms:W3CDTF">2019-05-14T11:42:13Z</dcterms:modified>
  <cp:category/>
  <cp:version/>
  <cp:contentType/>
  <cp:contentStatus/>
</cp:coreProperties>
</file>