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<sst xmlns="http://schemas.openxmlformats.org/spreadsheetml/2006/main" count="1258" uniqueCount="468">
  <si>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</si>
  <si>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</si>
  <si>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</si>
  <si>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</si>
  <si>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</si>
  <si>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</si>
  <si>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</si>
  <si>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</si>
  <si>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</si>
  <si>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</si>
  <si>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</si>
  <si>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</si>
  <si>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</si>
  <si>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</si>
  <si>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</si>
  <si>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</si>
  <si>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</si>
  <si>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</si>
  <si>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</si>
  <si>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</si>
  <si>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</si>
  <si>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</si>
  <si>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</si>
  <si>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</si>
  <si>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</si>
  <si>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</si>
  <si>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</si>
  <si>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</si>
  <si>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</si>
  <si>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</si>
  <si>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</si>
  <si>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</si>
  <si>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</si>
  <si>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</si>
  <si>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</si>
  <si>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</si>
  <si>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</si>
  <si>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</si>
  <si>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</si>
  <si>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</si>
  <si>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</si>
  <si>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</si>
  <si>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</si>
  <si>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</si>
  <si>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</si>
  <si>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</si>
  <si>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</si>
  <si>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</si>
  <si>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</si>
  <si>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</si>
  <si>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</si>
  <si>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</si>
  <si>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</si>
  <si>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</si>
  <si>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</si>
  <si>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</si>
  <si>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</si>
  <si>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</si>
  <si>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</si>
  <si>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</si>
  <si>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</si>
  <si>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</si>
  <si>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</si>
  <si>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</si>
  <si>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</si>
  <si>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</si>
  <si>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</si>
  <si>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</si>
  <si>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</si>
  <si>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</si>
  <si>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</si>
  <si>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</si>
  <si>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</si>
  <si>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</si>
  <si>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</si>
  <si>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</si>
  <si>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</si>
  <si>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</si>
  <si>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</si>
  <si>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</si>
  <si>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</si>
  <si>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</si>
  <si>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</si>
  <si>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</si>
  <si>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</si>
  <si>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</si>
  <si>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</si>
  <si>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</si>
  <si>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</si>
  <si>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</si>
  <si>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</si>
  <si>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</si>
  <si>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</si>
  <si>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</si>
  <si>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</si>
  <si>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</si>
  <si>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</si>
  <si>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</si>
  <si>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</si>
  <si>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</si>
  <si>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</si>
  <si>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</si>
  <si>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</si>
  <si>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</si>
  <si>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</si>
  <si>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</si>
  <si>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</si>
  <si>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</si>
  <si>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</si>
  <si>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</si>
  <si>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</si>
  <si>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</si>
  <si>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</si>
  <si>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</si>
  <si>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</si>
  <si>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</si>
  <si>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</si>
  <si>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</si>
  <si>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</si>
  <si>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</si>
  <si>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</si>
  <si>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</si>
  <si>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</si>
  <si>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</si>
  <si>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</si>
  <si>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</si>
  <si>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</si>
  <si>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</si>
  <si>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</si>
  <si>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</si>
  <si>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</si>
  <si>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</si>
  <si>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</si>
  <si>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</si>
  <si>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</si>
  <si>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</si>
  <si>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</si>
  <si>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</si>
  <si>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</si>
  <si>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</si>
  <si>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</si>
  <si>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</si>
  <si>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</si>
  <si>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</si>
  <si>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</si>
  <si>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</si>
  <si>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</si>
  <si>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</si>
  <si>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</si>
  <si>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</si>
  <si>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</si>
  <si>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</si>
  <si>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</si>
  <si>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</si>
  <si>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</si>
  <si>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</si>
  <si>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</si>
  <si>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</si>
  <si>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</si>
  <si>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</si>
  <si>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</si>
  <si>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</si>
  <si>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</si>
  <si>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</si>
  <si>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</si>
  <si>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</si>
  <si>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</si>
  <si>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</si>
  <si>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</si>
  <si>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</si>
  <si>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</si>
  <si>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</si>
  <si>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</si>
  <si>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</si>
  <si>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</si>
  <si>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</si>
  <si>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</si>
  <si>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</si>
  <si>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</si>
  <si>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</si>
  <si>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</si>
  <si>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</si>
  <si>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</si>
  <si>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</si>
  <si>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</si>
  <si>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</si>
  <si>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</si>
  <si>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</si>
  <si>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</si>
  <si>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</si>
  <si>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</si>
  <si>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</si>
  <si>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</si>
  <si>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</si>
  <si>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</si>
  <si>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</si>
  <si>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</si>
  <si>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</si>
  <si>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</si>
  <si>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</si>
  <si>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</si>
  <si>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</si>
  <si>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</si>
  <si>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</si>
  <si>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</si>
  <si>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</si>
  <si>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</si>
  <si>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</si>
  <si>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</si>
  <si>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</si>
  <si>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</si>
  <si>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</si>
  <si>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</si>
  <si>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</si>
  <si>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</si>
  <si>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</si>
  <si>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</si>
  <si>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</si>
  <si>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</si>
  <si>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</si>
  <si>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</si>
  <si>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</si>
  <si>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</si>
  <si>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</si>
  <si>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</si>
  <si>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</si>
  <si>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</si>
  <si>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</si>
  <si>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</si>
  <si>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</si>
  <si>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</si>
  <si>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</si>
  <si>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</si>
  <si>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</si>
  <si>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</si>
  <si>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</si>
  <si>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</si>
  <si>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</si>
  <si>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</si>
  <si>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</si>
  <si>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</si>
  <si>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</si>
  <si>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</si>
  <si>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</si>
  <si>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</si>
  <si>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</si>
  <si>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</si>
  <si>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</si>
  <si>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</si>
  <si>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</si>
  <si>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</si>
  <si>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</si>
  <si>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</si>
  <si>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</si>
  <si>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</si>
  <si>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</si>
  <si>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</si>
  <si>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</si>
  <si>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</si>
  <si>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</si>
  <si>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</si>
  <si>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</si>
  <si>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</si>
  <si>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</si>
  <si>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</si>
  <si>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</si>
  <si>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</si>
  <si>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</si>
  <si>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</si>
  <si>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</si>
  <si>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</si>
  <si>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</si>
  <si>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</si>
  <si>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</si>
  <si>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</si>
  <si>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</si>
  <si>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</si>
  <si>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</si>
  <si>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</si>
  <si>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</si>
  <si>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</si>
  <si>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</si>
  <si>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</si>
  <si>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</si>
  <si>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</si>
  <si>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</si>
  <si>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</si>
  <si>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</si>
  <si>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</si>
  <si>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</si>
  <si>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</si>
  <si>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</si>
  <si>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</si>
  <si>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</si>
  <si>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</si>
  <si>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</si>
  <si>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</si>
  <si>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</si>
  <si>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</si>
  <si>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</si>
  <si>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</si>
  <si>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</si>
  <si>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</si>
  <si>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</si>
  <si>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</si>
  <si>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</si>
  <si>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</si>
  <si>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</si>
  <si>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</si>
  <si>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</si>
  <si>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</si>
  <si>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</si>
  <si>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</si>
  <si>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</si>
  <si>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</si>
  <si>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</si>
  <si>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</si>
  <si>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</si>
  <si>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</si>
  <si>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</si>
  <si>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</si>
  <si>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</si>
  <si>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</si>
  <si>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</si>
  <si>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</si>
  <si>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</si>
  <si>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</si>
  <si>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</si>
  <si>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</si>
  <si>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</si>
  <si>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</si>
  <si>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</si>
  <si>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</si>
  <si>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</si>
  <si>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</si>
  <si>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</si>
  <si>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</si>
  <si>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</si>
  <si>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</si>
  <si>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</si>
  <si>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</si>
  <si>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</si>
  <si>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</si>
  <si>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</si>
  <si>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</si>
  <si>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</si>
  <si>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</si>
  <si>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</si>
  <si>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</si>
  <si>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</si>
  <si>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</si>
  <si>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</si>
  <si>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</si>
  <si>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</si>
  <si>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</si>
  <si>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</si>
  <si>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</si>
  <si>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</si>
  <si>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</si>
  <si>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</si>
  <si>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</si>
  <si>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</si>
  <si>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</si>
  <si>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</si>
  <si>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</si>
  <si>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</si>
  <si>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</si>
  <si>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</si>
  <si>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</si>
  <si>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</si>
  <si>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</si>
  <si>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</si>
  <si>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</si>
  <si>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</si>
  <si>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</si>
  <si>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</si>
  <si>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</si>
  <si>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</si>
  <si>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</si>
  <si>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</si>
  <si>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</si>
  <si>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</si>
  <si>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</si>
  <si>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</si>
  <si>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</si>
  <si>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</si>
  <si>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</si>
  <si>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</si>
  <si>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</si>
  <si>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</si>
  <si>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</si>
  <si>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</si>
  <si>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</si>
  <si>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</si>
  <si>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</si>
  <si>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</si>
  <si>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</si>
  <si>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</si>
  <si>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</si>
  <si>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</si>
  <si>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</si>
  <si>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</si>
  <si>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</si>
  <si>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</si>
  <si>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</si>
  <si>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</si>
  <si>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</si>
  <si>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</si>
  <si>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</si>
  <si>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</si>
  <si>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</si>
  <si>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</si>
  <si>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</si>
  <si>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</si>
  <si>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</si>
  <si>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</si>
  <si>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</si>
  <si>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</si>
  <si>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</si>
  <si>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</si>
  <si>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</si>
  <si>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</si>
  <si>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</si>
  <si>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</si>
  <si>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</si>
  <si>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</si>
  <si>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</si>
  <si>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</si>
  <si>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</si>
  <si>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</si>
  <si>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</si>
  <si>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</si>
  <si>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</si>
  <si>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</si>
  <si>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</si>
  <si>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</si>
  <si>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</si>
  <si>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</si>
  <si>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</si>
  <si>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</si>
  <si>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</si>
  <si>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</si>
  <si>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</si>
  <si>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</si>
  <si>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</si>
  <si>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</si>
  <si>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</si>
  <si>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</si>
  <si>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</si>
  <si>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</si>
  <si>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</si>
  <si>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</si>
  <si>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</si>
  <si>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</si>
  <si>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</si>
  <si>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</si>
  <si>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</si>
  <si>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</si>
  <si>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</si>
  <si>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</si>
  <si>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</si>
  <si>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</si>
  <si>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</si>
  <si>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</si>
  <si>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</si>
  <si>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</si>
  <si>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</si>
  <si>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Demand Controlled Ventilation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</si>
</sst>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43599.321081712966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6772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43599.321081712966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Demand Controlled Ventilation</v>
      </c>
      <c r="J2" t="s">
        <v>55</v>
      </c>
    </row>
    <row r="3" ht="12.75">
      <c r="J3" s="35">
        <f>+Title_RESULTS!I4</f>
        <v>43599.321081712966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6772</v>
      </c>
      <c r="H5" t="s">
        <v>59</v>
      </c>
    </row>
    <row r="6" spans="3:7" ht="12.75">
      <c r="C6" t="s">
        <v>61</v>
      </c>
      <c r="G6" s="36">
        <f>+'Value of Defferal'!E3</f>
        <v>4148.86053182461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409.99995488133317</v>
      </c>
      <c r="D19" s="5">
        <f>IF((Title_RESULTS!$H$8-Title_RESULTS!$H$7)&lt;=('Sheet3(F_21)'!A19-Title_RESULTS!$H$7),((Title_RESULTS!$C$8*Partcipation!$C$26*8760*Title_RESULTS!$H$21/100000)),0)</f>
        <v>5398.103663394109</v>
      </c>
      <c r="E19" s="5">
        <f>IF($G19=0,0,((Title_RESULTS!$H$14*((1+Title_RESULTS!$H$15/100)^($A19-Title_RESULTS!$H$7))*'EUE_Line Losses'!$B$25*Partcipation!$C$26))/1000)</f>
        <v>42.52725594643669</v>
      </c>
      <c r="F19" s="5">
        <f>IF($G19=0,0,(Title_RESULTS!$H$19/100*((1+Title_RESULTS!$H$20/100)^($A19-Title_RESULTS!$H$7))*$D19*1000)/1000)</f>
        <v>12.171956314715134</v>
      </c>
      <c r="G19" s="5">
        <f>(+Title_RESULTS!$H$22/100*((1+Title_RESULTS!$H$23/100)^(+'Sheet4(F_22)'!A19-Title_RESULTS!$H$7)))*'Sheet3(F_21)'!D19</f>
        <v>231.2703594345622</v>
      </c>
      <c r="H19" s="5">
        <f>IF($G19=0,0,(($D19))*(Partcipation!$G19/100))</f>
        <v>171.2617255097603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524.7078010672867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419.83995379848517</v>
      </c>
      <c r="D20" s="5">
        <f>IF((Title_RESULTS!$H$8-Title_RESULTS!$H$7)&lt;=('Sheet3(F_21)'!A20-Title_RESULTS!$H$7),((Title_RESULTS!$C$8*Partcipation!$C$26*8760*Title_RESULTS!$H$21/100000)),0)</f>
        <v>5398.103663394109</v>
      </c>
      <c r="E20" s="5">
        <f>IF($G20=0,0,((Title_RESULTS!$H$14*((1+Title_RESULTS!$H$15/100)^($A20-Title_RESULTS!$H$7))*'EUE_Line Losses'!$B$25*Partcipation!$C$26))/1000)</f>
        <v>43.54791008915115</v>
      </c>
      <c r="F20" s="5">
        <f>IF($G20=0,0,(Title_RESULTS!$H$19/100*((1+Title_RESULTS!$H$20/100)^($A20-Title_RESULTS!$H$7))*$D20*1000)/1000)</f>
        <v>12.464083266268295</v>
      </c>
      <c r="G20" s="5">
        <f>(+Title_RESULTS!$H$22/100*((1+Title_RESULTS!$H$23/100)^(+'Sheet4(F_22)'!A20-Title_RESULTS!$H$7)))*'Sheet3(F_21)'!D20</f>
        <v>241.77003375289138</v>
      </c>
      <c r="H20" s="5">
        <f>IF($G20=0,0,(($D20))*(Partcipation!$G20/100))</f>
        <v>178.92301651035686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538.6989643964391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429.91611268964886</v>
      </c>
      <c r="D21" s="5">
        <f>IF((Title_RESULTS!$H$8-Title_RESULTS!$H$7)&lt;=('Sheet3(F_21)'!A21-Title_RESULTS!$H$7),((Title_RESULTS!$C$8*Partcipation!$C$26*8760*Title_RESULTS!$H$21/100000)),0)</f>
        <v>5398.103663394109</v>
      </c>
      <c r="E21" s="5">
        <f>IF($G21=0,0,((Title_RESULTS!$H$14*((1+Title_RESULTS!$H$15/100)^($A21-Title_RESULTS!$H$7))*'EUE_Line Losses'!$B$25*Partcipation!$C$26))/1000)</f>
        <v>44.59305993129079</v>
      </c>
      <c r="F21" s="5">
        <f>IF($G21=0,0,(Title_RESULTS!$H$19/100*((1+Title_RESULTS!$H$20/100)^($A21-Title_RESULTS!$H$7))*$D21*1000)/1000)</f>
        <v>12.763221264658736</v>
      </c>
      <c r="G21" s="5">
        <f>(+Title_RESULTS!$H$22/100*((1+Title_RESULTS!$H$23/100)^(+'Sheet4(F_22)'!A21-Title_RESULTS!$H$7)))*'Sheet3(F_21)'!D21</f>
        <v>252.7463932852727</v>
      </c>
      <c r="H21" s="5">
        <f>IF($G21=0,0,(($D21))*(Partcipation!$G21/100))</f>
        <v>186.01343386856786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554.0053533023031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440.23409939420037</v>
      </c>
      <c r="D22" s="5">
        <f>IF((Title_RESULTS!$H$8-Title_RESULTS!$H$7)&lt;=('Sheet3(F_21)'!A22-Title_RESULTS!$H$7),((Title_RESULTS!$C$8*Partcipation!$C$26*8760*Title_RESULTS!$H$21/100000)),0)</f>
        <v>5398.103663394109</v>
      </c>
      <c r="E22" s="5">
        <f>IF($G22=0,0,((Title_RESULTS!$H$14*((1+Title_RESULTS!$H$15/100)^($A22-Title_RESULTS!$H$7))*'EUE_Line Losses'!$B$25*Partcipation!$C$26))/1000)</f>
        <v>45.66329336964175</v>
      </c>
      <c r="F22" s="5">
        <f>IF($G22=0,0,(Title_RESULTS!$H$19/100*((1+Title_RESULTS!$H$20/100)^($A22-Title_RESULTS!$H$7))*$D22*1000)/1000)</f>
        <v>13.069538575010544</v>
      </c>
      <c r="G22" s="5">
        <f>(+Title_RESULTS!$H$22/100*((1+Title_RESULTS!$H$23/100)^(+'Sheet4(F_22)'!A22-Title_RESULTS!$H$7)))*'Sheet3(F_21)'!D22</f>
        <v>264.22107954042406</v>
      </c>
      <c r="H22" s="5">
        <f>IF($G22=0,0,(($D22))*(Partcipation!$G22/100))</f>
        <v>192.04033561342447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571.1476752658523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450.7997177796612</v>
      </c>
      <c r="D23" s="5">
        <f>IF((Title_RESULTS!$H$8-Title_RESULTS!$H$7)&lt;=('Sheet3(F_21)'!A23-Title_RESULTS!$H$7),((Title_RESULTS!$C$8*Partcipation!$C$26*8760*Title_RESULTS!$H$21/100000)),0)</f>
        <v>5398.103663394109</v>
      </c>
      <c r="E23" s="5">
        <f>IF($G23=0,0,((Title_RESULTS!$H$14*((1+Title_RESULTS!$H$15/100)^($A23-Title_RESULTS!$H$7))*'EUE_Line Losses'!$B$25*Partcipation!$C$26))/1000)</f>
        <v>46.75921241051317</v>
      </c>
      <c r="F23" s="5">
        <f>IF($G23=0,0,(Title_RESULTS!$H$19/100*((1+Title_RESULTS!$H$20/100)^($A23-Title_RESULTS!$H$7))*$D23*1000)/1000)</f>
        <v>13.383207500810798</v>
      </c>
      <c r="G23" s="5">
        <f>(+Title_RESULTS!$H$22/100*((1+Title_RESULTS!$H$23/100)^(+'Sheet4(F_22)'!A23-Title_RESULTS!$H$7)))*'Sheet3(F_21)'!D23</f>
        <v>276.2167165515594</v>
      </c>
      <c r="H23" s="5">
        <f>IF($G23=0,0,(($D23))*(Partcipation!$G23/100))</f>
        <v>200.63599745191624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586.5228567906283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461.6189110063731</v>
      </c>
      <c r="D24" s="5">
        <f>IF((Title_RESULTS!$H$8-Title_RESULTS!$H$7)&lt;=('Sheet3(F_21)'!A24-Title_RESULTS!$H$7),((Title_RESULTS!$C$8*Partcipation!$C$26*8760*Title_RESULTS!$H$21/100000)),0)</f>
        <v>5398.103663394109</v>
      </c>
      <c r="E24" s="5">
        <f>IF($G24=0,0,((Title_RESULTS!$H$14*((1+Title_RESULTS!$H$15/100)^($A24-Title_RESULTS!$H$7))*'EUE_Line Losses'!$B$25*Partcipation!$C$26))/1000)</f>
        <v>47.881433508365475</v>
      </c>
      <c r="F24" s="5">
        <f>IF($G24=0,0,(Title_RESULTS!$H$19/100*((1+Title_RESULTS!$H$20/100)^($A24-Title_RESULTS!$H$7))*$D24*1000)/1000)</f>
        <v>13.704404480830256</v>
      </c>
      <c r="G24" s="5">
        <f>(+Title_RESULTS!$H$22/100*((1+Title_RESULTS!$H$23/100)^(+'Sheet4(F_22)'!A24-Title_RESULTS!$H$7)))*'Sheet3(F_21)'!D24</f>
        <v>288.7569554830002</v>
      </c>
      <c r="H24" s="5">
        <f>IF($G24=0,0,(($D24))*(Partcipation!$G24/100))</f>
        <v>215.93737942975454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596.0243250488145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472.69776487052604</v>
      </c>
      <c r="D25" s="5">
        <f>IF((Title_RESULTS!$H$8-Title_RESULTS!$H$7)&lt;=('Sheet3(F_21)'!A25-Title_RESULTS!$H$7),((Title_RESULTS!$C$8*Partcipation!$C$26*8760*Title_RESULTS!$H$21/100000)),0)</f>
        <v>5398.103663394109</v>
      </c>
      <c r="E25" s="5">
        <f>IF($G25=0,0,((Title_RESULTS!$H$14*((1+Title_RESULTS!$H$15/100)^($A25-Title_RESULTS!$H$7))*'EUE_Line Losses'!$B$25*Partcipation!$C$26))/1000)</f>
        <v>49.03058791256625</v>
      </c>
      <c r="F25" s="5">
        <f>IF($G25=0,0,(Title_RESULTS!$H$19/100*((1+Title_RESULTS!$H$20/100)^($A25-Title_RESULTS!$H$7))*$D25*1000)/1000)</f>
        <v>14.03331018837018</v>
      </c>
      <c r="G25" s="5">
        <f>(+Title_RESULTS!$H$22/100*((1+Title_RESULTS!$H$23/100)^(+'Sheet4(F_22)'!A25-Title_RESULTS!$H$7)))*'Sheet3(F_21)'!D25</f>
        <v>301.8665212619284</v>
      </c>
      <c r="H25" s="5">
        <f>IF($G25=0,0,(($D25))*(Partcipation!$G25/100))</f>
        <v>225.4139324514686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612.2142517819223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3085.1065144202275</v>
      </c>
      <c r="D27" s="9">
        <f t="shared" si="1"/>
        <v>37786.72564375877</v>
      </c>
      <c r="E27" s="9">
        <f t="shared" si="1"/>
        <v>320.0027531679653</v>
      </c>
      <c r="F27" s="9">
        <f t="shared" si="1"/>
        <v>91.58972159066393</v>
      </c>
      <c r="G27" s="9">
        <f t="shared" si="1"/>
        <v>1856.8480593096383</v>
      </c>
      <c r="H27" s="9">
        <f t="shared" si="1"/>
        <v>1370.225820835249</v>
      </c>
      <c r="I27" s="9">
        <f t="shared" si="1"/>
        <v>0</v>
      </c>
      <c r="J27" s="9">
        <f t="shared" si="1"/>
        <v>3983.321227653246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2052.4132353923833</v>
      </c>
      <c r="D29" s="5"/>
      <c r="E29" s="5">
        <f>NPV(Title_RESULTS!$C$37,E17:E26)+'Sheet3(F_21)'!E16</f>
        <v>212.88661603547894</v>
      </c>
      <c r="F29" s="5">
        <f>NPV(Title_RESULTS!$C$37,F17:F26)+'Sheet3(F_21)'!F16</f>
        <v>60.93143168313219</v>
      </c>
      <c r="G29" s="5">
        <f>NPV(Title_RESULTS!$C$37,G17:G26)+'Sheet3(F_21)'!G16</f>
        <v>1228.3320491191625</v>
      </c>
      <c r="H29" s="5">
        <f>NPV(Title_RESULTS!$C$37,H17:H26)+'Sheet3(F_21)'!H16</f>
        <v>906.1125418641448</v>
      </c>
      <c r="I29" s="5">
        <f>NPV(Title_RESULTS!$C$37,I17:I26)+'Sheet3(F_21)'!I16</f>
        <v>0</v>
      </c>
      <c r="J29" s="5">
        <f>NPV(Title_RESULTS!$C$37,J17:J26)+'Sheet3(F_21)'!J16</f>
        <v>2648.450790366012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Demand Controlled Ventilation</v>
      </c>
      <c r="F2" t="s">
        <v>55</v>
      </c>
    </row>
    <row r="3" spans="6:7" ht="12.75">
      <c r="F3" s="35">
        <f>+Title_RESULTS!I4</f>
        <v>43599.321081712966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5291.904008438819</v>
      </c>
      <c r="C16" s="5">
        <f>$B16*'Sheet2(F_12)'!$E16/100</f>
        <v>153.50276884223555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153.50276884223555</v>
      </c>
      <c r="G16" s="5">
        <f>+$F16*'Sheet2(F_12)'!$I16</f>
        <v>153.50276884223555</v>
      </c>
    </row>
    <row r="17" spans="1:7" ht="12.75">
      <c r="A17">
        <f>+A16+1</f>
        <v>2021</v>
      </c>
      <c r="B17" s="5">
        <f>(+Partcipation!$C16+(Partcipation!$C17-Partcipation!$C16)/2)*Title_RESULTS!$C$10/1000</f>
        <v>15875.712025316456</v>
      </c>
      <c r="C17" s="5">
        <f>$B17*'Sheet2(F_12)'!$E17/100</f>
        <v>456.7625995667399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456.7625995667399</v>
      </c>
      <c r="G17" s="5">
        <f>+$F17*'Sheet2(F_12)'!$I17</f>
        <v>456.7625995667399</v>
      </c>
    </row>
    <row r="18" spans="1:7" ht="12.75">
      <c r="A18">
        <f>+A17+1</f>
        <v>2022</v>
      </c>
      <c r="B18" s="5">
        <f>(+Partcipation!$C17+(Partcipation!$C18-Partcipation!$C17)/2)*Title_RESULTS!$C$10/1000</f>
        <v>26459.520042194094</v>
      </c>
      <c r="C18" s="5">
        <f>$B18*'Sheet2(F_12)'!$E18/100</f>
        <v>785.6826249606638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785.6826249606638</v>
      </c>
      <c r="G18" s="5">
        <f>+$F18*'Sheet2(F_12)'!$I18</f>
        <v>785.6826249606638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31751.42405063291</v>
      </c>
      <c r="C19" s="5">
        <f>$B19*'Sheet2(F_12)'!$E19/100</f>
        <v>981.4971689076259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981.4971689076259</v>
      </c>
      <c r="G19" s="5">
        <f>+$F19*'Sheet2(F_12)'!$I19</f>
        <v>981.4971689076259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31751.42405063291</v>
      </c>
      <c r="C20" s="5">
        <f>$B20*'Sheet2(F_12)'!$E20/100</f>
        <v>1020.0663081621841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1020.0663081621841</v>
      </c>
      <c r="G20" s="5">
        <f>+$F20*'Sheet2(F_12)'!$I20</f>
        <v>1020.0663081621841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31751.42405063291</v>
      </c>
      <c r="C21" s="5">
        <f>$B21*'Sheet2(F_12)'!$E21/100</f>
        <v>1095.2441083547676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1095.2441083547676</v>
      </c>
      <c r="G21" s="5">
        <f>+$F21*'Sheet2(F_12)'!$I21</f>
        <v>1095.2441083547676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31751.42405063291</v>
      </c>
      <c r="C22" s="5">
        <f>$B22*'Sheet2(F_12)'!$E22/100</f>
        <v>1130.3736519505132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1130.3736519505132</v>
      </c>
      <c r="G22" s="5">
        <f>+$F22*'Sheet2(F_12)'!$I22</f>
        <v>1130.3736519505132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31751.42405063291</v>
      </c>
      <c r="C23" s="5">
        <f>$B23*'Sheet2(F_12)'!$E23/100</f>
        <v>1201.0169458713851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1201.0169458713851</v>
      </c>
      <c r="G23" s="5">
        <f>+$F23*'Sheet2(F_12)'!$I23</f>
        <v>1201.0169458713851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31751.42405063291</v>
      </c>
      <c r="C24" s="5">
        <f>$B24*'Sheet2(F_12)'!$E24/100</f>
        <v>1330.8656622752915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1330.8656622752915</v>
      </c>
      <c r="G24" s="5">
        <f>+$F24*'Sheet2(F_12)'!$I24</f>
        <v>1330.8656622752915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31751.42405063291</v>
      </c>
      <c r="C25" s="5">
        <f>$B25*'Sheet2(F_12)'!$E25/100</f>
        <v>1425.841917013467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1425.841917013467</v>
      </c>
      <c r="G25" s="5">
        <f>+$F25*'Sheet2(F_12)'!$I25</f>
        <v>1425.841917013467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269887.10443037975</v>
      </c>
      <c r="C27" s="5">
        <f t="shared" si="2"/>
        <v>9580.853755904875</v>
      </c>
      <c r="D27" s="5">
        <f t="shared" si="2"/>
        <v>0</v>
      </c>
      <c r="E27" s="5">
        <f t="shared" si="2"/>
        <v>0</v>
      </c>
      <c r="F27" s="5">
        <f t="shared" si="2"/>
        <v>9580.853755904875</v>
      </c>
      <c r="G27" s="5">
        <f t="shared" si="2"/>
        <v>9580.853755904875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6652.745602708655</v>
      </c>
      <c r="D29" s="5"/>
      <c r="E29" s="5">
        <f>NPV(+Title_RESULTS!$C$37,E17:E26)+E16</f>
        <v>0</v>
      </c>
      <c r="F29" s="5">
        <f>NPV(+Title_RESULTS!$C$37,F17:F26)+F16</f>
        <v>6652.745602708655</v>
      </c>
      <c r="G29" s="5">
        <f>NPV(+Title_RESULTS!$C$37,G17:G26)+G16</f>
        <v>6652.745602708655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Demand Controlled Ventilation</v>
      </c>
      <c r="J2" t="s">
        <v>42</v>
      </c>
    </row>
    <row r="3" spans="9:10" ht="12.75">
      <c r="I3" s="4"/>
      <c r="J3" s="35">
        <f>+Title_RESULTS!I4</f>
        <v>43599.321081712966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Demand Controlled Ventilation</v>
      </c>
      <c r="H2" t="s">
        <v>108</v>
      </c>
    </row>
    <row r="3" ht="12.75">
      <c r="H3" s="35">
        <f>+Title_RESULTS!I4</f>
        <v>43599.321081712966</v>
      </c>
    </row>
    <row r="5" spans="3:6" ht="12.75">
      <c r="C5" t="s">
        <v>60</v>
      </c>
      <c r="F5" s="38">
        <f>+'Value of Defferal'!L4</f>
        <v>242.0150272</v>
      </c>
    </row>
    <row r="6" spans="3:6" ht="12.75">
      <c r="C6" t="s">
        <v>62</v>
      </c>
      <c r="F6" s="38">
        <f>+'Value of Defferal'!L5</f>
        <v>1487.8789632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153.50276884223555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23.91648248271348</v>
      </c>
      <c r="C17" s="5">
        <f>IF(+Title_RESULTS!$H$9&lt;='Sheet4(F_22)'!$A17,(+Title_RESULTS!$H$16*((1+Title_RESULTS!$H$18/100)^('Sheet4(F_22)'!$A17-Title_RESULTS!$H$7))*Title_RESULTS!$C$8*Partcipation!$C$26/1000),0)</f>
        <v>19.277045587657785</v>
      </c>
      <c r="D17" s="5">
        <f>(+B17+C17)*+Partcipation!$H17</f>
        <v>43.193528070371265</v>
      </c>
      <c r="E17" s="5">
        <f>VLOOKUP(A17,'Value of Defferal'!$I24:$P$58,'Value of Defferal'!$K$13)</f>
        <v>147.03562655373284</v>
      </c>
      <c r="F17" s="5">
        <f>IF(+'Value of Defferal'!P24=0,0,Title_RESULTS!$H$17*Title_RESULTS!$C$7*Partcipation!$C$26*(1+Title_RESULTS!$H$18/100)^('Sheet4(F_22)'!A17-Title_RESULTS!$H$7))/1000</f>
        <v>204.83850239999998</v>
      </c>
      <c r="G17" s="5">
        <f>(+E17+F17)*Partcipation!$H17</f>
        <v>351.8741289537328</v>
      </c>
      <c r="H17" s="5">
        <f>+'Sheet5(p_5)'!$F17*'Sheet2(F_12)'!$I17</f>
        <v>456.7625995667399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24.490478062298603</v>
      </c>
      <c r="C18" s="5">
        <f>IF(+Title_RESULTS!$H$9&lt;='Sheet4(F_22)'!$A18,(+Title_RESULTS!$H$16*((1+Title_RESULTS!$H$18/100)^('Sheet4(F_22)'!$A18-Title_RESULTS!$H$7))*Title_RESULTS!$C$8*Partcipation!$C$26/1000),0)</f>
        <v>19.739694681761566</v>
      </c>
      <c r="D18" s="5">
        <f>(+B18+C18)*+Partcipation!$H18</f>
        <v>44.23017274406017</v>
      </c>
      <c r="E18" s="5">
        <f>VLOOKUP(A18,'Value of Defferal'!$I25:$P$58,'Value of Defferal'!$K$13)</f>
        <v>150.56448159102243</v>
      </c>
      <c r="F18" s="5">
        <f>IF(+'Value of Defferal'!P25=0,0,Title_RESULTS!$H$17*Title_RESULTS!$C$7*Partcipation!$C$26*(1+Title_RESULTS!$H$18/100)^('Sheet4(F_22)'!A18-Title_RESULTS!$H$7))/1000</f>
        <v>209.75462645759995</v>
      </c>
      <c r="G18" s="5">
        <f>(+E18+F18)*Partcipation!$H18</f>
        <v>360.3191080486224</v>
      </c>
      <c r="H18" s="5">
        <f>+'Sheet5(p_5)'!$F18*'Sheet2(F_12)'!$I18</f>
        <v>785.6826249606638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25.07824953579377</v>
      </c>
      <c r="C19" s="5">
        <f>IF(+Title_RESULTS!$H$9&lt;='Sheet4(F_22)'!$A19,(+Title_RESULTS!$H$16*((1+Title_RESULTS!$H$18/100)^('Sheet4(F_22)'!$A19-Title_RESULTS!$H$7))*Title_RESULTS!$C$8*Partcipation!$C$26/1000),0)</f>
        <v>20.213447354123847</v>
      </c>
      <c r="D19" s="5">
        <f>(+B19+C19)*+Partcipation!$H19</f>
        <v>45.29169688991762</v>
      </c>
      <c r="E19" s="5">
        <f>VLOOKUP(A19,'Value of Defferal'!$I26:$P$58,'Value of Defferal'!$K$13)</f>
        <v>154.178029149207</v>
      </c>
      <c r="F19" s="5">
        <f>IF(+'Value of Defferal'!P26=0,0,Title_RESULTS!$H$17*Title_RESULTS!$C$7*Partcipation!$C$26*(1+Title_RESULTS!$H$18/100)^('Sheet4(F_22)'!A19-Title_RESULTS!$H$7))/1000</f>
        <v>214.78873749258238</v>
      </c>
      <c r="G19" s="5">
        <f>(+E19+F19)*Partcipation!$H19</f>
        <v>368.9667666417894</v>
      </c>
      <c r="H19" s="5">
        <f>+'Sheet5(p_5)'!$F19*'Sheet2(F_12)'!$I19</f>
        <v>981.4971689076259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25.68012752465282</v>
      </c>
      <c r="C20" s="5">
        <f>IF(+Title_RESULTS!$H$9&lt;='Sheet4(F_22)'!$A20,(+Title_RESULTS!$H$16*((1+Title_RESULTS!$H$18/100)^('Sheet4(F_22)'!$A20-Title_RESULTS!$H$7))*Title_RESULTS!$C$8*Partcipation!$C$26/1000),0)</f>
        <v>20.69857009062282</v>
      </c>
      <c r="D20" s="5">
        <f>(+B20+C20)*+Partcipation!$H20</f>
        <v>46.37869761527564</v>
      </c>
      <c r="E20" s="5">
        <f>VLOOKUP(A20,'Value of Defferal'!$I27:$P$58,'Value of Defferal'!$K$13)</f>
        <v>157.87830184878794</v>
      </c>
      <c r="F20" s="5">
        <f>IF(+'Value of Defferal'!P27=0,0,Title_RESULTS!$H$17*Title_RESULTS!$C$7*Partcipation!$C$26*(1+Title_RESULTS!$H$18/100)^('Sheet4(F_22)'!A20-Title_RESULTS!$H$7))/1000</f>
        <v>219.94366719240432</v>
      </c>
      <c r="G20" s="5">
        <f>(+E20+F20)*Partcipation!$H20</f>
        <v>377.82196904119223</v>
      </c>
      <c r="H20" s="5">
        <f>+'Sheet5(p_5)'!$F20*'Sheet2(F_12)'!$I20</f>
        <v>1020.0663081621841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26.29645058524449</v>
      </c>
      <c r="C21" s="5">
        <f>IF(+Title_RESULTS!$H$9&lt;='Sheet4(F_22)'!$A21,(+Title_RESULTS!$H$16*((1+Title_RESULTS!$H$18/100)^('Sheet4(F_22)'!$A21-Title_RESULTS!$H$7))*Title_RESULTS!$C$8*Partcipation!$C$26/1000),0)</f>
        <v>21.195335772797772</v>
      </c>
      <c r="D21" s="5">
        <f>(+B21+C21)*+Partcipation!$H21</f>
        <v>47.49178635804226</v>
      </c>
      <c r="E21" s="5">
        <f>VLOOKUP(A21,'Value of Defferal'!$I28:$P$58,'Value of Defferal'!$K$13)</f>
        <v>161.66738109315887</v>
      </c>
      <c r="F21" s="5">
        <f>IF(+'Value of Defferal'!P28=0,0,Title_RESULTS!$H$17*Title_RESULTS!$C$7*Partcipation!$C$26*(1+Title_RESULTS!$H$18/100)^('Sheet4(F_22)'!A21-Title_RESULTS!$H$7))/1000</f>
        <v>225.22231520502208</v>
      </c>
      <c r="G21" s="5">
        <f>(+E21+F21)*Partcipation!$H21</f>
        <v>386.889696298181</v>
      </c>
      <c r="H21" s="5">
        <f>+'Sheet5(p_5)'!$F21*'Sheet2(F_12)'!$I21</f>
        <v>1095.2441083547676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26.92756539929036</v>
      </c>
      <c r="C22" s="5">
        <f>IF(+Title_RESULTS!$H$9&lt;='Sheet4(F_22)'!$A22,(+Title_RESULTS!$H$16*((1+Title_RESULTS!$H$18/100)^('Sheet4(F_22)'!$A22-Title_RESULTS!$H$7))*Title_RESULTS!$C$8*Partcipation!$C$26/1000),0)</f>
        <v>21.704023831344912</v>
      </c>
      <c r="D22" s="5">
        <f>(+B22+C22)*+Partcipation!$H22</f>
        <v>48.63158923063527</v>
      </c>
      <c r="E22" s="5">
        <f>VLOOKUP(A22,'Value of Defferal'!$I29:$P$58,'Value of Defferal'!$K$13)</f>
        <v>165.54739823939468</v>
      </c>
      <c r="F22" s="5">
        <f>IF(+'Value of Defferal'!P29=0,0,Title_RESULTS!$H$17*Title_RESULTS!$C$7*Partcipation!$C$26*(1+Title_RESULTS!$H$18/100)^('Sheet4(F_22)'!A22-Title_RESULTS!$H$7))/1000</f>
        <v>230.62765076994256</v>
      </c>
      <c r="G22" s="5">
        <f>(+E22+F22)*Partcipation!$H22</f>
        <v>396.1750490093373</v>
      </c>
      <c r="H22" s="5">
        <f>+'Sheet5(p_5)'!$F22*'Sheet2(F_12)'!$I22</f>
        <v>1130.3736519505132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27.573826968873327</v>
      </c>
      <c r="C23" s="5">
        <f>IF(+Title_RESULTS!$H$9&lt;='Sheet4(F_22)'!$A23,(+Title_RESULTS!$H$16*((1+Title_RESULTS!$H$18/100)^('Sheet4(F_22)'!$A23-Title_RESULTS!$H$7))*Title_RESULTS!$C$8*Partcipation!$C$26/1000),0)</f>
        <v>22.224920403297194</v>
      </c>
      <c r="D23" s="5">
        <f>(+B23+C23)*+Partcipation!$H23</f>
        <v>49.798747372170524</v>
      </c>
      <c r="E23" s="5">
        <f>VLOOKUP(A23,'Value of Defferal'!$I30:$P$58,'Value of Defferal'!$K$13)</f>
        <v>169.52053579714013</v>
      </c>
      <c r="F23" s="5">
        <f>IF(+'Value of Defferal'!P30=0,0,Title_RESULTS!$H$17*Title_RESULTS!$C$7*Partcipation!$C$26*(1+Title_RESULTS!$H$18/100)^('Sheet4(F_22)'!A23-Title_RESULTS!$H$7))/1000</f>
        <v>236.16271438842125</v>
      </c>
      <c r="G23" s="5">
        <f>(+E23+F23)*Partcipation!$H23</f>
        <v>405.6832501855614</v>
      </c>
      <c r="H23" s="5">
        <f>+'Sheet5(p_5)'!$F23*'Sheet2(F_12)'!$I23</f>
        <v>1201.0169458713851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28.235598816126284</v>
      </c>
      <c r="C24" s="5">
        <f>IF(+Title_RESULTS!$H$9&lt;='Sheet4(F_22)'!$A24,(+Title_RESULTS!$H$16*((1+Title_RESULTS!$H$18/100)^('Sheet4(F_22)'!$A24-Title_RESULTS!$H$7))*Title_RESULTS!$C$8*Partcipation!$C$26/1000),0)</f>
        <v>22.758318492976322</v>
      </c>
      <c r="D24" s="5">
        <f>(+B24+C24)*+Partcipation!$H24</f>
        <v>50.993917309102606</v>
      </c>
      <c r="E24" s="5">
        <f>VLOOKUP(A24,'Value of Defferal'!$I31:$P$58,'Value of Defferal'!$K$13)</f>
        <v>173.5890286562715</v>
      </c>
      <c r="F24" s="5">
        <f>IF(+'Value of Defferal'!P31=0,0,Title_RESULTS!$H$17*Title_RESULTS!$C$7*Partcipation!$C$26*(1+Title_RESULTS!$H$18/100)^('Sheet4(F_22)'!A24-Title_RESULTS!$H$7))/1000</f>
        <v>241.8306195337433</v>
      </c>
      <c r="G24" s="5">
        <f>(+E24+F24)*Partcipation!$H24</f>
        <v>415.41964819001475</v>
      </c>
      <c r="H24" s="5">
        <f>+'Sheet5(p_5)'!$F24*'Sheet2(F_12)'!$I24</f>
        <v>1330.8656622752915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28.91325318771332</v>
      </c>
      <c r="C25" s="5">
        <f>IF(+Title_RESULTS!$H$9&lt;='Sheet4(F_22)'!$A25,(+Title_RESULTS!$H$16*((1+Title_RESULTS!$H$18/100)^('Sheet4(F_22)'!$A25-Title_RESULTS!$H$7))*Title_RESULTS!$C$8*Partcipation!$C$26/1000),0)</f>
        <v>23.30451813680775</v>
      </c>
      <c r="D25" s="5">
        <f>(+B25+C25)*+Partcipation!$H25</f>
        <v>52.21777132452107</v>
      </c>
      <c r="E25" s="5">
        <f>VLOOKUP(A25,'Value of Defferal'!$I32:$P$58,'Value of Defferal'!$K$13)</f>
        <v>177.75516534402203</v>
      </c>
      <c r="F25" s="5">
        <f>IF(+'Value of Defferal'!P32=0,0,Title_RESULTS!$H$17*Title_RESULTS!$C$7*Partcipation!$C$26*(1+Title_RESULTS!$H$18/100)^('Sheet4(F_22)'!A25-Title_RESULTS!$H$7))/1000</f>
        <v>247.63455440255314</v>
      </c>
      <c r="G25" s="5">
        <f>(+E25+F25)*Partcipation!$H25</f>
        <v>425.38971974657517</v>
      </c>
      <c r="H25" s="5">
        <f>+'Sheet5(p_5)'!$F25*'Sheet2(F_12)'!$I25</f>
        <v>1425.841917013467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237.11203256270645</v>
      </c>
      <c r="C27" s="5">
        <f t="shared" si="1"/>
        <v>191.11587435138998</v>
      </c>
      <c r="D27" s="5">
        <f t="shared" si="1"/>
        <v>428.22790691409637</v>
      </c>
      <c r="E27" s="5">
        <f t="shared" si="1"/>
        <v>1457.7359482727375</v>
      </c>
      <c r="F27" s="5">
        <f t="shared" si="1"/>
        <v>2030.8033878422689</v>
      </c>
      <c r="G27" s="5">
        <f t="shared" si="1"/>
        <v>3488.539336115007</v>
      </c>
      <c r="H27" s="5">
        <f t="shared" si="1"/>
        <v>9580.853755904875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169.23300558294156</v>
      </c>
      <c r="C29" s="5">
        <f>NPV(Title_RESULTS!$C$37,'Sheet4(F_22)'!C17:C26)+'Sheet4(F_22)'!C16</f>
        <v>136.40435485931783</v>
      </c>
      <c r="D29" s="5">
        <f>NPV(Title_RESULTS!$C$37,'Sheet4(F_22)'!D17:D26)+'Sheet4(F_22)'!D16</f>
        <v>305.6373604422593</v>
      </c>
      <c r="E29" s="5">
        <f>NPV(Title_RESULTS!$C$37,'Sheet4(F_22)'!E17:E26)+'Sheet4(F_22)'!E16</f>
        <v>1040.4239430879725</v>
      </c>
      <c r="F29" s="5">
        <f>NPV(Title_RESULTS!$C$37,'Sheet4(F_22)'!F17:F26)+'Sheet4(F_22)'!F16</f>
        <v>1449.4370334482214</v>
      </c>
      <c r="G29" s="5">
        <f>NPV(Title_RESULTS!$C$37,'Sheet4(F_22)'!G17:G26)+'Sheet4(F_22)'!G16</f>
        <v>2489.860976536194</v>
      </c>
      <c r="H29" s="5">
        <f>NPV(Title_RESULTS!$C$37,'Sheet4(F_22)'!H17:H26)+'Sheet4(F_22)'!H16</f>
        <v>6652.745602708655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Demand Controlled Ventilation</v>
      </c>
      <c r="P2" t="s">
        <v>121</v>
      </c>
    </row>
    <row r="3" ht="12.75">
      <c r="P3" s="35">
        <f>+Title_RESULTS!I4</f>
        <v>43599.321081712966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182.73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182.73</v>
      </c>
      <c r="H16" s="5">
        <f>IF(Partcipation!$B17&lt;Partcipation!$B16,0,IF(Partcipation!$B16=0,0,(Partcipation!$B16-Partcipation!$B15)*(+Title_RESULTS!$C$29*(1+Title_RESULTS!$C$30/100)^(+'Sheet8(F_24)'!$A16-Title_RESULTS!$H$7))/1000))</f>
        <v>1833.33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1833.33</v>
      </c>
      <c r="K16" s="5">
        <f>(+Partcipation!$B15+(Partcipation!$B16-Partcipation!$B15)/2)*(+Title_RESULTS!$C$14)/1000</f>
        <v>5016.725</v>
      </c>
      <c r="L16" s="5">
        <f>($K16)*Partcipation!$E73*Title_RESULTS!$C$12/100</f>
        <v>122.13781602566021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447.16162049999997</v>
      </c>
      <c r="N16" s="5">
        <f>'Sheet2(F_12)'!$I16*('Sheet6(p_6)'!$L16+'Sheet6(p_6)'!$M16)</f>
        <v>569.2994365256602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182.73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182.73</v>
      </c>
      <c r="H17" s="5">
        <f>IF(Partcipation!$B18&lt;Partcipation!$B17,0,IF(Partcipation!$B17=0,0,(Partcipation!$B17-Partcipation!$B16)*(+Title_RESULTS!$C$29*(1+Title_RESULTS!$C$30/100)^(+'Sheet8(F_24)'!$A17-Title_RESULTS!$H$7))/1000))</f>
        <v>1875.4965899999997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1875.4965899999997</v>
      </c>
      <c r="K17" s="5">
        <f>(+Partcipation!$B16+(Partcipation!$B17-Partcipation!$B16)/2)*(+Title_RESULTS!$C$14)/1000</f>
        <v>15050.175000000001</v>
      </c>
      <c r="L17" s="5">
        <f>($K17)*Partcipation!$E74*Title_RESULTS!$C$12/100</f>
        <v>383.85234058201786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1354.899710115</v>
      </c>
      <c r="N17" s="5">
        <f>'Sheet2(F_12)'!$I17*('Sheet6(p_6)'!$L17+'Sheet6(p_6)'!$M17)</f>
        <v>1738.752050697018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182.73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182.73</v>
      </c>
      <c r="H18" s="5">
        <f>IF(Partcipation!$B19&lt;Partcipation!$B18,0,IF(Partcipation!$B18=0,0,(Partcipation!$B18-Partcipation!$B17)*(+Title_RESULTS!$C$29*(1+Title_RESULTS!$C$30/100)^(+'Sheet8(F_24)'!$A18-Title_RESULTS!$H$7))/1000))</f>
        <v>1918.6330115699996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1918.6330115699996</v>
      </c>
      <c r="K18" s="5">
        <f>(+Partcipation!$B17+(Partcipation!$B18-Partcipation!$B17)/2)*(+Title_RESULTS!$C$14)/1000</f>
        <v>25083.625</v>
      </c>
      <c r="L18" s="5">
        <f>($K18)*Partcipation!$E75*Title_RESULTS!$C$12/100</f>
        <v>663.319484187826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2280.74784536025</v>
      </c>
      <c r="N18" s="5">
        <f>'Sheet2(F_12)'!$I18*('Sheet6(p_6)'!$L18+'Sheet6(p_6)'!$M18)</f>
        <v>2944.0673295480756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30100.350000000002</v>
      </c>
      <c r="L19" s="5">
        <f>($K19)*Partcipation!$E76*Title_RESULTS!$C$12/100</f>
        <v>789.4583960291322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2764.266388576623</v>
      </c>
      <c r="N19" s="5">
        <f>'Sheet2(F_12)'!$I19*('Sheet6(p_6)'!$L19+'Sheet6(p_6)'!$M19)</f>
        <v>3553.7247846057553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30100.350000000002</v>
      </c>
      <c r="L20" s="5">
        <f>($K20)*Partcipation!$E77*Title_RESULTS!$C$12/100</f>
        <v>834.2362658969514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2791.9090524623894</v>
      </c>
      <c r="N20" s="5">
        <f>'Sheet2(F_12)'!$I20*('Sheet6(p_6)'!$L20+'Sheet6(p_6)'!$M20)</f>
        <v>3626.1453183593408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30100.350000000002</v>
      </c>
      <c r="L21" s="5">
        <f>($K21)*Partcipation!$E78*Title_RESULTS!$C$12/100</f>
        <v>882.1203238105077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2819.828142987013</v>
      </c>
      <c r="N21" s="5">
        <f>'Sheet2(F_12)'!$I21*('Sheet6(p_6)'!$L21+'Sheet6(p_6)'!$M21)</f>
        <v>3701.9484667975207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30100.350000000002</v>
      </c>
      <c r="L22" s="5">
        <f>($K22)*Partcipation!$E79*Title_RESULTS!$C$12/100</f>
        <v>922.0046589705591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2848.026424416884</v>
      </c>
      <c r="N22" s="5">
        <f>'Sheet2(F_12)'!$I22*('Sheet6(p_6)'!$L22+'Sheet6(p_6)'!$M22)</f>
        <v>3770.031083387443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30100.350000000002</v>
      </c>
      <c r="L23" s="5">
        <f>($K23)*Partcipation!$E80*Title_RESULTS!$C$12/100</f>
        <v>976.293185723429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2876.5066886610516</v>
      </c>
      <c r="N23" s="5">
        <f>'Sheet2(F_12)'!$I23*('Sheet6(p_6)'!$L23+'Sheet6(p_6)'!$M23)</f>
        <v>3852.7998743844805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30100.350000000002</v>
      </c>
      <c r="L24" s="5">
        <f>($K24)*Partcipation!$E81*Title_RESULTS!$C$12/100</f>
        <v>1068.7433777464441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2905.271755547663</v>
      </c>
      <c r="N24" s="5">
        <f>'Sheet2(F_12)'!$I24*('Sheet6(p_6)'!$L24+'Sheet6(p_6)'!$M24)</f>
        <v>3974.015133294107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30100.350000000002</v>
      </c>
      <c r="L25" s="5">
        <f>($K25)*Partcipation!$E82*Title_RESULTS!$C$12/100</f>
        <v>1123.193446312967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2934.3244731031396</v>
      </c>
      <c r="N25" s="5">
        <f>'Sheet2(F_12)'!$I25*('Sheet6(p_6)'!$L25+'Sheet6(p_6)'!$M25)</f>
        <v>4057.5179194161065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548.1899999999999</v>
      </c>
      <c r="F27" s="5">
        <f t="shared" si="4"/>
        <v>0</v>
      </c>
      <c r="G27" s="5">
        <f t="shared" si="4"/>
        <v>548.1899999999999</v>
      </c>
      <c r="H27" s="5">
        <f t="shared" si="4"/>
        <v>5627.459601569999</v>
      </c>
      <c r="I27" s="5">
        <f t="shared" si="4"/>
        <v>0</v>
      </c>
      <c r="J27" s="5">
        <f t="shared" si="4"/>
        <v>5627.459601569999</v>
      </c>
      <c r="K27" s="5">
        <f t="shared" si="4"/>
        <v>255852.97500000003</v>
      </c>
      <c r="L27" s="5">
        <f t="shared" si="4"/>
        <v>7765.359295285494</v>
      </c>
      <c r="M27" s="5">
        <f t="shared" si="4"/>
        <v>24022.942101730016</v>
      </c>
      <c r="N27" s="5">
        <f t="shared" si="4"/>
        <v>31788.301397015508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512.7431803884527</v>
      </c>
      <c r="F29" s="5">
        <f>NPV(Title_RESULTS!$C$37,'Sheet6(p_6)'!F17:F26)+'Sheet6(p_6)'!F16</f>
        <v>0</v>
      </c>
      <c r="G29" s="5">
        <f>NPV(Title_RESULTS!$C$37,'Sheet6(p_6)'!G17:G26)+'Sheet6(p_6)'!G16</f>
        <v>512.7431803884527</v>
      </c>
      <c r="H29" s="5">
        <f>NPV(Title_RESULTS!$C$37,'Sheet6(p_6)'!H17:H26)+'Sheet6(p_6)'!H16</f>
        <v>5258.126328899705</v>
      </c>
      <c r="I29" s="5">
        <f>NPV(Title_RESULTS!$C$37,'Sheet6(p_6)'!I17:I26)+'Sheet6(p_6)'!I16</f>
        <v>0</v>
      </c>
      <c r="J29" s="5">
        <f>NPV(Title_RESULTS!$C$37,'Sheet6(p_6)'!J17:J26)+'Sheet6(p_6)'!J16</f>
        <v>5258.126328899705</v>
      </c>
      <c r="K29" s="5"/>
      <c r="L29" s="5">
        <f>NPV(Title_RESULTS!$C$37,'Sheet6(p_6)'!L17:L26)+'Sheet6(p_6)'!L16</f>
        <v>5404.825626239876</v>
      </c>
      <c r="M29" s="5">
        <f>NPV(Title_RESULTS!$C$37,'Sheet6(p_6)'!M17:M26)+'Sheet6(p_6)'!M16</f>
        <v>17017.040255414402</v>
      </c>
      <c r="N29" s="5">
        <f>NPV(Title_RESULTS!$C$37,'Sheet6(p_6)'!N17:N26)+'Sheet6(p_6)'!N16</f>
        <v>22421.865881654277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Demand Controlled Ventilation</v>
      </c>
      <c r="M2" t="s">
        <v>55</v>
      </c>
    </row>
    <row r="3" ht="12.75">
      <c r="M3" s="35">
        <f>+Title_RESULTS!I4</f>
        <v>43599.321081712966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1833.33</v>
      </c>
      <c r="E16" s="5">
        <f>IF(A16&gt;=(Title_RESULTS!$H$7+Title_RESULTS!$C$17),0,(+'f-11B'!$N15))</f>
        <v>0</v>
      </c>
      <c r="F16" s="5">
        <f>IF(A16&gt;=(Title_RESULTS!$H$7+Title_RESULTS!$C$17),0,(SUM(B16:E16)))</f>
        <v>1958.33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153.50276884223555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153.50276884223555</v>
      </c>
      <c r="L16" s="23">
        <f>IF(A16&gt;=(Title_RESULTS!$H$7+Title_RESULTS!$C$17),0,(+$K16-$F16))</f>
        <v>-1804.8272311577643</v>
      </c>
      <c r="M16" s="23">
        <f>IF(A16&gt;=(Title_RESULTS!$H$7+Title_RESULTS!$C$17),0,(+$L16/(1+Title_RESULTS!$C$37)^('Sheet7(F_23)'!$A16-Title_RESULTS!$H$7)))</f>
        <v>-1804.8272311577643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1875.4965899999997</v>
      </c>
      <c r="E17" s="5">
        <f>IF(A17&gt;=(Title_RESULTS!$H$7+Title_RESULTS!$C$17),0,(+'f-11B'!$N16))</f>
        <v>0</v>
      </c>
      <c r="F17" s="5">
        <f>IF(A17&gt;=(Title_RESULTS!$H$7+Title_RESULTS!$C$17),0,(SUM(B17:E17)))</f>
        <v>2003.4965899999997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395.06765702410405</v>
      </c>
      <c r="I17" s="5">
        <f>IF(A17&gt;=(Title_RESULTS!$H$7+Title_RESULTS!$C$17),0,(+'Sheet4(F_22)'!$H17))</f>
        <v>456.7625995667399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851.8302565908439</v>
      </c>
      <c r="L17" s="23">
        <f>IF(A17&gt;=(Title_RESULTS!$H$7+Title_RESULTS!$C$17),0,(+$K17-$F17))</f>
        <v>-1151.6663334091559</v>
      </c>
      <c r="M17" s="23">
        <f>IF(A17&gt;=(Title_RESULTS!$H$7+Title_RESULTS!$C$17),0,(+M16+$L17/(1+Title_RESULTS!$C$37)^('Sheet7(F_23)'!$A17-Title_RESULTS!$H$7)))</f>
        <v>-2880.3467804752427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1918.6330115699996</v>
      </c>
      <c r="E18" s="5">
        <f>IF(A18&gt;=(Title_RESULTS!$H$7+Title_RESULTS!$C$17),0,(+'f-11B'!$N17))</f>
        <v>0</v>
      </c>
      <c r="F18" s="5">
        <f>IF(A18&gt;=(Title_RESULTS!$H$7+Title_RESULTS!$C$17),0,(SUM(B18:E18)))</f>
        <v>2049.7050115699994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404.54928079268257</v>
      </c>
      <c r="I18" s="5">
        <f>IF(A18&gt;=(Title_RESULTS!$H$7+Title_RESULTS!$C$17),0,(+'Sheet4(F_22)'!$H18))</f>
        <v>785.6826249606638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1190.2319057533464</v>
      </c>
      <c r="L18" s="23">
        <f>IF(A18&gt;=(Title_RESULTS!$H$7+Title_RESULTS!$C$17),0,(+$K18-$F18))</f>
        <v>-859.4731058166531</v>
      </c>
      <c r="M18" s="23">
        <f>IF(A18&gt;=(Title_RESULTS!$H$7+Title_RESULTS!$C$17),0,(+M17+$L18/(1+Title_RESULTS!$C$37)^('Sheet7(F_23)'!$A18-Title_RESULTS!$H$7)))</f>
        <v>-3629.9225969573054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524.7078010672867</v>
      </c>
      <c r="H19" s="5">
        <f>IF(A19&gt;=(Title_RESULTS!$H$7+Title_RESULTS!$C$17),0,(+'Sheet4(F_22)'!$D19+'Sheet4(F_22)'!$G19))</f>
        <v>414.258463531707</v>
      </c>
      <c r="I19" s="5">
        <f>IF(A19&gt;=(Title_RESULTS!$H$7+Title_RESULTS!$C$17),0,(+'Sheet4(F_22)'!$H19))</f>
        <v>981.4971689076259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1920.4634335066196</v>
      </c>
      <c r="L19" s="23">
        <f>IF(A19&gt;=(Title_RESULTS!$H$7+Title_RESULTS!$C$17),0,(+$K19-$F19))</f>
        <v>1920.4634335066196</v>
      </c>
      <c r="M19" s="23">
        <f>IF(A19&gt;=(Title_RESULTS!$H$7+Title_RESULTS!$C$17),0,(+M18+$L19/(1+Title_RESULTS!$C$37)^('Sheet7(F_23)'!$A19-Title_RESULTS!$H$7)))</f>
        <v>-2065.7633917706667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538.6989643964391</v>
      </c>
      <c r="H20" s="5">
        <f>IF(A20&gt;=(Title_RESULTS!$H$7+Title_RESULTS!$C$17),0,(+'Sheet4(F_22)'!$D20+'Sheet4(F_22)'!$G20))</f>
        <v>424.2006666564679</v>
      </c>
      <c r="I20" s="5">
        <f>IF(A20&gt;=(Title_RESULTS!$H$7+Title_RESULTS!$C$17),0,(+'Sheet4(F_22)'!$H20))</f>
        <v>1020.0663081621841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1982.965939215091</v>
      </c>
      <c r="L20" s="23">
        <f>IF(A20&gt;=(Title_RESULTS!$H$7+Title_RESULTS!$C$17),0,(+$K20-$F20))</f>
        <v>1982.965939215091</v>
      </c>
      <c r="M20" s="23">
        <f>IF(A20&gt;=(Title_RESULTS!$H$7+Title_RESULTS!$C$17),0,(+M19+$L20/(1+Title_RESULTS!$C$37)^('Sheet7(F_23)'!$A20-Title_RESULTS!$H$7)))</f>
        <v>-557.4839745706886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554.0053533023031</v>
      </c>
      <c r="H21" s="5">
        <f>IF(A21&gt;=(Title_RESULTS!$H$7+Title_RESULTS!$C$17),0,(+'Sheet4(F_22)'!$D21+'Sheet4(F_22)'!$G21))</f>
        <v>434.3814826562232</v>
      </c>
      <c r="I21" s="5">
        <f>IF(A21&gt;=(Title_RESULTS!$H$7+Title_RESULTS!$C$17),0,(+'Sheet4(F_22)'!$H21))</f>
        <v>1095.2441083547676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2083.630944313294</v>
      </c>
      <c r="L21" s="23">
        <f>IF(A21&gt;=(Title_RESULTS!$H$7+Title_RESULTS!$C$17),0,(+$K21-$F21))</f>
        <v>2083.630944313294</v>
      </c>
      <c r="M21" s="23">
        <f>IF(A21&gt;=(Title_RESULTS!$H$7+Title_RESULTS!$C$17),0,(+M20+$L21/(1+Title_RESULTS!$C$37)^('Sheet7(F_23)'!$A21-Title_RESULTS!$H$7)))</f>
        <v>922.5748818360917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571.1476752658523</v>
      </c>
      <c r="H22" s="5">
        <f>IF(A22&gt;=(Title_RESULTS!$H$7+Title_RESULTS!$C$17),0,(+'Sheet4(F_22)'!$D22+'Sheet4(F_22)'!$G22))</f>
        <v>444.80663823997253</v>
      </c>
      <c r="I22" s="5">
        <f>IF(A22&gt;=(Title_RESULTS!$H$7+Title_RESULTS!$C$17),0,(+'Sheet4(F_22)'!$H22))</f>
        <v>1130.3736519505132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2146.327965456338</v>
      </c>
      <c r="L22" s="23">
        <f>IF(A22&gt;=(Title_RESULTS!$H$7+Title_RESULTS!$C$17),0,(+$K22-$F22))</f>
        <v>2146.327965456338</v>
      </c>
      <c r="M22" s="23">
        <f>IF(A22&gt;=(Title_RESULTS!$H$7+Title_RESULTS!$C$17),0,(+M21+$L22/(1+Title_RESULTS!$C$37)^('Sheet7(F_23)'!$A22-Title_RESULTS!$H$7)))</f>
        <v>2346.3647860771944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586.5228567906283</v>
      </c>
      <c r="H23" s="5">
        <f>IF(A23&gt;=(Title_RESULTS!$H$7+Title_RESULTS!$C$17),0,(+'Sheet4(F_22)'!$D23+'Sheet4(F_22)'!$G23))</f>
        <v>455.4819975577319</v>
      </c>
      <c r="I23" s="5">
        <f>IF(A23&gt;=(Title_RESULTS!$H$7+Title_RESULTS!$C$17),0,(+'Sheet4(F_22)'!$H23))</f>
        <v>1201.0169458713851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2243.0218002197453</v>
      </c>
      <c r="L23" s="23">
        <f>IF(A23&gt;=(Title_RESULTS!$H$7+Title_RESULTS!$C$17),0,(+$K23-$F23))</f>
        <v>2243.0218002197453</v>
      </c>
      <c r="M23" s="23">
        <f>IF(A23&gt;=(Title_RESULTS!$H$7+Title_RESULTS!$C$17),0,(+M22+$L23/(1+Title_RESULTS!$C$37)^('Sheet7(F_23)'!$A23-Title_RESULTS!$H$7)))</f>
        <v>3735.917276634622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596.0243250488145</v>
      </c>
      <c r="H24" s="5">
        <f>IF(A24&gt;=(Title_RESULTS!$H$7+Title_RESULTS!$C$17),0,(+'Sheet4(F_22)'!$D24+'Sheet4(F_22)'!$G24))</f>
        <v>466.41356549911734</v>
      </c>
      <c r="I24" s="5">
        <f>IF(A24&gt;=(Title_RESULTS!$H$7+Title_RESULTS!$C$17),0,(+'Sheet4(F_22)'!$H24))</f>
        <v>1330.8656622752915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2393.303552823223</v>
      </c>
      <c r="L24" s="23">
        <f>IF(A24&gt;=(Title_RESULTS!$H$7+Title_RESULTS!$C$17),0,(+$K24-$F24))</f>
        <v>2393.303552823223</v>
      </c>
      <c r="M24" s="23">
        <f>IF(A24&gt;=(Title_RESULTS!$H$7+Title_RESULTS!$C$17),0,(+M23+$L24/(1+Title_RESULTS!$C$37)^('Sheet7(F_23)'!$A24-Title_RESULTS!$H$7)))</f>
        <v>5120.538185125149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612.2142517819223</v>
      </c>
      <c r="H25" s="5">
        <f>IF(A25&gt;=(Title_RESULTS!$H$7+Title_RESULTS!$C$17),0,(+'Sheet4(F_22)'!$D25+'Sheet4(F_22)'!$G25))</f>
        <v>477.6074910710962</v>
      </c>
      <c r="I25" s="5">
        <f>IF(A25&gt;=(Title_RESULTS!$H$7+Title_RESULTS!$C$17),0,(+'Sheet4(F_22)'!$H25))</f>
        <v>1425.841917013467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2515.6636598664854</v>
      </c>
      <c r="L25" s="23">
        <f>IF(A25&gt;=(Title_RESULTS!$H$7+Title_RESULTS!$C$17),0,(+$K25-$F25))</f>
        <v>2515.6636598664854</v>
      </c>
      <c r="M25" s="23">
        <f>IF(A25&gt;=(Title_RESULTS!$H$7+Title_RESULTS!$C$17),0,(+M24+$L25/(1+Title_RESULTS!$C$37)^('Sheet7(F_23)'!$A25-Title_RESULTS!$H$7)))</f>
        <v>6479.71924351636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5627.459601569999</v>
      </c>
      <c r="E27" s="5">
        <f t="shared" si="1"/>
        <v>0</v>
      </c>
      <c r="F27" s="5">
        <f t="shared" si="1"/>
        <v>6011.531601569999</v>
      </c>
      <c r="G27" s="5">
        <f t="shared" si="1"/>
        <v>3983.321227653246</v>
      </c>
      <c r="H27" s="5">
        <f t="shared" si="1"/>
        <v>3916.767243029103</v>
      </c>
      <c r="I27" s="5">
        <f t="shared" si="1"/>
        <v>9580.853755904875</v>
      </c>
      <c r="J27" s="5">
        <f t="shared" si="1"/>
        <v>0</v>
      </c>
      <c r="K27" s="5">
        <f t="shared" si="1"/>
        <v>17480.942226587224</v>
      </c>
      <c r="L27" s="5">
        <f t="shared" si="1"/>
        <v>11469.410625017223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5258.126328899705</v>
      </c>
      <c r="E29" s="5">
        <f>NPV(Title_RESULTS!$C$37,'Sheet7(F_23)'!E17:E26)+'Sheet7(F_23)'!E16</f>
        <v>0</v>
      </c>
      <c r="F29" s="5">
        <f>NPV(Title_RESULTS!$C$37,'Sheet7(F_23)'!F17:F26)+'Sheet7(F_23)'!F16</f>
        <v>5616.97548653676</v>
      </c>
      <c r="G29" s="5">
        <f>NPV(Title_RESULTS!$C$37,'Sheet7(F_23)'!G17:G26)+'Sheet7(F_23)'!G16</f>
        <v>2648.450790366012</v>
      </c>
      <c r="H29" s="5">
        <f>NPV(Title_RESULTS!$C$37,'Sheet7(F_23)'!H17:H26)+'Sheet7(F_23)'!H16</f>
        <v>2795.4983369784527</v>
      </c>
      <c r="I29" s="5">
        <f>NPV(Title_RESULTS!$C$37,'Sheet7(F_23)'!I17:I26)+'Sheet7(F_23)'!I16</f>
        <v>6652.745602708655</v>
      </c>
      <c r="J29" s="5">
        <f>NPV(Title_RESULTS!$C$37,'Sheet7(F_23)'!J17:J26)+'Sheet7(F_23)'!J16</f>
        <v>0</v>
      </c>
      <c r="K29" s="5">
        <f>NPV(Title_RESULTS!$C$37,'Sheet7(F_23)'!K17:K26)+'Sheet7(F_23)'!K16</f>
        <v>12096.694730053123</v>
      </c>
      <c r="L29" s="5">
        <f>NPV(Title_RESULTS!$C$37,'Sheet7(F_23)'!L17:L26)+'Sheet7(F_23)'!L16</f>
        <v>6479.71924351636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2.1535957846081932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Demand Controlled Ventilation</v>
      </c>
      <c r="L2" t="s">
        <v>55</v>
      </c>
    </row>
    <row r="3" ht="12.75">
      <c r="L3" s="35">
        <f>+Title_RESULTS!I4</f>
        <v>43599.321081712966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569.2994365256602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182.73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752.0294365256602</v>
      </c>
      <c r="G16" s="5">
        <f>IF(A16&gt;=(Title_RESULTS!$H$7+Title_RESULTS!$C$17),0,(+'Sheet6(p_6)'!$H16))</f>
        <v>1833.33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1833.33</v>
      </c>
      <c r="K16" s="23">
        <f>IF(A16&gt;=(Title_RESULTS!$H$7+Title_RESULTS!$C$17),0,(+F16-J16))</f>
        <v>-1081.3005634743397</v>
      </c>
      <c r="L16" s="23">
        <f>IF(A16&gt;=(Title_RESULTS!$H$7+Title_RESULTS!$C$17),0,(+$K16/((1+Title_RESULTS!$C$37)^('Sheet8(F_24)'!$A16-Title_RESULTS!$H$7))))</f>
        <v>-1081.3005634743397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1738.752050697018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182.73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1921.482050697018</v>
      </c>
      <c r="G17" s="5">
        <f>IF(A17&gt;=(Title_RESULTS!$H$7+Title_RESULTS!$C$17),0,(+'Sheet6(p_6)'!$H17))</f>
        <v>1875.4965899999997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1875.4965899999997</v>
      </c>
      <c r="K17" s="23">
        <f>IF(A17&gt;=(Title_RESULTS!$H$7+Title_RESULTS!$C$17),0,(+F17-J17))</f>
        <v>45.9854606970182</v>
      </c>
      <c r="L17" s="23">
        <f>IF(A16&gt;=(Title_RESULTS!$H$7+Title_RESULTS!$C$17),0,(+$K17/((1+Title_RESULTS!$C$37)^('Sheet8(F_24)'!$A17-Title_RESULTS!$H$7))+L16))</f>
        <v>-1038.3556057819433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2944.0673295480756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182.73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3126.7973295480756</v>
      </c>
      <c r="G18" s="5">
        <f>IF(A18&gt;=(Title_RESULTS!$H$7+Title_RESULTS!$C$17),0,(+'Sheet6(p_6)'!$H18))</f>
        <v>1918.6330115699996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1918.6330115699996</v>
      </c>
      <c r="K18" s="23">
        <f>IF(A18&gt;=(Title_RESULTS!$H$7+Title_RESULTS!$C$17),0,(+F18-J18))</f>
        <v>1208.164317978076</v>
      </c>
      <c r="L18" s="23">
        <f>IF(A17&gt;=(Title_RESULTS!$H$7+Title_RESULTS!$C$17),0,(+$K18/((1+Title_RESULTS!$C$37)^('Sheet8(F_24)'!$A18-Title_RESULTS!$H$7))+L17))</f>
        <v>15.325712416394481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3553.7247846057553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3553.7247846057553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3553.7247846057553</v>
      </c>
      <c r="L19" s="23">
        <f>IF(A18&gt;=(Title_RESULTS!$H$7+Title_RESULTS!$C$17),0,(+$K19/((1+Title_RESULTS!$C$37)^('Sheet8(F_24)'!$A19-Title_RESULTS!$H$7))+L18))</f>
        <v>2909.72673956401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3626.1453183593408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3626.1453183593408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3626.1453183593408</v>
      </c>
      <c r="L20" s="23">
        <f>IF(A19&gt;=(Title_RESULTS!$H$7+Title_RESULTS!$C$17),0,(+$K20/((1+Title_RESULTS!$C$37)^('Sheet8(F_24)'!$A20-Title_RESULTS!$H$7))+L19))</f>
        <v>5667.837829269525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3701.9484667975207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3701.9484667975207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3701.9484667975207</v>
      </c>
      <c r="L21" s="23">
        <f>IF(A20&gt;=(Title_RESULTS!$H$7+Title_RESULTS!$C$17),0,(+$K21/((1+Title_RESULTS!$C$37)^('Sheet8(F_24)'!$A21-Title_RESULTS!$H$7))+L20))</f>
        <v>8297.430958128978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3770.031083387443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3770.031083387443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3770.031083387443</v>
      </c>
      <c r="L22" s="23">
        <f>IF(A21&gt;=(Title_RESULTS!$H$7+Title_RESULTS!$C$17),0,(+$K22/((1+Title_RESULTS!$C$37)^('Sheet8(F_24)'!$A22-Title_RESULTS!$H$7))+L21))</f>
        <v>10798.321913095842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3852.7998743844805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3852.7998743844805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3852.7998743844805</v>
      </c>
      <c r="L23" s="23">
        <f>IF(A22&gt;=(Title_RESULTS!$H$7+Title_RESULTS!$C$17),0,(+$K23/((1+Title_RESULTS!$C$37)^('Sheet8(F_24)'!$A23-Title_RESULTS!$H$7))+L22))</f>
        <v>13185.13226890505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3974.015133294107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3974.015133294107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3974.015133294107</v>
      </c>
      <c r="L24" s="23">
        <f>IF(A23&gt;=(Title_RESULTS!$H$7+Title_RESULTS!$C$17),0,(+$K24/((1+Title_RESULTS!$C$37)^('Sheet8(F_24)'!$A24-Title_RESULTS!$H$7))+L23))</f>
        <v>15484.257441608632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4057.5179194161065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4057.5179194161065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4057.5179194161065</v>
      </c>
      <c r="L25" s="23">
        <f>IF(A24&gt;=(Title_RESULTS!$H$7+Title_RESULTS!$C$17),0,(+$K25/((1+Title_RESULTS!$C$37)^('Sheet8(F_24)'!$A25-Title_RESULTS!$H$7))+L24))</f>
        <v>17676.482733143028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31788.301397015508</v>
      </c>
      <c r="C27" s="5">
        <f t="shared" si="1"/>
        <v>0</v>
      </c>
      <c r="D27" s="5">
        <f t="shared" si="1"/>
        <v>548.1899999999999</v>
      </c>
      <c r="E27" s="5">
        <f t="shared" si="1"/>
        <v>0</v>
      </c>
      <c r="F27" s="5">
        <f t="shared" si="1"/>
        <v>32336.491397015503</v>
      </c>
      <c r="G27" s="5">
        <f t="shared" si="1"/>
        <v>5627.459601569999</v>
      </c>
      <c r="H27" s="5">
        <f t="shared" si="1"/>
        <v>0</v>
      </c>
      <c r="I27" s="5">
        <f t="shared" si="1"/>
        <v>0</v>
      </c>
      <c r="J27" s="5">
        <f t="shared" si="1"/>
        <v>5627.459601569999</v>
      </c>
      <c r="K27" s="5">
        <f t="shared" si="1"/>
        <v>26709.03179544551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22421.865881654277</v>
      </c>
      <c r="C29" s="5">
        <f>NPV(Title_RESULTS!$C$37,'Sheet8(F_24)'!C17:C26)+'Sheet8(F_24)'!C16</f>
        <v>0</v>
      </c>
      <c r="D29" s="5">
        <f>NPV(Title_RESULTS!$C$37,'Sheet8(F_24)'!D17:D26)+'Sheet8(F_24)'!D16</f>
        <v>512.7431803884527</v>
      </c>
      <c r="E29" s="5">
        <f>NPV(Title_RESULTS!$C$37,'Sheet8(F_24)'!E17:E26)+'Sheet8(F_24)'!E16</f>
        <v>0</v>
      </c>
      <c r="F29" s="5">
        <f>NPV(Title_RESULTS!$C$37,'Sheet8(F_24)'!F17:F26)+'Sheet8(F_24)'!F16</f>
        <v>22934.60906204273</v>
      </c>
      <c r="G29" s="5">
        <f>NPV(Title_RESULTS!$C$37,'Sheet8(F_24)'!G17:G26)+'Sheet8(F_24)'!G16</f>
        <v>5258.126328899705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5258.126328899705</v>
      </c>
      <c r="K29" s="5">
        <f>NPV(Title_RESULTS!$C$37,'Sheet8(F_24)'!K17:K26)+'Sheet8(F_24)'!K16</f>
        <v>17676.482733143028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4.361745539659169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Demand Controlled Ventilation</v>
      </c>
      <c r="N2" t="s">
        <v>55</v>
      </c>
    </row>
    <row r="3" ht="12.75">
      <c r="N3" s="35">
        <f>+Title_RESULTS!I4</f>
        <v>43599.321081712966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182.73</v>
      </c>
      <c r="E16" s="5">
        <f>+'Sheet6(p_6)'!M16</f>
        <v>447.16162049999997</v>
      </c>
      <c r="F16">
        <f>IF(A16&gt;=(Title_RESULTS!$H$7+Title_RESULTS!$C$17),0,(+'f-11B'!$R15))</f>
        <v>0</v>
      </c>
      <c r="G16" s="5">
        <f>IF(A16&gt;=(Title_RESULTS!$H$7+Title_RESULTS!$C$17),0,(SUM(B16:F16)))</f>
        <v>754.8916205</v>
      </c>
      <c r="H16" s="5">
        <f>IF(A16&gt;=(Title_RESULTS!$H$7+Title_RESULTS!$C$17),0,(+'Sheet3(F_21)'!$J16+'Sheet4(F_22)'!$H16))</f>
        <v>153.50276884223555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153.50276884223555</v>
      </c>
      <c r="M16" s="23">
        <f>IF(A16&gt;=(Title_RESULTS!$H$7+Title_RESULTS!$C$17),0,(+L16-G16))</f>
        <v>-601.3888516577645</v>
      </c>
      <c r="N16" s="24">
        <f>IF(A16&gt;=(Title_RESULTS!$H$7+Title_RESULTS!$C$17),0,(+$M16/((1+Title_RESULTS!$C$37)^('Sheet9(F_25)'!$A16-Title_RESULTS!$H$7))))</f>
        <v>-601.3888516577645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182.73</v>
      </c>
      <c r="E17" s="5">
        <f>+'Sheet6(p_6)'!M17</f>
        <v>1354.899710115</v>
      </c>
      <c r="F17">
        <f>IF(A17&gt;=(Title_RESULTS!$H$7+Title_RESULTS!$C$17),0,(+'f-11B'!$R16))</f>
        <v>0</v>
      </c>
      <c r="G17" s="5">
        <f>IF(A17&gt;=(Title_RESULTS!$H$7+Title_RESULTS!$C$17),0,(SUM(B17:F17)))</f>
        <v>1665.629710115</v>
      </c>
      <c r="H17" s="5">
        <f>IF(A17&gt;=(Title_RESULTS!$H$7+Title_RESULTS!$C$17),0,(+'Sheet3(F_21)'!$J17+'Sheet4(F_22)'!$H17))</f>
        <v>456.7625995667399</v>
      </c>
      <c r="I17" s="5">
        <f>IF(A17&gt;=(Title_RESULTS!$H$7+Title_RESULTS!$C$17),0,(+'Sheet4(F_22)'!$D17+'Sheet4(F_22)'!$G17))</f>
        <v>395.06765702410405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851.8302565908439</v>
      </c>
      <c r="M17" s="23">
        <f>IF(A17&gt;=(Title_RESULTS!$H$7+Title_RESULTS!$C$17),0,(+L17-G17))</f>
        <v>-813.7994535241562</v>
      </c>
      <c r="N17" s="24">
        <f>(IF(A16&gt;=(Title_RESULTS!$H$7+Title_RESULTS!$C$17),0,(+$M17/((1+Title_RESULTS!$C$37)^('Sheet9(F_25)'!$A17-Title_RESULTS!$H$7))+N16)))</f>
        <v>-1361.3808702645597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182.73</v>
      </c>
      <c r="E18" s="5">
        <f>+'Sheet6(p_6)'!M18</f>
        <v>2280.74784536025</v>
      </c>
      <c r="F18">
        <f>IF(A18&gt;=(Title_RESULTS!$H$7+Title_RESULTS!$C$17),0,(+'f-11B'!$R17))</f>
        <v>0</v>
      </c>
      <c r="G18" s="5">
        <f>IF(A18&gt;=(Title_RESULTS!$H$7+Title_RESULTS!$C$17),0,(SUM(B18:F18)))</f>
        <v>2594.54984536025</v>
      </c>
      <c r="H18" s="5">
        <f>IF(A18&gt;=(Title_RESULTS!$H$7+Title_RESULTS!$C$17),0,(+'Sheet3(F_21)'!$J18+'Sheet4(F_22)'!$H18))</f>
        <v>785.6826249606638</v>
      </c>
      <c r="I18" s="5">
        <f>IF(A18&gt;=(Title_RESULTS!$H$7+Title_RESULTS!$C$17),0,(+'Sheet4(F_22)'!$D18+'Sheet4(F_22)'!$G18))</f>
        <v>404.54928079268257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1190.2319057533464</v>
      </c>
      <c r="M18" s="23">
        <f>IF(A18&gt;=(Title_RESULTS!$H$7+Title_RESULTS!$C$17),0,(+L18-G18))</f>
        <v>-1404.3179396069036</v>
      </c>
      <c r="N18" s="24">
        <f>(IF(A17&gt;=(Title_RESULTS!$H$7+Title_RESULTS!$C$17),0,(+$M18/((1+Title_RESULTS!$C$37)^('Sheet9(F_25)'!$A18-Title_RESULTS!$H$7))+N17)))</f>
        <v>-2586.134453660347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2764.266388576623</v>
      </c>
      <c r="F19">
        <f>IF(A19&gt;=(Title_RESULTS!$H$7+Title_RESULTS!$C$17),0,(+'f-11B'!$R18))</f>
        <v>0</v>
      </c>
      <c r="G19" s="5">
        <f>IF(A19&gt;=(Title_RESULTS!$H$7+Title_RESULTS!$C$17),0,(SUM(B19:F19)))</f>
        <v>2764.266388576623</v>
      </c>
      <c r="H19" s="5">
        <f>IF(A19&gt;=(Title_RESULTS!$H$7+Title_RESULTS!$C$17),0,(+'Sheet3(F_21)'!$J19+'Sheet4(F_22)'!$H19))</f>
        <v>1506.2049699749127</v>
      </c>
      <c r="I19" s="5">
        <f>IF(A19&gt;=(Title_RESULTS!$H$7+Title_RESULTS!$C$17),0,(+'Sheet4(F_22)'!$D19+'Sheet4(F_22)'!$G19))</f>
        <v>414.258463531707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1920.4634335066198</v>
      </c>
      <c r="M19" s="23">
        <f>IF(A19&gt;=(Title_RESULTS!$H$7+Title_RESULTS!$C$17),0,(+L19-G19))</f>
        <v>-843.802955070003</v>
      </c>
      <c r="N19" s="24">
        <f>(IF(A18&gt;=(Title_RESULTS!$H$7+Title_RESULTS!$C$17),0,(+$M19/((1+Title_RESULTS!$C$37)^('Sheet9(F_25)'!$A19-Title_RESULTS!$H$7))+N18)))</f>
        <v>-3273.386361980466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2791.9090524623894</v>
      </c>
      <c r="F20">
        <f>IF(A20&gt;=(Title_RESULTS!$H$7+Title_RESULTS!$C$17),0,(+'f-11B'!$R19))</f>
        <v>0</v>
      </c>
      <c r="G20" s="5">
        <f>IF(A20&gt;=(Title_RESULTS!$H$7+Title_RESULTS!$C$17),0,(SUM(B20:F20)))</f>
        <v>2791.9090524623894</v>
      </c>
      <c r="H20" s="5">
        <f>IF(A20&gt;=(Title_RESULTS!$H$7+Title_RESULTS!$C$17),0,(+'Sheet3(F_21)'!$J20+'Sheet4(F_22)'!$H20))</f>
        <v>1558.765272558623</v>
      </c>
      <c r="I20" s="5">
        <f>IF(A20&gt;=(Title_RESULTS!$H$7+Title_RESULTS!$C$17),0,(+'Sheet4(F_22)'!$D20+'Sheet4(F_22)'!$G20))</f>
        <v>424.2006666564679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1982.965939215091</v>
      </c>
      <c r="M20" s="23">
        <f>IF(A20&gt;=(Title_RESULTS!$H$7+Title_RESULTS!$C$17),0,(+L20-G20))</f>
        <v>-808.9431132472982</v>
      </c>
      <c r="N20" s="24">
        <f>(IF(A19&gt;=(Title_RESULTS!$H$7+Title_RESULTS!$C$17),0,(+$M20/((1+Title_RESULTS!$C$37)^('Sheet9(F_25)'!$A20-Title_RESULTS!$H$7))+N19)))</f>
        <v>-3888.682985723546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2819.828142987013</v>
      </c>
      <c r="F21">
        <f>IF(A21&gt;=(Title_RESULTS!$H$7+Title_RESULTS!$C$17),0,(+'f-11B'!$R20))</f>
        <v>0</v>
      </c>
      <c r="G21" s="5">
        <f>IF(A21&gt;=(Title_RESULTS!$H$7+Title_RESULTS!$C$17),0,(SUM(B21:F21)))</f>
        <v>2819.828142987013</v>
      </c>
      <c r="H21" s="5">
        <f>IF(A21&gt;=(Title_RESULTS!$H$7+Title_RESULTS!$C$17),0,(+'Sheet3(F_21)'!$J21+'Sheet4(F_22)'!$H21))</f>
        <v>1649.2494616570707</v>
      </c>
      <c r="I21" s="5">
        <f>IF(A21&gt;=(Title_RESULTS!$H$7+Title_RESULTS!$C$17),0,(+'Sheet4(F_22)'!$D21+'Sheet4(F_22)'!$G21))</f>
        <v>434.3814826562232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2083.630944313294</v>
      </c>
      <c r="M21" s="23">
        <f>IF(A21&gt;=(Title_RESULTS!$H$7+Title_RESULTS!$C$17),0,(+L21-G21))</f>
        <v>-736.197198673719</v>
      </c>
      <c r="N21" s="24">
        <f>(IF(A20&gt;=(Title_RESULTS!$H$7+Title_RESULTS!$C$17),0,(+$M21/((1+Title_RESULTS!$C$37)^('Sheet9(F_25)'!$A21-Title_RESULTS!$H$7))+N20)))</f>
        <v>-4411.623570251103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2848.026424416884</v>
      </c>
      <c r="F22">
        <f>IF(A22&gt;=(Title_RESULTS!$H$7+Title_RESULTS!$C$17),0,(+'f-11B'!$R21))</f>
        <v>0</v>
      </c>
      <c r="G22" s="5">
        <f>IF(A22&gt;=(Title_RESULTS!$H$7+Title_RESULTS!$C$17),0,(SUM(B22:F22)))</f>
        <v>2848.026424416884</v>
      </c>
      <c r="H22" s="5">
        <f>IF(A22&gt;=(Title_RESULTS!$H$7+Title_RESULTS!$C$17),0,(+'Sheet3(F_21)'!$J22+'Sheet4(F_22)'!$H22))</f>
        <v>1701.5213272163655</v>
      </c>
      <c r="I22" s="5">
        <f>IF(A22&gt;=(Title_RESULTS!$H$7+Title_RESULTS!$C$17),0,(+'Sheet4(F_22)'!$D22+'Sheet4(F_22)'!$G22))</f>
        <v>444.80663823997253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2146.327965456338</v>
      </c>
      <c r="M22" s="23">
        <f>IF(A22&gt;=(Title_RESULTS!$H$7+Title_RESULTS!$C$17),0,(+L22-G22))</f>
        <v>-701.6984589605458</v>
      </c>
      <c r="N22" s="24">
        <f>(IF(A21&gt;=(Title_RESULTS!$H$7+Title_RESULTS!$C$17),0,(+$M22/((1+Title_RESULTS!$C$37)^('Sheet9(F_25)'!$A22-Title_RESULTS!$H$7))+N21)))</f>
        <v>-4877.1028435816115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2876.5066886610516</v>
      </c>
      <c r="F23">
        <f>IF(A23&gt;=(Title_RESULTS!$H$7+Title_RESULTS!$C$17),0,(+'f-11B'!$R22))</f>
        <v>0</v>
      </c>
      <c r="G23" s="5">
        <f>IF(A23&gt;=(Title_RESULTS!$H$7+Title_RESULTS!$C$17),0,(SUM(B23:F23)))</f>
        <v>2876.5066886610516</v>
      </c>
      <c r="H23" s="5">
        <f>IF(A23&gt;=(Title_RESULTS!$H$7+Title_RESULTS!$C$17),0,(+'Sheet3(F_21)'!$J23+'Sheet4(F_22)'!$H23))</f>
        <v>1787.5398026620135</v>
      </c>
      <c r="I23" s="5">
        <f>IF(A23&gt;=(Title_RESULTS!$H$7+Title_RESULTS!$C$17),0,(+'Sheet4(F_22)'!$D23+'Sheet4(F_22)'!$G23))</f>
        <v>455.4819975577319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2243.0218002197453</v>
      </c>
      <c r="M23" s="23">
        <f>IF(A23&gt;=(Title_RESULTS!$H$7+Title_RESULTS!$C$17),0,(+L23-G23))</f>
        <v>-633.4848884413063</v>
      </c>
      <c r="N23" s="24">
        <f>(IF(A22&gt;=(Title_RESULTS!$H$7+Title_RESULTS!$C$17),0,(+$M23/((1+Title_RESULTS!$C$37)^('Sheet9(F_25)'!$A23-Title_RESULTS!$H$7))+N22)))</f>
        <v>-5269.54686903775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2905.271755547663</v>
      </c>
      <c r="F24">
        <f>IF(A24&gt;=(Title_RESULTS!$H$7+Title_RESULTS!$C$17),0,(+'f-11B'!$R23))</f>
        <v>0</v>
      </c>
      <c r="G24" s="5">
        <f>IF(A24&gt;=(Title_RESULTS!$H$7+Title_RESULTS!$C$17),0,(SUM(B24:F24)))</f>
        <v>2905.271755547663</v>
      </c>
      <c r="H24" s="5">
        <f>IF(A24&gt;=(Title_RESULTS!$H$7+Title_RESULTS!$C$17),0,(+'Sheet3(F_21)'!$J24+'Sheet4(F_22)'!$H24))</f>
        <v>1926.889987324106</v>
      </c>
      <c r="I24" s="5">
        <f>IF(A24&gt;=(Title_RESULTS!$H$7+Title_RESULTS!$C$17),0,(+'Sheet4(F_22)'!$D24+'Sheet4(F_22)'!$G24))</f>
        <v>466.41356549911734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2393.303552823223</v>
      </c>
      <c r="M24" s="23">
        <f>IF(A24&gt;=(Title_RESULTS!$H$7+Title_RESULTS!$C$17),0,(+L24-G24))</f>
        <v>-511.96820272443983</v>
      </c>
      <c r="N24" s="24">
        <f>(IF(A23&gt;=(Title_RESULTS!$H$7+Title_RESULTS!$C$17),0,(+$M24/((1+Title_RESULTS!$C$37)^('Sheet9(F_25)'!$A24-Title_RESULTS!$H$7))+N23)))</f>
        <v>-5565.740754321693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2934.3244731031396</v>
      </c>
      <c r="F25">
        <f>IF(A25&gt;=(Title_RESULTS!$H$7+Title_RESULTS!$C$17),0,(+'f-11B'!$R24))</f>
        <v>0</v>
      </c>
      <c r="G25" s="5">
        <f>IF(A25&gt;=(Title_RESULTS!$H$7+Title_RESULTS!$C$17),0,(SUM(B25:F25)))</f>
        <v>2934.3244731031396</v>
      </c>
      <c r="H25" s="5">
        <f>IF(A25&gt;=(Title_RESULTS!$H$7+Title_RESULTS!$C$17),0,(+'Sheet3(F_21)'!$J25+'Sheet4(F_22)'!$H25))</f>
        <v>2038.0561687953893</v>
      </c>
      <c r="I25" s="5">
        <f>IF(A25&gt;=(Title_RESULTS!$H$7+Title_RESULTS!$C$17),0,(+'Sheet4(F_22)'!$D25+'Sheet4(F_22)'!$G25))</f>
        <v>477.6074910710962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2515.6636598664854</v>
      </c>
      <c r="M25" s="23">
        <f>IF(A25&gt;=(Title_RESULTS!$H$7+Title_RESULTS!$C$17),0,(+L25-G25))</f>
        <v>-418.6608132366541</v>
      </c>
      <c r="N25" s="24">
        <f>(IF(A24&gt;=(Title_RESULTS!$H$7+Title_RESULTS!$C$17),0,(+$M25/((1+Title_RESULTS!$C$37)^('Sheet9(F_25)'!$A25-Title_RESULTS!$H$7))+N24)))</f>
        <v>-5791.93786338679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548.1899999999999</v>
      </c>
      <c r="E27" s="5">
        <f t="shared" si="1"/>
        <v>24022.942101730016</v>
      </c>
      <c r="F27" s="5">
        <f t="shared" si="1"/>
        <v>0</v>
      </c>
      <c r="G27" s="5">
        <f t="shared" si="1"/>
        <v>24955.204101730014</v>
      </c>
      <c r="H27" s="5">
        <f t="shared" si="1"/>
        <v>13564.17498355812</v>
      </c>
      <c r="I27" s="5">
        <f t="shared" si="1"/>
        <v>3916.767243029103</v>
      </c>
      <c r="J27" s="5">
        <f t="shared" si="1"/>
        <v>0</v>
      </c>
      <c r="K27" s="9">
        <f t="shared" si="1"/>
        <v>0</v>
      </c>
      <c r="L27" s="5">
        <f t="shared" si="1"/>
        <v>17480.942226587224</v>
      </c>
      <c r="M27" s="5">
        <f t="shared" si="1"/>
        <v>-7474.261875142791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512.7431803884527</v>
      </c>
      <c r="E29" s="5">
        <f>NPV(Title_RESULTS!$C$37,'Sheet9(F_25)'!E17:E26)+'Sheet9(F_25)'!E16</f>
        <v>17017.040255414402</v>
      </c>
      <c r="F29" s="5">
        <f>NPV(Title_RESULTS!$C$37,'Sheet9(F_25)'!F17:F26)+'Sheet9(F_25)'!F16</f>
        <v>0</v>
      </c>
      <c r="G29" s="5">
        <f>NPV(Title_RESULTS!$C$37,'Sheet9(F_25)'!G17:G26)+'Sheet9(F_25)'!G16</f>
        <v>17888.63259343991</v>
      </c>
      <c r="H29" s="5">
        <f>NPV(Title_RESULTS!$C$37,'Sheet9(F_25)'!H17:H26)+'Sheet9(F_25)'!H16</f>
        <v>9301.196393074668</v>
      </c>
      <c r="I29" s="5">
        <f>NPV(Title_RESULTS!$C$37,'Sheet9(F_25)'!I17:I26)+'Sheet9(F_25)'!I16</f>
        <v>2795.4983369784527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12096.694730053123</v>
      </c>
      <c r="M29" s="5">
        <f>NPV(Title_RESULTS!$C$37,'Sheet9(F_25)'!M17:M26)+'Sheet9(F_25)'!M16</f>
        <v>-5791.937863386791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0.6762224371743877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4148.86053182461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242.0150272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1487.8789632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23.91648248271348</v>
      </c>
      <c r="P24" s="48">
        <f aca="true" t="shared" si="4" ref="P24:P61">N24*$L$5</f>
        <v>147.03562655373284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24.490478062298603</v>
      </c>
      <c r="P25" s="48">
        <f t="shared" si="4"/>
        <v>150.56448159102243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570.8444682077145</v>
      </c>
      <c r="E26" s="11">
        <f>IF(B26=Title_RESULTS!$H$8,$F$16,+E25*(1+$F$7))</f>
        <v>0.09882230355451863</v>
      </c>
      <c r="F26" s="9">
        <f t="shared" si="1"/>
        <v>409.99995488133317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33.29900786987936</v>
      </c>
      <c r="L26" s="5">
        <f t="shared" si="3"/>
        <v>204.71825191284958</v>
      </c>
      <c r="N26" s="11">
        <f>IF(+B26=Title_RESULTS!$H$9,'Value of Defferal'!$O$16,+'Value of Defferal'!N25*(1+'Value of Defferal'!$F$7))</f>
        <v>0.10362269577198292</v>
      </c>
      <c r="O26" s="5">
        <f t="shared" si="7"/>
        <v>25.07824953579377</v>
      </c>
      <c r="P26" s="48">
        <f t="shared" si="4"/>
        <v>154.178029149207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553.9874972123133</v>
      </c>
      <c r="E27" s="11">
        <f>IF(B27=Title_RESULTS!$H$8,$F$16,+E26*(1+$F$7))</f>
        <v>0.10119403883982707</v>
      </c>
      <c r="F27" s="9">
        <f t="shared" si="1"/>
        <v>419.83995379848517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32.3156920262476</v>
      </c>
      <c r="L27" s="5">
        <f t="shared" si="3"/>
        <v>198.67294565708602</v>
      </c>
      <c r="N27" s="11">
        <f>IF(+B27=Title_RESULTS!$H$9,'Value of Defferal'!$O$16,+'Value of Defferal'!N26*(1+'Value of Defferal'!$F$7))</f>
        <v>0.10610964047051051</v>
      </c>
      <c r="O27" s="5">
        <f t="shared" si="7"/>
        <v>25.68012752465282</v>
      </c>
      <c r="P27" s="48">
        <f t="shared" si="4"/>
        <v>157.87830184878794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535.3775241728029</v>
      </c>
      <c r="E28" s="11">
        <f>IF(B28=Title_RESULTS!$H$8,$F$16,+E27*(1+$F$7))</f>
        <v>0.10362269577198292</v>
      </c>
      <c r="F28" s="9">
        <f t="shared" si="1"/>
        <v>429.91611268964886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31.230118506289426</v>
      </c>
      <c r="L28" s="5">
        <f t="shared" si="3"/>
        <v>191.9989716396877</v>
      </c>
      <c r="N28" s="11">
        <f>IF(+B28=Title_RESULTS!$H$9,'Value of Defferal'!$O$16,+'Value of Defferal'!N27*(1+'Value of Defferal'!$F$7))</f>
        <v>0.10865627184180277</v>
      </c>
      <c r="O28" s="5">
        <f t="shared" si="7"/>
        <v>26.29645058524449</v>
      </c>
      <c r="P28" s="48">
        <f t="shared" si="4"/>
        <v>161.66738109315887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517.6588662571284</v>
      </c>
      <c r="E29" s="11">
        <f>IF(B29=Title_RESULTS!$H$8,$F$16,+E28*(1+$F$7))</f>
        <v>0.10610964047051051</v>
      </c>
      <c r="F29" s="9">
        <f t="shared" si="1"/>
        <v>440.23409939420037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30.19653797387187</v>
      </c>
      <c r="L29" s="5">
        <f t="shared" si="3"/>
        <v>185.64464418841635</v>
      </c>
      <c r="N29" s="11">
        <f>IF(+B29=Title_RESULTS!$H$9,'Value of Defferal'!$O$16,+'Value of Defferal'!N28*(1+'Value of Defferal'!$F$7))</f>
        <v>0.11126402236600604</v>
      </c>
      <c r="O29" s="5">
        <f t="shared" si="7"/>
        <v>26.92756539929036</v>
      </c>
      <c r="P29" s="48">
        <f t="shared" si="4"/>
        <v>165.54739823939468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500.74214505120966</v>
      </c>
      <c r="E30" s="11">
        <f>IF(B30=Title_RESULTS!$H$8,$F$16,+E29*(1+$F$7))</f>
        <v>0.10865627184180277</v>
      </c>
      <c r="F30" s="9">
        <f t="shared" si="1"/>
        <v>450.7997177796612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29.20973672775124</v>
      </c>
      <c r="L30" s="5">
        <f t="shared" si="3"/>
        <v>179.5779101019041</v>
      </c>
      <c r="N30" s="11">
        <f>IF(+B30=Title_RESULTS!$H$9,'Value of Defferal'!$O$16,+'Value of Defferal'!N29*(1+'Value of Defferal'!$F$7))</f>
        <v>0.11393435890279018</v>
      </c>
      <c r="O30" s="5">
        <f t="shared" si="7"/>
        <v>27.573826968873327</v>
      </c>
      <c r="P30" s="48">
        <f t="shared" si="4"/>
        <v>169.52053579714013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484.54785820882097</v>
      </c>
      <c r="E31" s="11">
        <f>IF(B31=Title_RESULTS!$H$8,$F$16,+E30*(1+$F$7))</f>
        <v>0.11126402236600604</v>
      </c>
      <c r="F31" s="9">
        <f t="shared" si="1"/>
        <v>461.6189110063731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28.265077166268785</v>
      </c>
      <c r="L31" s="5">
        <f t="shared" si="3"/>
        <v>173.77025796898943</v>
      </c>
      <c r="N31" s="11">
        <f>IF(+B31=Title_RESULTS!$H$9,'Value of Defferal'!$O$16,+'Value of Defferal'!N30*(1+'Value of Defferal'!$F$7))</f>
        <v>0.11666878351645714</v>
      </c>
      <c r="O31" s="5">
        <f t="shared" si="7"/>
        <v>28.235598816126284</v>
      </c>
      <c r="P31" s="48">
        <f t="shared" si="4"/>
        <v>173.5890286562715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468.8577446303861</v>
      </c>
      <c r="E32" s="11">
        <f>IF(B32=Title_RESULTS!$H$8,$F$16,+E31*(1+$F$7))</f>
        <v>0.11393435890279018</v>
      </c>
      <c r="F32" s="9">
        <f t="shared" si="1"/>
        <v>472.69776487052604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27.3498274885974</v>
      </c>
      <c r="L32" s="5">
        <f t="shared" si="3"/>
        <v>168.14341422611116</v>
      </c>
      <c r="N32" s="11">
        <f>IF(+B32=Title_RESULTS!$H$9,'Value of Defferal'!$O$16,+'Value of Defferal'!N31*(1+'Value of Defferal'!$F$7))</f>
        <v>0.11946883432085212</v>
      </c>
      <c r="O32" s="5">
        <f t="shared" si="7"/>
        <v>28.91325318771332</v>
      </c>
      <c r="P32" s="48">
        <f t="shared" si="4"/>
        <v>177.75516534402203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453.3291047613664</v>
      </c>
      <c r="E33" s="11">
        <f>IF(B33=Title_RESULTS!$H$8,$F$16,+E32*(1+$F$7))</f>
        <v>0.11666878351645714</v>
      </c>
      <c r="F33" s="9">
        <f t="shared" si="1"/>
        <v>484.0425112274187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26.443997039139745</v>
      </c>
      <c r="L33" s="5">
        <f t="shared" si="3"/>
        <v>162.57447875310743</v>
      </c>
      <c r="N33" s="11">
        <f>IF(+B33=Title_RESULTS!$H$9,'Value of Defferal'!$O$16,+'Value of Defferal'!N32*(1+'Value of Defferal'!$F$7))</f>
        <v>0.12233608634455258</v>
      </c>
      <c r="O33" s="5">
        <f t="shared" si="7"/>
        <v>29.60717126421844</v>
      </c>
      <c r="P33" s="48">
        <f t="shared" si="4"/>
        <v>182.02128931227858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437.8004648923466</v>
      </c>
      <c r="E34" s="11">
        <f>IF(B34=Title_RESULTS!$H$8,$F$16,+E33*(1+$F$7))</f>
        <v>0.11946883432085212</v>
      </c>
      <c r="F34" s="9">
        <f t="shared" si="1"/>
        <v>495.65953149687675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25.53816658968209</v>
      </c>
      <c r="L34" s="5">
        <f t="shared" si="3"/>
        <v>157.00554328010367</v>
      </c>
      <c r="N34" s="11">
        <f>IF(+B34=Title_RESULTS!$H$9,'Value of Defferal'!$O$16,+'Value of Defferal'!N33*(1+'Value of Defferal'!$F$7))</f>
        <v>0.12527215241682185</v>
      </c>
      <c r="O34" s="5">
        <f t="shared" si="7"/>
        <v>30.317743374559686</v>
      </c>
      <c r="P34" s="48">
        <f t="shared" si="4"/>
        <v>186.38980025577328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422.2718250233269</v>
      </c>
      <c r="E35" s="11">
        <f>IF(B35=Title_RESULTS!$H$8,$F$16,+E34*(1+$F$7))</f>
        <v>0.12233608634455258</v>
      </c>
      <c r="F35" s="9">
        <f t="shared" si="1"/>
        <v>507.5553602528018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24.63233614022443</v>
      </c>
      <c r="L35" s="5">
        <f t="shared" si="3"/>
        <v>151.43660780709993</v>
      </c>
      <c r="N35" s="11">
        <f>IF(+B35=Title_RESULTS!$H$9,'Value of Defferal'!$O$16,+'Value of Defferal'!N34*(1+'Value of Defferal'!$F$7))</f>
        <v>0.12827868407482557</v>
      </c>
      <c r="O35" s="5">
        <f t="shared" si="7"/>
        <v>31.045369215549115</v>
      </c>
      <c r="P35" s="48">
        <f t="shared" si="4"/>
        <v>190.86315546191182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406.74318515430724</v>
      </c>
      <c r="E36" s="11">
        <f>IF(B36=Title_RESULTS!$H$8,$F$16,+E35*(1+$F$7))</f>
        <v>0.12527215241682185</v>
      </c>
      <c r="F36" s="9">
        <f t="shared" si="1"/>
        <v>519.7366888988691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23.72650569076678</v>
      </c>
      <c r="L36" s="5">
        <f t="shared" si="3"/>
        <v>145.8676723340962</v>
      </c>
      <c r="N36" s="11">
        <f>IF(+B36=Title_RESULTS!$H$9,'Value of Defferal'!$O$16,+'Value of Defferal'!N35*(1+'Value of Defferal'!$F$7))</f>
        <v>0.1313573724926214</v>
      </c>
      <c r="O36" s="5">
        <f t="shared" si="7"/>
        <v>31.790458076722295</v>
      </c>
      <c r="P36" s="48">
        <f t="shared" si="4"/>
        <v>195.4438711929977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391.21454528528744</v>
      </c>
      <c r="E37" s="11">
        <f>IF(B37&gt;Title_RESULTS!$H$8-1+Title_RESULTS!$C$18,0,+E36*(1+$F$7))</f>
        <v>0.12827868407482557</v>
      </c>
      <c r="F37" s="9">
        <f t="shared" si="1"/>
        <v>532.2103694324419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22.82067524130912</v>
      </c>
      <c r="L37" s="5">
        <f t="shared" si="3"/>
        <v>140.29873686109244</v>
      </c>
      <c r="N37" s="11">
        <f>IF(+B37=Title_RESULTS!$H$9,'Value of Defferal'!$O$16,+'Value of Defferal'!N36*(1+'Value of Defferal'!$F$7))</f>
        <v>0.1345099494324443</v>
      </c>
      <c r="O37" s="5">
        <f t="shared" si="7"/>
        <v>32.55342907056363</v>
      </c>
      <c r="P37" s="48">
        <f t="shared" si="4"/>
        <v>200.13452410162964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375.68590541626764</v>
      </c>
      <c r="E38" s="11">
        <f>IF(B38&gt;Title_RESULTS!$H$8-1+Title_RESULTS!$C$18,0,+E37*(1+$F$7))</f>
        <v>0.1313573724926214</v>
      </c>
      <c r="F38" s="9">
        <f t="shared" si="1"/>
        <v>544.9834182988205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21.91484479185146</v>
      </c>
      <c r="L38" s="5">
        <f t="shared" si="3"/>
        <v>134.72980138808867</v>
      </c>
      <c r="N38" s="11">
        <f>IF(+B38=Title_RESULTS!$H$9,'Value of Defferal'!$O$16,+'Value of Defferal'!N37*(1+'Value of Defferal'!$F$7))</f>
        <v>0.13773818821882297</v>
      </c>
      <c r="O38" s="5">
        <f t="shared" si="7"/>
        <v>33.33471136825716</v>
      </c>
      <c r="P38" s="48">
        <f t="shared" si="4"/>
        <v>204.93775268006877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360.15726554724785</v>
      </c>
      <c r="E39" s="11">
        <f>IF(B39&gt;Title_RESULTS!$H$8-1+Title_RESULTS!$C$18,0,+E38*(1+$F$7))</f>
        <v>0.1345099494324443</v>
      </c>
      <c r="F39" s="9">
        <f t="shared" si="1"/>
        <v>558.0630203379923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21.009014342393804</v>
      </c>
      <c r="L39" s="5">
        <f t="shared" si="3"/>
        <v>129.16086591508488</v>
      </c>
      <c r="N39" s="11">
        <f>IF(+B39&gt;Title_RESULTS!$H$9+Title_RESULTS!$C$19-1,0,+'Value of Defferal'!N38*(1+'Value of Defferal'!$F$7))</f>
        <v>0.14104390473607473</v>
      </c>
      <c r="O39" s="5">
        <f t="shared" si="7"/>
        <v>34.134744441095336</v>
      </c>
      <c r="P39" s="48">
        <f t="shared" si="4"/>
        <v>209.85625874439043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344.6286256782283</v>
      </c>
      <c r="E40" s="11">
        <f>IF(B40&gt;Title_RESULTS!$H$8-1+Title_RESULTS!$C$18,0,+E39*(1+$F$7))</f>
        <v>0.13773818821882297</v>
      </c>
      <c r="F40" s="9">
        <f t="shared" si="1"/>
        <v>571.4565328261041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20.103183892936155</v>
      </c>
      <c r="L40" s="5">
        <f t="shared" si="3"/>
        <v>123.59193044208119</v>
      </c>
      <c r="N40" s="11">
        <f>IF(+B40&gt;Title_RESULTS!$H$9+Title_RESULTS!$C$19-1,0,+'Value of Defferal'!N39*(1+'Value of Defferal'!$F$7))</f>
        <v>0.14442895844974052</v>
      </c>
      <c r="O40" s="5">
        <f t="shared" si="7"/>
        <v>34.95397830768162</v>
      </c>
      <c r="P40" s="48">
        <f t="shared" si="4"/>
        <v>214.8928089542558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330.55818722787177</v>
      </c>
      <c r="E41" s="11">
        <f>IF(B41&gt;Title_RESULTS!$H$8-1+Title_RESULTS!$C$18,0,+E40*(1+$F$7))</f>
        <v>0.14104390473607473</v>
      </c>
      <c r="F41" s="9">
        <f t="shared" si="1"/>
        <v>585.1714896139306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19.282414547194524</v>
      </c>
      <c r="L41" s="5">
        <f t="shared" si="3"/>
        <v>118.54594029305132</v>
      </c>
      <c r="N41" s="11">
        <f>IF(+B41&gt;Title_RESULTS!$H$9+Title_RESULTS!$C$19-1,0,+'Value of Defferal'!N40*(1+'Value of Defferal'!$F$7))</f>
        <v>0.1478952534525343</v>
      </c>
      <c r="O41" s="5">
        <f t="shared" si="7"/>
        <v>35.79287378706598</v>
      </c>
      <c r="P41" s="48">
        <f t="shared" si="4"/>
        <v>220.05023636915794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319.4036578114492</v>
      </c>
      <c r="E42" s="11">
        <f>IF(B42&gt;Title_RESULTS!$H$8-1+Title_RESULTS!$C$18,0,+E41*(1+$F$7))</f>
        <v>0.14442895844974052</v>
      </c>
      <c r="F42" s="9">
        <f t="shared" si="1"/>
        <v>599.215605364665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18.631738603905713</v>
      </c>
      <c r="L42" s="5">
        <f t="shared" si="3"/>
        <v>114.54566370245892</v>
      </c>
      <c r="N42" s="11">
        <f>IF(+B42&gt;Title_RESULTS!$H$9+Title_RESULTS!$C$19-1,0,+'Value of Defferal'!N41*(1+'Value of Defferal'!$F$7))</f>
        <v>0.1514447395353951</v>
      </c>
      <c r="O42" s="5">
        <f t="shared" si="7"/>
        <v>36.65190275795556</v>
      </c>
      <c r="P42" s="48">
        <f t="shared" si="4"/>
        <v>225.33144204201773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309.7068360102973</v>
      </c>
      <c r="E43" s="11">
        <f>IF(B43&gt;Title_RESULTS!$H$8-1+Title_RESULTS!$C$18,0,+E42*(1+$F$7))</f>
        <v>0.1478952534525343</v>
      </c>
      <c r="F43" s="9">
        <f t="shared" si="1"/>
        <v>613.596779893417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18.066094959353684</v>
      </c>
      <c r="L43" s="5">
        <f t="shared" si="3"/>
        <v>111.06815534633012</v>
      </c>
      <c r="N43" s="11">
        <f>IF(+B43&gt;Title_RESULTS!$H$9+Title_RESULTS!$C$19-1,0,+'Value of Defferal'!N42*(1+'Value of Defferal'!$F$7))</f>
        <v>0.1550794132842446</v>
      </c>
      <c r="O43" s="5">
        <f t="shared" si="7"/>
        <v>37.5315484241465</v>
      </c>
      <c r="P43" s="48">
        <f t="shared" si="4"/>
        <v>230.73939665102617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300.0100142091454</v>
      </c>
      <c r="E44" s="11">
        <f>IF(B44&gt;Title_RESULTS!$H$8-1+Title_RESULTS!$C$18,0,+E43*(1+$F$7))</f>
        <v>0.1514447395353951</v>
      </c>
      <c r="F44" s="9">
        <f t="shared" si="1"/>
        <v>628.3231026108589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17.500451314801662</v>
      </c>
      <c r="L44" s="5">
        <f t="shared" si="3"/>
        <v>107.59064699020134</v>
      </c>
      <c r="N44" s="11">
        <f>IF(+B44&gt;Title_RESULTS!$H$9+Title_RESULTS!$C$19-1,0,+'Value of Defferal'!N43*(1+'Value of Defferal'!$F$7))</f>
        <v>0.15880131920306648</v>
      </c>
      <c r="O44" s="5">
        <f t="shared" si="7"/>
        <v>38.43230558632602</v>
      </c>
      <c r="P44" s="48">
        <f t="shared" si="4"/>
        <v>236.27714217065082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290.3131924079934</v>
      </c>
      <c r="E45" s="11">
        <f>IF(B45&gt;Title_RESULTS!$H$8-1+Title_RESULTS!$C$18,0,+E44*(1+$F$7))</f>
        <v>0.1550794132842446</v>
      </c>
      <c r="F45" s="9">
        <f t="shared" si="1"/>
        <v>643.4028570735195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16.93480767024963</v>
      </c>
      <c r="L45" s="5">
        <f t="shared" si="3"/>
        <v>104.1131386340725</v>
      </c>
      <c r="N45" s="11">
        <f>IF(+B45&gt;Title_RESULTS!$H$9+Title_RESULTS!$C$19-1,0,+'Value of Defferal'!N44*(1+'Value of Defferal'!$F$7))</f>
        <v>0.16261255086394008</v>
      </c>
      <c r="O45" s="5">
        <f t="shared" si="7"/>
        <v>39.35468092039784</v>
      </c>
      <c r="P45" s="48">
        <f t="shared" si="4"/>
        <v>241.94779358274644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280.6163706068415</v>
      </c>
      <c r="E46" s="11">
        <f>IF(B46&gt;Title_RESULTS!$H$8-1+Title_RESULTS!$C$18,0,+E45*(1+$F$7))</f>
        <v>0.15880131920306648</v>
      </c>
      <c r="F46" s="9">
        <f t="shared" si="1"/>
        <v>658.844525643284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16.3691640256976</v>
      </c>
      <c r="L46" s="5">
        <f t="shared" si="3"/>
        <v>100.63563027794369</v>
      </c>
      <c r="N46" s="11">
        <f>IF(+B46&gt;Title_RESULTS!$H$9+Title_RESULTS!$C$19-1,0,+'Value of Defferal'!N45*(1+'Value of Defferal'!$F$7))</f>
        <v>0.16651525208467466</v>
      </c>
      <c r="O46" s="5">
        <f t="shared" si="7"/>
        <v>40.29919326248739</v>
      </c>
      <c r="P46" s="48">
        <f t="shared" si="4"/>
        <v>247.75454062873237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270.91954880568966</v>
      </c>
      <c r="E47" s="11">
        <f>IF(B47&gt;Title_RESULTS!$H$8-1+Title_RESULTS!$C$18,0,+E46*(1+$F$7))</f>
        <v>0.16261255086394008</v>
      </c>
      <c r="F47" s="9">
        <f t="shared" si="1"/>
        <v>674.6567942587229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15.803520381145578</v>
      </c>
      <c r="L47" s="5">
        <f t="shared" si="3"/>
        <v>97.15812192181491</v>
      </c>
      <c r="N47" s="11">
        <f>IF(+B47&gt;Title_RESULTS!$H$9+Title_RESULTS!$C$19-1,0,+'Value of Defferal'!N46*(1+'Value of Defferal'!$F$7))</f>
        <v>0.17051161813470686</v>
      </c>
      <c r="O47" s="5">
        <f t="shared" si="7"/>
        <v>41.266373900787094</v>
      </c>
      <c r="P47" s="48">
        <f t="shared" si="4"/>
        <v>253.70064960382197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261.2227270045377</v>
      </c>
      <c r="E48" s="11">
        <f>IF(B48&gt;Title_RESULTS!$H$8-1+Title_RESULTS!$C$18,0,+E47*(1+$F$7))</f>
        <v>0.16651525208467466</v>
      </c>
      <c r="F48" s="9">
        <f t="shared" si="1"/>
        <v>690.8485573209323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15.23787673659355</v>
      </c>
      <c r="L48" s="5">
        <f t="shared" si="3"/>
        <v>93.68061356568612</v>
      </c>
      <c r="N48" s="11">
        <f>IF(+B48&gt;Title_RESULTS!$H$9+Title_RESULTS!$C$19-1,0,+'Value of Defferal'!N47*(1+'Value of Defferal'!$F$7))</f>
        <v>0.17460389696993983</v>
      </c>
      <c r="O48" s="5">
        <f t="shared" si="7"/>
        <v>42.25676687440598</v>
      </c>
      <c r="P48" s="48">
        <f t="shared" si="4"/>
        <v>259.7894651943137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251.52590520338572</v>
      </c>
      <c r="E49" s="11">
        <f>IF(B49&gt;Title_RESULTS!$H$8-1+Title_RESULTS!$C$18,0,+E48*(1+$F$7))</f>
        <v>0.17051161813470686</v>
      </c>
      <c r="F49" s="9">
        <f t="shared" si="1"/>
        <v>707.4289226966347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14.672233092041518</v>
      </c>
      <c r="L49" s="5">
        <f t="shared" si="3"/>
        <v>90.20310520955728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241.8290834022338</v>
      </c>
      <c r="E50" s="11">
        <f>IF(B50&gt;Title_RESULTS!$H$8-1+Title_RESULTS!$C$18,0,+E49*(1+$F$7))</f>
        <v>0.17460389696993983</v>
      </c>
      <c r="F50" s="9">
        <f t="shared" si="1"/>
        <v>724.4072168413539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14.106589447489492</v>
      </c>
      <c r="L50" s="5">
        <f t="shared" si="3"/>
        <v>86.72559685342847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232.13226160108192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13.540945802937467</v>
      </c>
      <c r="L51" s="5">
        <f t="shared" si="3"/>
        <v>83.24808849729968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9912.084809789281</v>
      </c>
      <c r="F63" s="9">
        <f>SUM(F23:F61)</f>
        <v>13824.70979850887</v>
      </c>
      <c r="J63" t="s">
        <v>87</v>
      </c>
      <c r="K63" s="9">
        <f>SUM(K23:K61)</f>
        <v>578.2005580686197</v>
      </c>
      <c r="O63" s="9">
        <f>SUM(O23:O61)</f>
        <v>806.4352831949263</v>
      </c>
    </row>
    <row r="64" spans="3:15" ht="12.75">
      <c r="C64" t="s">
        <v>89</v>
      </c>
      <c r="D64" s="9">
        <f>NPV(+Title_RESULTS!$C$37,'Value of Defferal'!D24:D61)+'Value of Defferal'!D23</f>
        <v>4425.805814835933</v>
      </c>
      <c r="F64" s="9">
        <f>NPV(+Title_RESULTS!$C$37,'Value of Defferal'!F24:F61)+'Value of Defferal'!F23</f>
        <v>5140.656835915072</v>
      </c>
      <c r="J64" t="s">
        <v>89</v>
      </c>
      <c r="K64" s="9">
        <f>NPV(+Title_RESULTS!$C$37,'Value of Defferal'!K24:K61)+'Value of Defferal'!K23</f>
        <v>258.17004607488616</v>
      </c>
      <c r="O64" s="9">
        <f>NPV(+Title_RESULTS!$C$37,'Value of Defferal'!O24:O61)+'Value of Defferal'!O23</f>
        <v>343.8340127748975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2.2645279302096526</v>
      </c>
      <c r="C25" t="s">
        <v>372</v>
      </c>
    </row>
    <row r="26" spans="2:3" ht="18">
      <c r="B26" s="15">
        <f>+((Input!$C$6*'EUE_Line Losses'!C4)+(Input!$C$7*'EUE_Line Losses'!C3))/'EUE_Line Losses'!C22</f>
        <v>2.2572230014025245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5.88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1.04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10033.45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1833.33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182.73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Demand Controlled Ventilation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43599.321081712966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5.88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2.2572230014025245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10583.808016877638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10033.45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1833.33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182.73</v>
      </c>
      <c r="D39" s="13" t="s">
        <v>189</v>
      </c>
      <c r="G39" s="20" t="s">
        <v>346</v>
      </c>
      <c r="H39" s="79">
        <f>+'Sheet7(F_23)'!H31</f>
        <v>2.1535957846081932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17676.482733143028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0.6762224371743877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2019-05-14T11:42:22Z</dcterms:created>
  <dcterms:modified xsi:type="dcterms:W3CDTF">2019-05-14T11:42:24Z</dcterms:modified>
  <cp:category/>
  <cp:version/>
  <cp:contentType/>
  <cp:contentStatus/>
</cp:coreProperties>
</file>