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<sst xmlns="http://schemas.openxmlformats.org/spreadsheetml/2006/main" count="1258" uniqueCount="468">
  <si>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</si>
  <si>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</si>
  <si>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</si>
  <si>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</si>
  <si>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</si>
  <si>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</si>
  <si>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</si>
  <si>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</si>
  <si>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</si>
  <si>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</si>
  <si>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</si>
  <si>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</si>
  <si>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</si>
  <si>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</si>
  <si>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</si>
  <si>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</si>
  <si>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</si>
  <si>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</si>
  <si>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</si>
  <si>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</si>
  <si>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</si>
  <si>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</si>
  <si>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</si>
  <si>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</si>
  <si>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</si>
  <si>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</si>
  <si>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</si>
  <si>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</si>
  <si>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</si>
  <si>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</si>
  <si>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</si>
  <si>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</si>
  <si>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</si>
  <si>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</si>
  <si>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</si>
  <si>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</si>
  <si>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</si>
  <si>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</si>
  <si>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</si>
  <si>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</si>
  <si>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</si>
  <si>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</si>
  <si>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</si>
  <si>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</si>
  <si>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</si>
  <si>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</si>
  <si>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</si>
  <si>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</si>
  <si>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</si>
  <si>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</si>
  <si>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</si>
  <si>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</si>
  <si>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</si>
  <si>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</si>
  <si>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</si>
  <si>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</si>
  <si>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</si>
  <si>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</si>
  <si>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</si>
  <si>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</si>
  <si>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</si>
  <si>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</si>
  <si>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</si>
  <si>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</si>
  <si>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</si>
  <si>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</si>
  <si>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</si>
  <si>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</si>
  <si>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</si>
  <si>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</si>
  <si>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</si>
  <si>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</si>
  <si>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</si>
  <si>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</si>
  <si>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</si>
  <si>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</si>
  <si>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</si>
  <si>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</si>
  <si>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</si>
  <si>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</si>
  <si>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</si>
  <si>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</si>
  <si>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</si>
  <si>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</si>
  <si>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</si>
  <si>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</si>
  <si>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</si>
  <si>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</si>
  <si>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</si>
  <si>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</si>
  <si>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</si>
  <si>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</si>
  <si>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</si>
  <si>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</si>
  <si>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</si>
  <si>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</si>
  <si>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</si>
  <si>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</si>
  <si>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</si>
  <si>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</si>
  <si>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</si>
  <si>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</si>
  <si>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</si>
  <si>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</si>
  <si>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</si>
  <si>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</si>
  <si>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</si>
  <si>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</si>
  <si>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</si>
  <si>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</si>
  <si>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</si>
  <si>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</si>
  <si>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</si>
  <si>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</si>
  <si>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</si>
  <si>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</si>
  <si>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</si>
  <si>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</si>
  <si>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</si>
  <si>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</si>
  <si>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</si>
  <si>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</si>
  <si>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</si>
  <si>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</si>
  <si>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</si>
  <si>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</si>
  <si>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</si>
  <si>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</si>
  <si>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</si>
  <si>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</si>
  <si>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</si>
  <si>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</si>
  <si>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</si>
  <si>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</si>
  <si>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</si>
  <si>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</si>
  <si>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</si>
  <si>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</si>
  <si>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</si>
  <si>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</si>
  <si>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</si>
  <si>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</si>
  <si>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</si>
  <si>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</si>
  <si>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</si>
  <si>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</si>
  <si>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</si>
  <si>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</si>
  <si>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</si>
  <si>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</si>
  <si>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</si>
  <si>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</si>
  <si>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</si>
  <si>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</si>
  <si>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</si>
  <si>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</si>
  <si>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</si>
  <si>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</si>
  <si>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</si>
  <si>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</si>
  <si>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</si>
  <si>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</si>
  <si>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</si>
  <si>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</si>
  <si>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</si>
  <si>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</si>
  <si>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</si>
  <si>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</si>
  <si>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</si>
  <si>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</si>
  <si>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</si>
  <si>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</si>
  <si>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</si>
  <si>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</si>
  <si>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</si>
  <si>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</si>
  <si>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</si>
  <si>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</si>
  <si>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</si>
  <si>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</si>
  <si>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</si>
  <si>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</si>
  <si>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</si>
  <si>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</si>
  <si>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</si>
  <si>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</si>
  <si>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</si>
  <si>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</si>
  <si>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</si>
  <si>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</si>
  <si>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</si>
  <si>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</si>
  <si>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</si>
  <si>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</si>
  <si>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</si>
  <si>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</si>
  <si>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</si>
  <si>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</si>
  <si>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</si>
  <si>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</si>
  <si>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</si>
  <si>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</si>
  <si>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</si>
  <si>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</si>
  <si>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</si>
  <si>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</si>
  <si>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</si>
  <si>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</si>
  <si>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</si>
  <si>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</si>
  <si>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</si>
  <si>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</si>
  <si>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</si>
  <si>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</si>
  <si>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</si>
  <si>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</si>
  <si>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</si>
  <si>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</si>
  <si>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</si>
  <si>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</si>
  <si>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</si>
  <si>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</si>
  <si>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</si>
  <si>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</si>
  <si>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</si>
  <si>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</si>
  <si>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</si>
  <si>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</si>
  <si>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</si>
  <si>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</si>
  <si>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</si>
  <si>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</si>
  <si>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</si>
  <si>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</si>
  <si>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</si>
  <si>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</si>
  <si>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</si>
  <si>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</si>
  <si>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</si>
  <si>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</si>
  <si>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</si>
  <si>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</si>
  <si>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</si>
  <si>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</si>
  <si>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</si>
  <si>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</si>
  <si>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</si>
  <si>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</si>
  <si>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</si>
  <si>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</si>
  <si>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</si>
  <si>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</si>
  <si>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</si>
  <si>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</si>
  <si>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</si>
  <si>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</si>
  <si>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</si>
  <si>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</si>
  <si>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</si>
  <si>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</si>
  <si>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</si>
  <si>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</si>
  <si>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</si>
  <si>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</si>
  <si>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</si>
  <si>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</si>
  <si>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</si>
  <si>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</si>
  <si>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</si>
  <si>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</si>
  <si>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</si>
  <si>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</si>
  <si>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</si>
  <si>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</si>
  <si>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</si>
  <si>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</si>
  <si>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</si>
  <si>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</si>
  <si>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</si>
  <si>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</si>
  <si>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</si>
  <si>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</si>
  <si>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</si>
  <si>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</si>
  <si>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</si>
  <si>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</si>
  <si>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</si>
  <si>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</si>
  <si>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</si>
  <si>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</si>
  <si>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</si>
  <si>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</si>
  <si>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</si>
  <si>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</si>
  <si>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</si>
  <si>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</si>
  <si>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</si>
  <si>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</si>
  <si>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</si>
  <si>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</si>
  <si>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</si>
  <si>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</si>
  <si>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</si>
  <si>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</si>
  <si>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</si>
  <si>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</si>
  <si>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</si>
  <si>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</si>
  <si>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</si>
  <si>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</si>
  <si>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</si>
  <si>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</si>
  <si>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</si>
  <si>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</si>
  <si>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</si>
  <si>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</si>
  <si>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</si>
  <si>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</si>
  <si>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</si>
  <si>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</si>
  <si>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</si>
  <si>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</si>
  <si>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</si>
  <si>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</si>
  <si>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</si>
  <si>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</si>
  <si>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</si>
  <si>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</si>
  <si>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</si>
  <si>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</si>
  <si>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</si>
  <si>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</si>
  <si>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</si>
  <si>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</si>
  <si>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</si>
  <si>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</si>
  <si>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</si>
  <si>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</si>
  <si>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</si>
  <si>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</si>
  <si>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</si>
  <si>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</si>
  <si>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</si>
  <si>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</si>
  <si>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</si>
  <si>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</si>
  <si>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</si>
  <si>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</si>
  <si>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</si>
  <si>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</si>
  <si>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</si>
  <si>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</si>
  <si>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</si>
  <si>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</si>
  <si>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</si>
  <si>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</si>
  <si>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</si>
  <si>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</si>
  <si>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</si>
  <si>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</si>
  <si>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</si>
  <si>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</si>
  <si>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</si>
  <si>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</si>
  <si>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</si>
  <si>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</si>
  <si>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</si>
  <si>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</si>
  <si>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</si>
  <si>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</si>
  <si>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</si>
  <si>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</si>
  <si>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</si>
  <si>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</si>
  <si>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</si>
  <si>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</si>
  <si>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</si>
  <si>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</si>
  <si>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</si>
  <si>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</si>
  <si>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</si>
  <si>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</si>
  <si>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</si>
  <si>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</si>
  <si>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</si>
  <si>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</si>
  <si>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</si>
  <si>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</si>
  <si>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</si>
  <si>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</si>
  <si>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</si>
  <si>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</si>
  <si>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</si>
  <si>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</si>
  <si>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</si>
  <si>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</si>
  <si>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</si>
  <si>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</si>
  <si>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</si>
  <si>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</si>
  <si>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</si>
  <si>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</si>
  <si>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</si>
  <si>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</si>
  <si>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</si>
  <si>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</si>
  <si>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</si>
  <si>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</si>
  <si>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</si>
  <si>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</si>
  <si>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</si>
  <si>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</si>
  <si>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</si>
  <si>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</si>
  <si>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</si>
  <si>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</si>
  <si>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</si>
  <si>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</si>
  <si>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</si>
  <si>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</si>
  <si>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</si>
  <si>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</si>
  <si>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</si>
  <si>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</si>
  <si>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</si>
  <si>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</si>
  <si>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</si>
  <si>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</si>
  <si>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</si>
  <si>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</si>
  <si>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</si>
  <si>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</si>
  <si>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</si>
  <si>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</si>
  <si>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</si>
  <si>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</si>
  <si>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</si>
  <si>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</si>
  <si>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</si>
  <si>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</si>
  <si>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</si>
  <si>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</si>
  <si>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</si>
  <si>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</si>
  <si>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</si>
  <si>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</si>
  <si>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</si>
  <si>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</si>
  <si>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</si>
  <si>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</si>
  <si>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</si>
  <si>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</si>
  <si>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</si>
  <si>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</si>
  <si>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</si>
  <si>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</si>
  <si>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</si>
  <si>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</si>
  <si>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</si>
  <si>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</si>
  <si>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</si>
  <si>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</si>
  <si>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</si>
  <si>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</si>
  <si>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</si>
  <si>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</si>
  <si>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</si>
  <si>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ECM Motors on Furnaces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</si>
</sst>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43599.321142824076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116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43599.321142824076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ECM Motors on Furnaces</v>
      </c>
      <c r="J2" t="s">
        <v>55</v>
      </c>
    </row>
    <row r="3" ht="12.75">
      <c r="J3" s="35">
        <f>+Title_RESULTS!I4</f>
        <v>43599.321142824076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116</v>
      </c>
      <c r="H5" t="s">
        <v>59</v>
      </c>
    </row>
    <row r="6" spans="3:7" ht="12.75">
      <c r="C6" t="s">
        <v>61</v>
      </c>
      <c r="G6" s="36">
        <f>+'Value of Defferal'!E3</f>
        <v>71.06730975954737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7.023035257860994</v>
      </c>
      <c r="D19" s="5">
        <f>IF((Title_RESULTS!$H$8-Title_RESULTS!$H$7)&lt;=('Sheet3(F_21)'!A19-Title_RESULTS!$H$7),((Title_RESULTS!$C$8*Partcipation!$C$26*8760*Title_RESULTS!$H$21/100000)),0)</f>
        <v>92.36312201963537</v>
      </c>
      <c r="E19" s="5">
        <f>IF($G19=0,0,((Title_RESULTS!$H$14*((1+Title_RESULTS!$H$15/100)^($A19-Title_RESULTS!$H$7))*'EUE_Line Losses'!$B$25*Partcipation!$C$26))/1000)</f>
        <v>0.727653704907041</v>
      </c>
      <c r="F19" s="5">
        <f>IF($G19=0,0,(Title_RESULTS!$H$19/100*((1+Title_RESULTS!$H$20/100)^($A19-Title_RESULTS!$H$7))*$D19*1000)/1000)</f>
        <v>0.20826570892616547</v>
      </c>
      <c r="G19" s="5">
        <f>(+Title_RESULTS!$H$22/100*((1+Title_RESULTS!$H$23/100)^(+'Sheet4(F_22)'!A19-Title_RESULTS!$H$7)))*'Sheet3(F_21)'!D19</f>
        <v>3.9571030420984097</v>
      </c>
      <c r="H19" s="5">
        <f>IF($G19=0,0,(($D19))*(Partcipation!$G19/100))</f>
        <v>2.9303378810264276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8.985719832766183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7.191588104049658</v>
      </c>
      <c r="D20" s="5">
        <f>IF((Title_RESULTS!$H$8-Title_RESULTS!$H$7)&lt;=('Sheet3(F_21)'!A20-Title_RESULTS!$H$7),((Title_RESULTS!$C$8*Partcipation!$C$26*8760*Title_RESULTS!$H$21/100000)),0)</f>
        <v>92.36312201963537</v>
      </c>
      <c r="E20" s="5">
        <f>IF($G20=0,0,((Title_RESULTS!$H$14*((1+Title_RESULTS!$H$15/100)^($A20-Title_RESULTS!$H$7))*'EUE_Line Losses'!$B$25*Partcipation!$C$26))/1000)</f>
        <v>0.7451173938248098</v>
      </c>
      <c r="F20" s="5">
        <f>IF($G20=0,0,(Title_RESULTS!$H$19/100*((1+Title_RESULTS!$H$20/100)^($A20-Title_RESULTS!$H$7))*$D20*1000)/1000)</f>
        <v>0.21326408594039342</v>
      </c>
      <c r="G20" s="5">
        <f>(+Title_RESULTS!$H$22/100*((1+Title_RESULTS!$H$23/100)^(+'Sheet4(F_22)'!A20-Title_RESULTS!$H$7)))*'Sheet3(F_21)'!D20</f>
        <v>4.136755520209678</v>
      </c>
      <c r="H20" s="5">
        <f>IF($G20=0,0,(($D20))*(Partcipation!$G20/100))</f>
        <v>3.061424795921113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9.225300308103426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7.36418621854685</v>
      </c>
      <c r="D21" s="5">
        <f>IF((Title_RESULTS!$H$8-Title_RESULTS!$H$7)&lt;=('Sheet3(F_21)'!A21-Title_RESULTS!$H$7),((Title_RESULTS!$C$8*Partcipation!$C$26*8760*Title_RESULTS!$H$21/100000)),0)</f>
        <v>92.36312201963537</v>
      </c>
      <c r="E21" s="5">
        <f>IF($G21=0,0,((Title_RESULTS!$H$14*((1+Title_RESULTS!$H$15/100)^($A21-Title_RESULTS!$H$7))*'EUE_Line Losses'!$B$25*Partcipation!$C$26))/1000)</f>
        <v>0.7630002112766054</v>
      </c>
      <c r="F21" s="5">
        <f>IF($G21=0,0,(Title_RESULTS!$H$19/100*((1+Title_RESULTS!$H$20/100)^($A21-Title_RESULTS!$H$7))*$D21*1000)/1000)</f>
        <v>0.2183824240029629</v>
      </c>
      <c r="G21" s="5">
        <f>(+Title_RESULTS!$H$22/100*((1+Title_RESULTS!$H$23/100)^(+'Sheet4(F_22)'!A21-Title_RESULTS!$H$7)))*'Sheet3(F_21)'!D21</f>
        <v>4.324564220827198</v>
      </c>
      <c r="H21" s="5">
        <f>IF($G21=0,0,(($D21))*(Partcipation!$G21/100))</f>
        <v>3.1827438969357114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9.487389177717903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7.540926687791974</v>
      </c>
      <c r="D22" s="5">
        <f>IF((Title_RESULTS!$H$8-Title_RESULTS!$H$7)&lt;=('Sheet3(F_21)'!A22-Title_RESULTS!$H$7),((Title_RESULTS!$C$8*Partcipation!$C$26*8760*Title_RESULTS!$H$21/100000)),0)</f>
        <v>92.36312201963537</v>
      </c>
      <c r="E22" s="5">
        <f>IF($G22=0,0,((Title_RESULTS!$H$14*((1+Title_RESULTS!$H$15/100)^($A22-Title_RESULTS!$H$7))*'EUE_Line Losses'!$B$25*Partcipation!$C$26))/1000)</f>
        <v>0.7813122163472437</v>
      </c>
      <c r="F22" s="5">
        <f>IF($G22=0,0,(Title_RESULTS!$H$19/100*((1+Title_RESULTS!$H$20/100)^($A22-Title_RESULTS!$H$7))*$D22*1000)/1000)</f>
        <v>0.22362360217903396</v>
      </c>
      <c r="G22" s="5">
        <f>(+Title_RESULTS!$H$22/100*((1+Title_RESULTS!$H$23/100)^(+'Sheet4(F_22)'!A22-Title_RESULTS!$H$7)))*'Sheet3(F_21)'!D22</f>
        <v>4.520899436452753</v>
      </c>
      <c r="H22" s="5">
        <f>IF($G22=0,0,(($D22))*(Partcipation!$G22/100))</f>
        <v>3.2858659368171277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9.780896005953878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7.721908928298982</v>
      </c>
      <c r="D23" s="5">
        <f>IF((Title_RESULTS!$H$8-Title_RESULTS!$H$7)&lt;=('Sheet3(F_21)'!A23-Title_RESULTS!$H$7),((Title_RESULTS!$C$8*Partcipation!$C$26*8760*Title_RESULTS!$H$21/100000)),0)</f>
        <v>92.36312201963537</v>
      </c>
      <c r="E23" s="5">
        <f>IF($G23=0,0,((Title_RESULTS!$H$14*((1+Title_RESULTS!$H$15/100)^($A23-Title_RESULTS!$H$7))*'EUE_Line Losses'!$B$25*Partcipation!$C$26))/1000)</f>
        <v>0.8000637095395777</v>
      </c>
      <c r="F23" s="5">
        <f>IF($G23=0,0,(Title_RESULTS!$H$19/100*((1+Title_RESULTS!$H$20/100)^($A23-Title_RESULTS!$H$7))*$D23*1000)/1000)</f>
        <v>0.2289905686313308</v>
      </c>
      <c r="G23" s="5">
        <f>(+Title_RESULTS!$H$22/100*((1+Title_RESULTS!$H$23/100)^(+'Sheet4(F_22)'!A23-Title_RESULTS!$H$7)))*'Sheet3(F_21)'!D23</f>
        <v>4.726148270867709</v>
      </c>
      <c r="H23" s="5">
        <f>IF($G23=0,0,(($D23))*(Partcipation!$G23/100))</f>
        <v>3.43294020821579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10.044171269121808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7.907234742578158</v>
      </c>
      <c r="D24" s="5">
        <f>IF((Title_RESULTS!$H$8-Title_RESULTS!$H$7)&lt;=('Sheet3(F_21)'!A24-Title_RESULTS!$H$7),((Title_RESULTS!$C$8*Partcipation!$C$26*8760*Title_RESULTS!$H$21/100000)),0)</f>
        <v>92.36312201963537</v>
      </c>
      <c r="E24" s="5">
        <f>IF($G24=0,0,((Title_RESULTS!$H$14*((1+Title_RESULTS!$H$15/100)^($A24-Title_RESULTS!$H$7))*'EUE_Line Losses'!$B$25*Partcipation!$C$26))/1000)</f>
        <v>0.8192652385685274</v>
      </c>
      <c r="F24" s="5">
        <f>IF($G24=0,0,(Title_RESULTS!$H$19/100*((1+Title_RESULTS!$H$20/100)^($A24-Title_RESULTS!$H$7))*$D24*1000)/1000)</f>
        <v>0.2344863422784827</v>
      </c>
      <c r="G24" s="5">
        <f>(+Title_RESULTS!$H$22/100*((1+Title_RESULTS!$H$23/100)^(+'Sheet4(F_22)'!A24-Title_RESULTS!$H$7)))*'Sheet3(F_21)'!D24</f>
        <v>4.940715402365104</v>
      </c>
      <c r="H24" s="5">
        <f>IF($G24=0,0,(($D24))*(Partcipation!$G24/100))</f>
        <v>3.6947512994462075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10.206950426344065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8.097008376400034</v>
      </c>
      <c r="D25" s="5">
        <f>IF((Title_RESULTS!$H$8-Title_RESULTS!$H$7)&lt;=('Sheet3(F_21)'!A25-Title_RESULTS!$H$7),((Title_RESULTS!$C$8*Partcipation!$C$26*8760*Title_RESULTS!$H$21/100000)),0)</f>
        <v>92.36312201963537</v>
      </c>
      <c r="E25" s="5">
        <f>IF($G25=0,0,((Title_RESULTS!$H$14*((1+Title_RESULTS!$H$15/100)^($A25-Title_RESULTS!$H$7))*'EUE_Line Losses'!$B$25*Partcipation!$C$26))/1000)</f>
        <v>0.8389276042941721</v>
      </c>
      <c r="F25" s="5">
        <f>IF($G25=0,0,(Title_RESULTS!$H$19/100*((1+Title_RESULTS!$H$20/100)^($A25-Title_RESULTS!$H$7))*$D25*1000)/1000)</f>
        <v>0.24011401449316627</v>
      </c>
      <c r="G25" s="5">
        <f>(+Title_RESULTS!$H$22/100*((1+Title_RESULTS!$H$23/100)^(+'Sheet4(F_22)'!A25-Title_RESULTS!$H$7)))*'Sheet3(F_21)'!D25</f>
        <v>5.16502388163248</v>
      </c>
      <c r="H25" s="5">
        <f>IF($G25=0,0,(($D25))*(Partcipation!$G25/100))</f>
        <v>3.8568978749196723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10.484176001900178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8.291336577433635</v>
      </c>
      <c r="D26" s="5">
        <f>IF((Title_RESULTS!$H$8-Title_RESULTS!$H$7)&lt;=('Sheet3(F_21)'!A26-Title_RESULTS!$H$7),((Title_RESULTS!$C$8*Partcipation!$C$26*8760*Title_RESULTS!$H$21/100000)),0)</f>
        <v>92.36312201963537</v>
      </c>
      <c r="E26" s="5">
        <f>IF($G26=0,0,((Title_RESULTS!$H$14*((1+Title_RESULTS!$H$15/100)^($A26-Title_RESULTS!$H$7))*'EUE_Line Losses'!$B$25*Partcipation!$C$26))/1000)</f>
        <v>0.8590618667972322</v>
      </c>
      <c r="F26" s="5">
        <f>IF($G26=0,0,(Title_RESULTS!$H$19/100*((1+Title_RESULTS!$H$20/100)^($A26-Title_RESULTS!$H$7))*$D26*1000)/1000)</f>
        <v>0.24587675084100227</v>
      </c>
      <c r="G26" s="5">
        <f>(+Title_RESULTS!$H$22/100*((1+Title_RESULTS!$H$23/100)^(+'Sheet4(F_22)'!A26-Title_RESULTS!$H$7)))*'Sheet3(F_21)'!D26</f>
        <v>5.399515965858595</v>
      </c>
      <c r="H26" s="5">
        <f>IF($G26=0,0,(($D26))*(Partcipation!$G26/100))</f>
        <v>4.1436694427255265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10.652121718204938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8.490328655292041</v>
      </c>
      <c r="D27" s="5">
        <f>IF((Title_RESULTS!$H$8-Title_RESULTS!$H$7)&lt;=('Sheet3(F_21)'!A27-Title_RESULTS!$H$7),((Title_RESULTS!$C$8*Partcipation!$C$26*8760*Title_RESULTS!$H$21/100000)),0)</f>
        <v>92.36312201963537</v>
      </c>
      <c r="E27" s="5">
        <f>IF($G27=0,0,((Title_RESULTS!$H$14*((1+Title_RESULTS!$H$15/100)^($A27-Title_RESULTS!$H$7))*'EUE_Line Losses'!$B$25*Partcipation!$C$26))/1000)</f>
        <v>0.8796793516003661</v>
      </c>
      <c r="F27" s="5">
        <f>IF($G27=0,0,(Title_RESULTS!$H$19/100*((1+Title_RESULTS!$H$20/100)^($A27-Title_RESULTS!$H$7))*$D27*1000)/1000)</f>
        <v>0.2517777928611864</v>
      </c>
      <c r="G27" s="5">
        <f>(+Title_RESULTS!$H$22/100*((1+Title_RESULTS!$H$23/100)^(+'Sheet4(F_22)'!A27-Title_RESULTS!$H$7)))*'Sheet3(F_21)'!D27</f>
        <v>5.6446539907085755</v>
      </c>
      <c r="H27" s="5">
        <f>IF($G27=0,0,(($D27))*(Partcipation!$G27/100))</f>
        <v>4.246710305637338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11.01972948482483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8.694096543019052</v>
      </c>
      <c r="D28" s="5">
        <f>IF((Title_RESULTS!$H$8-Title_RESULTS!$H$7)&lt;=('Sheet3(F_21)'!A28-Title_RESULTS!$H$7),((Title_RESULTS!$C$8*Partcipation!$C$26*8760*Title_RESULTS!$H$21/100000)),0)</f>
        <v>92.36312201963537</v>
      </c>
      <c r="E28" s="5">
        <f>IF($G28=0,0,((Title_RESULTS!$H$14*((1+Title_RESULTS!$H$15/100)^($A28-Title_RESULTS!$H$7))*'EUE_Line Losses'!$B$25*Partcipation!$C$26))/1000)</f>
        <v>0.9007916560387748</v>
      </c>
      <c r="F28" s="5">
        <f>IF($G28=0,0,(Title_RESULTS!$H$19/100*((1+Title_RESULTS!$H$20/100)^($A28-Title_RESULTS!$H$7))*$D28*1000)/1000)</f>
        <v>0.2578204598898548</v>
      </c>
      <c r="G28" s="5">
        <f>(+Title_RESULTS!$H$22/100*((1+Title_RESULTS!$H$23/100)^(+'Sheet4(F_22)'!A28-Title_RESULTS!$H$7)))*'Sheet3(F_21)'!D28</f>
        <v>5.9009212818867445</v>
      </c>
      <c r="H28" s="5">
        <f>IF($G28=0,0,(($D28))*(Partcipation!$G28/100))</f>
        <v>4.501555015187831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11.252074925646594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8.902754860051509</v>
      </c>
      <c r="D29" s="5">
        <f>IF((Title_RESULTS!$H$8-Title_RESULTS!$H$7)&lt;=('Sheet3(F_21)'!A29-Title_RESULTS!$H$7),((Title_RESULTS!$C$8*Partcipation!$C$26*8760*Title_RESULTS!$H$21/100000)),0)</f>
        <v>92.36312201963537</v>
      </c>
      <c r="E29" s="5">
        <f>IF($G29=0,0,((Title_RESULTS!$H$14*((1+Title_RESULTS!$H$15/100)^($A29-Title_RESULTS!$H$7))*'EUE_Line Losses'!$B$25*Partcipation!$C$26))/1000)</f>
        <v>0.9224106557837053</v>
      </c>
      <c r="F29" s="5">
        <f>IF($G29=0,0,(Title_RESULTS!$H$19/100*((1+Title_RESULTS!$H$20/100)^($A29-Title_RESULTS!$H$7))*$D29*1000)/1000)</f>
        <v>0.26400815092721136</v>
      </c>
      <c r="G29" s="5">
        <f>(+Title_RESULTS!$H$22/100*((1+Title_RESULTS!$H$23/100)^(+'Sheet4(F_22)'!A29-Title_RESULTS!$H$7)))*'Sheet3(F_21)'!D29</f>
        <v>6.168823108084403</v>
      </c>
      <c r="H29" s="5">
        <f>IF($G29=0,0,(($D29))*(Partcipation!$G29/100))</f>
        <v>4.604224045899558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11.653772728947272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9.116420976692744</v>
      </c>
      <c r="D30" s="5">
        <f>IF((Title_RESULTS!$H$8-Title_RESULTS!$H$7)&lt;=('Sheet3(F_21)'!A30-Title_RESULTS!$H$7),((Title_RESULTS!$C$8*Partcipation!$C$26*8760*Title_RESULTS!$H$21/100000)),0)</f>
        <v>92.36312201963537</v>
      </c>
      <c r="E30" s="5">
        <f>IF($G30=0,0,((Title_RESULTS!$H$14*((1+Title_RESULTS!$H$15/100)^($A30-Title_RESULTS!$H$7))*'EUE_Line Losses'!$B$25*Partcipation!$C$26))/1000)</f>
        <v>0.9445485115225141</v>
      </c>
      <c r="F30" s="5">
        <f>IF($G30=0,0,(Title_RESULTS!$H$19/100*((1+Title_RESULTS!$H$20/100)^($A30-Title_RESULTS!$H$7))*$D30*1000)/1000)</f>
        <v>0.27034434654946443</v>
      </c>
      <c r="G30" s="5">
        <f>(+Title_RESULTS!$H$22/100*((1+Title_RESULTS!$H$23/100)^(+'Sheet4(F_22)'!A30-Title_RESULTS!$H$7)))*'Sheet3(F_21)'!D30</f>
        <v>6.448887677191436</v>
      </c>
      <c r="H30" s="5">
        <f>IF($G30=0,0,(($D30))*(Partcipation!$G30/100))</f>
        <v>4.901321262438701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11.878880249517456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96.34082592801565</v>
      </c>
      <c r="D32" s="9">
        <f t="shared" si="1"/>
        <v>1108.3574642356245</v>
      </c>
      <c r="E32" s="9">
        <f t="shared" si="1"/>
        <v>9.98183212050057</v>
      </c>
      <c r="F32" s="9">
        <f t="shared" si="1"/>
        <v>2.8569542475202545</v>
      </c>
      <c r="G32" s="9">
        <f t="shared" si="1"/>
        <v>61.334011798183084</v>
      </c>
      <c r="H32" s="9">
        <f t="shared" si="1"/>
        <v>45.842441965171</v>
      </c>
      <c r="I32" s="9">
        <f t="shared" si="1"/>
        <v>0</v>
      </c>
      <c r="J32" s="9">
        <f t="shared" si="1"/>
        <v>124.67118212904853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54.32382391369166</v>
      </c>
      <c r="D34" s="5"/>
      <c r="E34" s="5">
        <f>NPV(Title_RESULTS!$C$37,E17:E31)+'Sheet3(F_21)'!E16</f>
        <v>5.628468359356462</v>
      </c>
      <c r="F34" s="5">
        <f>NPV(Title_RESULTS!$C$37,F17:F31)+'Sheet3(F_21)'!F16</f>
        <v>1.6109544212100417</v>
      </c>
      <c r="G34" s="5">
        <f>NPV(Title_RESULTS!$C$37,G17:G31)+'Sheet3(F_21)'!G16</f>
        <v>34.00803296299485</v>
      </c>
      <c r="H34" s="5">
        <f>NPV(Title_RESULTS!$C$37,H17:H31)+'Sheet3(F_21)'!H16</f>
        <v>25.34970426916069</v>
      </c>
      <c r="I34" s="5">
        <f>NPV(Title_RESULTS!$C$37,I17:I31)+'Sheet3(F_21)'!I16</f>
        <v>0</v>
      </c>
      <c r="J34" s="5">
        <f>NPV(Title_RESULTS!$C$37,J17:J31)+'Sheet3(F_21)'!J16</f>
        <v>70.22157538809232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ECM Motors on Furnaces</v>
      </c>
      <c r="F2" t="s">
        <v>55</v>
      </c>
    </row>
    <row r="3" spans="6:7" ht="12.75">
      <c r="F3" s="35">
        <f>+Title_RESULTS!I4</f>
        <v>43599.321142824076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788.5864978902954</v>
      </c>
      <c r="C16" s="5">
        <f>$B16*'Sheet2(F_12)'!$E16/100</f>
        <v>22.874604434382682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22.874604434382682</v>
      </c>
      <c r="G16" s="5">
        <f>+$F16*'Sheet2(F_12)'!$I16</f>
        <v>22.874604434382682</v>
      </c>
    </row>
    <row r="17" spans="1:7" ht="12.75">
      <c r="A17">
        <f>+A16+1</f>
        <v>2021</v>
      </c>
      <c r="B17" s="5">
        <f>(+Partcipation!$C16+(Partcipation!$C17-Partcipation!$C16)/2)*Title_RESULTS!$C$10/1000</f>
        <v>2365.7594936708865</v>
      </c>
      <c r="C17" s="5">
        <f>$B17*'Sheet2(F_12)'!$E17/100</f>
        <v>68.0656372801187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68.0656372801187</v>
      </c>
      <c r="G17" s="5">
        <f>+$F17*'Sheet2(F_12)'!$I17</f>
        <v>68.0656372801187</v>
      </c>
    </row>
    <row r="18" spans="1:7" ht="12.75">
      <c r="A18">
        <f>+A17+1</f>
        <v>2022</v>
      </c>
      <c r="B18" s="5">
        <f>(+Partcipation!$C17+(Partcipation!$C18-Partcipation!$C17)/2)*Title_RESULTS!$C$10/1000</f>
        <v>3942.9324894514766</v>
      </c>
      <c r="C18" s="5">
        <f>$B18*'Sheet2(F_12)'!$E18/100</f>
        <v>117.0804891175205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117.0804891175205</v>
      </c>
      <c r="G18" s="5">
        <f>+$F18*'Sheet2(F_12)'!$I18</f>
        <v>117.0804891175205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4731.518987341773</v>
      </c>
      <c r="C19" s="5">
        <f>$B19*'Sheet2(F_12)'!$E19/100</f>
        <v>146.26029003622145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146.26029003622145</v>
      </c>
      <c r="G19" s="5">
        <f>+$F19*'Sheet2(F_12)'!$I19</f>
        <v>146.26029003622145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4731.518987341773</v>
      </c>
      <c r="C20" s="5">
        <f>$B20*'Sheet2(F_12)'!$E20/100</f>
        <v>152.00776814672636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152.00776814672636</v>
      </c>
      <c r="G20" s="5">
        <f>+$F20*'Sheet2(F_12)'!$I20</f>
        <v>152.00776814672636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4731.518987341773</v>
      </c>
      <c r="C21" s="5">
        <f>$B21*'Sheet2(F_12)'!$E21/100</f>
        <v>163.21057871895653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163.21057871895653</v>
      </c>
      <c r="G21" s="5">
        <f>+$F21*'Sheet2(F_12)'!$I21</f>
        <v>163.21057871895653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4731.518987341773</v>
      </c>
      <c r="C22" s="5">
        <f>$B22*'Sheet2(F_12)'!$E22/100</f>
        <v>168.4454967583762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168.4454967583762</v>
      </c>
      <c r="G22" s="5">
        <f>+$F22*'Sheet2(F_12)'!$I22</f>
        <v>168.4454967583762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4731.518987341773</v>
      </c>
      <c r="C23" s="5">
        <f>$B23*'Sheet2(F_12)'!$E23/100</f>
        <v>178.9725863774734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178.9725863774734</v>
      </c>
      <c r="G23" s="5">
        <f>+$F23*'Sheet2(F_12)'!$I23</f>
        <v>178.9725863774734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4731.518987341773</v>
      </c>
      <c r="C24" s="5">
        <f>$B24*'Sheet2(F_12)'!$E24/100</f>
        <v>198.32232219301684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198.32232219301684</v>
      </c>
      <c r="G24" s="5">
        <f>+$F24*'Sheet2(F_12)'!$I24</f>
        <v>198.32232219301684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4731.518987341773</v>
      </c>
      <c r="C25" s="5">
        <f>$B25*'Sheet2(F_12)'!$E25/100</f>
        <v>212.47544968498931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212.47544968498931</v>
      </c>
      <c r="G25" s="5">
        <f>+$F25*'Sheet2(F_12)'!$I25</f>
        <v>212.47544968498931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4731.518987341773</v>
      </c>
      <c r="C26" s="5">
        <f>$B26*'Sheet2(F_12)'!$E26/100</f>
        <v>237.3233061142903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237.3233061142903</v>
      </c>
      <c r="G26" s="5">
        <f>+$F26*'Sheet2(F_12)'!$I26</f>
        <v>237.3233061142903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4731.518987341773</v>
      </c>
      <c r="C27" s="5">
        <f>$B27*'Sheet2(F_12)'!$E27/100</f>
        <v>236.440737389939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236.440737389939</v>
      </c>
      <c r="G27" s="5">
        <f>+$F27*'Sheet2(F_12)'!$I27</f>
        <v>236.440737389939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4731.518987341773</v>
      </c>
      <c r="C28" s="5">
        <f>$B28*'Sheet2(F_12)'!$E28/100</f>
        <v>258.40787319483826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258.40787319483826</v>
      </c>
      <c r="G28" s="5">
        <f>+$F28*'Sheet2(F_12)'!$I28</f>
        <v>258.40787319483826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4731.518987341773</v>
      </c>
      <c r="C29" s="5">
        <f>$B29*'Sheet2(F_12)'!$E29/100</f>
        <v>275.5684909639135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275.5684909639135</v>
      </c>
      <c r="G29" s="5">
        <f>+$F29*'Sheet2(F_12)'!$I29</f>
        <v>275.5684909639135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4731.518987341773</v>
      </c>
      <c r="C30" s="5">
        <f>$B30*'Sheet2(F_12)'!$E30/100</f>
        <v>288.39958547193805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288.39958547193805</v>
      </c>
      <c r="G30" s="5">
        <f>+$F30*'Sheet2(F_12)'!$I30</f>
        <v>288.39958547193805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63875.50632911391</v>
      </c>
      <c r="C32" s="5">
        <f t="shared" si="2"/>
        <v>2723.8552158827015</v>
      </c>
      <c r="D32" s="5">
        <f t="shared" si="2"/>
        <v>0</v>
      </c>
      <c r="E32" s="5">
        <f t="shared" si="2"/>
        <v>0</v>
      </c>
      <c r="F32" s="5">
        <f t="shared" si="2"/>
        <v>2723.8552158827015</v>
      </c>
      <c r="G32" s="5">
        <f t="shared" si="2"/>
        <v>2723.8552158827015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1560.1715402976572</v>
      </c>
      <c r="D34" s="5"/>
      <c r="E34" s="5">
        <f>NPV(+Title_RESULTS!$C$37,E17:E31)+E16</f>
        <v>0</v>
      </c>
      <c r="F34" s="5">
        <f>NPV(+Title_RESULTS!$C$37,F17:F31)+F16</f>
        <v>1560.1715402976572</v>
      </c>
      <c r="G34" s="5">
        <f>NPV(+Title_RESULTS!$C$37,G17:G31)+G16</f>
        <v>1560.1715402976572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ECM Motors on Furnaces</v>
      </c>
      <c r="J2" t="s">
        <v>42</v>
      </c>
    </row>
    <row r="3" spans="9:10" ht="12.75">
      <c r="I3" s="4"/>
      <c r="J3" s="35">
        <f>+Title_RESULTS!I4</f>
        <v>43599.321142824076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ECM Motors on Furnaces</v>
      </c>
      <c r="H2" t="s">
        <v>108</v>
      </c>
    </row>
    <row r="3" ht="12.75">
      <c r="H3" s="35">
        <f>+Title_RESULTS!I4</f>
        <v>43599.321142824076</v>
      </c>
    </row>
    <row r="5" spans="3:6" ht="12.75">
      <c r="C5" t="s">
        <v>60</v>
      </c>
      <c r="F5" s="38">
        <f>+'Value of Defferal'!L4</f>
        <v>4.1455616</v>
      </c>
    </row>
    <row r="6" spans="3:6" ht="12.75">
      <c r="C6" t="s">
        <v>62</v>
      </c>
      <c r="F6" s="38">
        <f>+'Value of Defferal'!L5</f>
        <v>43.0169088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22.874604434382682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0.4096739468391559</v>
      </c>
      <c r="C17" s="5">
        <f>IF(+Title_RESULTS!$H$9&lt;='Sheet4(F_22)'!$A17,(+Title_RESULTS!$H$16*((1+Title_RESULTS!$H$18/100)^('Sheet4(F_22)'!$A17-Title_RESULTS!$H$7))*Title_RESULTS!$C$8*Partcipation!$C$26/1000),0)</f>
        <v>0.3298358506645296</v>
      </c>
      <c r="D17" s="5">
        <f>(+B17+C17)*+Partcipation!$H17</f>
        <v>0.7395097975036855</v>
      </c>
      <c r="E17" s="5">
        <f>VLOOKUP(A17,'Value of Defferal'!$I24:$P$58,'Value of Defferal'!$K$13)</f>
        <v>4.251030019410644</v>
      </c>
      <c r="F17" s="5">
        <f>IF(+'Value of Defferal'!P24=0,0,Title_RESULTS!$H$17*Title_RESULTS!$C$7*Partcipation!$C$26*(1+Title_RESULTS!$H$18/100)^('Sheet4(F_22)'!A17-Title_RESULTS!$H$7))/1000</f>
        <v>5.9222016</v>
      </c>
      <c r="G17" s="5">
        <f>(+E17+F17)*Partcipation!$H17</f>
        <v>10.173231619410643</v>
      </c>
      <c r="H17" s="5">
        <f>+'Sheet5(p_5)'!$F17*'Sheet2(F_12)'!$I17</f>
        <v>68.0656372801187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0.41950612156329564</v>
      </c>
      <c r="C18" s="5">
        <f>IF(+Title_RESULTS!$H$9&lt;='Sheet4(F_22)'!$A18,(+Title_RESULTS!$H$16*((1+Title_RESULTS!$H$18/100)^('Sheet4(F_22)'!$A18-Title_RESULTS!$H$7))*Title_RESULTS!$C$8*Partcipation!$C$26/1000),0)</f>
        <v>0.33775191108047825</v>
      </c>
      <c r="D18" s="5">
        <f>(+B18+C18)*+Partcipation!$H18</f>
        <v>0.7572580326437739</v>
      </c>
      <c r="E18" s="5">
        <f>VLOOKUP(A18,'Value of Defferal'!$I25:$P$58,'Value of Defferal'!$K$13)</f>
        <v>4.353054739876499</v>
      </c>
      <c r="F18" s="5">
        <f>IF(+'Value of Defferal'!P25=0,0,Title_RESULTS!$H$17*Title_RESULTS!$C$7*Partcipation!$C$26*(1+Title_RESULTS!$H$18/100)^('Sheet4(F_22)'!A18-Title_RESULTS!$H$7))/1000</f>
        <v>6.0643344384</v>
      </c>
      <c r="G18" s="5">
        <f>(+E18+F18)*Partcipation!$H18</f>
        <v>10.4173891782765</v>
      </c>
      <c r="H18" s="5">
        <f>+'Sheet5(p_5)'!$F18*'Sheet2(F_12)'!$I18</f>
        <v>117.0804891175205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0.42957426848081476</v>
      </c>
      <c r="C19" s="5">
        <f>IF(+Title_RESULTS!$H$9&lt;='Sheet4(F_22)'!$A19,(+Title_RESULTS!$H$16*((1+Title_RESULTS!$H$18/100)^('Sheet4(F_22)'!$A19-Title_RESULTS!$H$7))*Title_RESULTS!$C$8*Partcipation!$C$26/1000),0)</f>
        <v>0.34585795694640975</v>
      </c>
      <c r="D19" s="5">
        <f>(+B19+C19)*+Partcipation!$H19</f>
        <v>0.7754322254272246</v>
      </c>
      <c r="E19" s="5">
        <f>VLOOKUP(A19,'Value of Defferal'!$I26:$P$58,'Value of Defferal'!$K$13)</f>
        <v>4.457528053633535</v>
      </c>
      <c r="F19" s="5">
        <f>IF(+'Value of Defferal'!P26=0,0,Title_RESULTS!$H$17*Title_RESULTS!$C$7*Partcipation!$C$26*(1+Title_RESULTS!$H$18/100)^('Sheet4(F_22)'!A19-Title_RESULTS!$H$7))/1000</f>
        <v>6.2098784649216014</v>
      </c>
      <c r="G19" s="5">
        <f>(+E19+F19)*Partcipation!$H19</f>
        <v>10.667406518555136</v>
      </c>
      <c r="H19" s="5">
        <f>+'Sheet5(p_5)'!$F19*'Sheet2(F_12)'!$I19</f>
        <v>146.26029003622145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0.4398840509243543</v>
      </c>
      <c r="C20" s="5">
        <f>IF(+Title_RESULTS!$H$9&lt;='Sheet4(F_22)'!$A20,(+Title_RESULTS!$H$16*((1+Title_RESULTS!$H$18/100)^('Sheet4(F_22)'!$A20-Title_RESULTS!$H$7))*Title_RESULTS!$C$8*Partcipation!$C$26/1000),0)</f>
        <v>0.35415854791312357</v>
      </c>
      <c r="D20" s="5">
        <f>(+B20+C20)*+Partcipation!$H20</f>
        <v>0.7940425988374779</v>
      </c>
      <c r="E20" s="5">
        <f>VLOOKUP(A20,'Value of Defferal'!$I27:$P$58,'Value of Defferal'!$K$13)</f>
        <v>4.56450872692074</v>
      </c>
      <c r="F20" s="5">
        <f>IF(+'Value of Defferal'!P27=0,0,Title_RESULTS!$H$17*Title_RESULTS!$C$7*Partcipation!$C$26*(1+Title_RESULTS!$H$18/100)^('Sheet4(F_22)'!A20-Title_RESULTS!$H$7))/1000</f>
        <v>6.358915548079719</v>
      </c>
      <c r="G20" s="5">
        <f>(+E20+F20)*Partcipation!$H20</f>
        <v>10.923424275000459</v>
      </c>
      <c r="H20" s="5">
        <f>+'Sheet5(p_5)'!$F20*'Sheet2(F_12)'!$I20</f>
        <v>152.00776814672636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0.4504412681465388</v>
      </c>
      <c r="C21" s="5">
        <f>IF(+Title_RESULTS!$H$9&lt;='Sheet4(F_22)'!$A21,(+Title_RESULTS!$H$16*((1+Title_RESULTS!$H$18/100)^('Sheet4(F_22)'!$A21-Title_RESULTS!$H$7))*Title_RESULTS!$C$8*Partcipation!$C$26/1000),0)</f>
        <v>0.36265835306303856</v>
      </c>
      <c r="D21" s="5">
        <f>(+B21+C21)*+Partcipation!$H21</f>
        <v>0.8130996212095774</v>
      </c>
      <c r="E21" s="5">
        <f>VLOOKUP(A21,'Value of Defferal'!$I28:$P$58,'Value of Defferal'!$K$13)</f>
        <v>4.674056936366838</v>
      </c>
      <c r="F21" s="5">
        <f>IF(+'Value of Defferal'!P28=0,0,Title_RESULTS!$H$17*Title_RESULTS!$C$7*Partcipation!$C$26*(1+Title_RESULTS!$H$18/100)^('Sheet4(F_22)'!A21-Title_RESULTS!$H$7))/1000</f>
        <v>6.5115295212336335</v>
      </c>
      <c r="G21" s="5">
        <f>(+E21+F21)*Partcipation!$H21</f>
        <v>11.185586457600472</v>
      </c>
      <c r="H21" s="5">
        <f>+'Sheet5(p_5)'!$F21*'Sheet2(F_12)'!$I21</f>
        <v>163.21057871895653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0.46125185858205575</v>
      </c>
      <c r="C22" s="5">
        <f>IF(+Title_RESULTS!$H$9&lt;='Sheet4(F_22)'!$A22,(+Title_RESULTS!$H$16*((1+Title_RESULTS!$H$18/100)^('Sheet4(F_22)'!$A22-Title_RESULTS!$H$7))*Title_RESULTS!$C$8*Partcipation!$C$26/1000),0)</f>
        <v>0.3713621535365514</v>
      </c>
      <c r="D22" s="5">
        <f>(+B22+C22)*+Partcipation!$H22</f>
        <v>0.8326140121186072</v>
      </c>
      <c r="E22" s="5">
        <f>VLOOKUP(A22,'Value of Defferal'!$I29:$P$58,'Value of Defferal'!$K$13)</f>
        <v>4.786234302839643</v>
      </c>
      <c r="F22" s="5">
        <f>IF(+'Value of Defferal'!P29=0,0,Title_RESULTS!$H$17*Title_RESULTS!$C$7*Partcipation!$C$26*(1+Title_RESULTS!$H$18/100)^('Sheet4(F_22)'!A22-Title_RESULTS!$H$7))/1000</f>
        <v>6.667806229743239</v>
      </c>
      <c r="G22" s="5">
        <f>(+E22+F22)*Partcipation!$H22</f>
        <v>11.454040532582882</v>
      </c>
      <c r="H22" s="5">
        <f>+'Sheet5(p_5)'!$F22*'Sheet2(F_12)'!$I22</f>
        <v>168.4454967583762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0.472321903188025</v>
      </c>
      <c r="C23" s="5">
        <f>IF(+Title_RESULTS!$H$9&lt;='Sheet4(F_22)'!$A23,(+Title_RESULTS!$H$16*((1+Title_RESULTS!$H$18/100)^('Sheet4(F_22)'!$A23-Title_RESULTS!$H$7))*Title_RESULTS!$C$8*Partcipation!$C$26/1000),0)</f>
        <v>0.38027484522142874</v>
      </c>
      <c r="D23" s="5">
        <f>(+B23+C23)*+Partcipation!$H23</f>
        <v>0.8525967484094538</v>
      </c>
      <c r="E23" s="5">
        <f>VLOOKUP(A23,'Value of Defferal'!$I30:$P$58,'Value of Defferal'!$K$13)</f>
        <v>4.901103926107793</v>
      </c>
      <c r="F23" s="5">
        <f>IF(+'Value of Defferal'!P30=0,0,Title_RESULTS!$H$17*Title_RESULTS!$C$7*Partcipation!$C$26*(1+Title_RESULTS!$H$18/100)^('Sheet4(F_22)'!A23-Title_RESULTS!$H$7))/1000</f>
        <v>6.827833579257078</v>
      </c>
      <c r="G23" s="5">
        <f>(+E23+F23)*Partcipation!$H23</f>
        <v>11.728937505364872</v>
      </c>
      <c r="H23" s="5">
        <f>+'Sheet5(p_5)'!$F23*'Sheet2(F_12)'!$I23</f>
        <v>178.9725863774734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0.48365762886453767</v>
      </c>
      <c r="C24" s="5">
        <f>IF(+Title_RESULTS!$H$9&lt;='Sheet4(F_22)'!$A24,(+Title_RESULTS!$H$16*((1+Title_RESULTS!$H$18/100)^('Sheet4(F_22)'!$A24-Title_RESULTS!$H$7))*Title_RESULTS!$C$8*Partcipation!$C$26/1000),0)</f>
        <v>0.389401441506743</v>
      </c>
      <c r="D24" s="5">
        <f>(+B24+C24)*+Partcipation!$H24</f>
        <v>0.8730590703712806</v>
      </c>
      <c r="E24" s="5">
        <f>VLOOKUP(A24,'Value of Defferal'!$I31:$P$58,'Value of Defferal'!$K$13)</f>
        <v>5.01873042033438</v>
      </c>
      <c r="F24" s="5">
        <f>IF(+'Value of Defferal'!P31=0,0,Title_RESULTS!$H$17*Title_RESULTS!$C$7*Partcipation!$C$26*(1+Title_RESULTS!$H$18/100)^('Sheet4(F_22)'!A24-Title_RESULTS!$H$7))/1000</f>
        <v>6.991701585159247</v>
      </c>
      <c r="G24" s="5">
        <f>(+E24+F24)*Partcipation!$H24</f>
        <v>12.010432005493627</v>
      </c>
      <c r="H24" s="5">
        <f>+'Sheet5(p_5)'!$F24*'Sheet2(F_12)'!$I24</f>
        <v>198.32232219301684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0.49526541195728657</v>
      </c>
      <c r="C25" s="5">
        <f>IF(+Title_RESULTS!$H$9&lt;='Sheet4(F_22)'!$A25,(+Title_RESULTS!$H$16*((1+Title_RESULTS!$H$18/100)^('Sheet4(F_22)'!$A25-Title_RESULTS!$H$7))*Title_RESULTS!$C$8*Partcipation!$C$26/1000),0)</f>
        <v>0.3987470761029048</v>
      </c>
      <c r="D25" s="5">
        <f>(+B25+C25)*+Partcipation!$H25</f>
        <v>0.8940124880601914</v>
      </c>
      <c r="E25" s="5">
        <f>VLOOKUP(A25,'Value of Defferal'!$I32:$P$58,'Value of Defferal'!$K$13)</f>
        <v>5.139179950422406</v>
      </c>
      <c r="F25" s="5">
        <f>IF(+'Value of Defferal'!P32=0,0,Title_RESULTS!$H$17*Title_RESULTS!$C$7*Partcipation!$C$26*(1+Title_RESULTS!$H$18/100)^('Sheet4(F_22)'!A25-Title_RESULTS!$H$7))/1000</f>
        <v>7.159502423203068</v>
      </c>
      <c r="G25" s="5">
        <f>(+E25+F25)*Partcipation!$H25</f>
        <v>12.298682373625475</v>
      </c>
      <c r="H25" s="5">
        <f>+'Sheet5(p_5)'!$F25*'Sheet2(F_12)'!$I25</f>
        <v>212.47544968498931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0.5071517818442615</v>
      </c>
      <c r="C26" s="5">
        <f>IF(+Title_RESULTS!$H$9&lt;='Sheet4(F_22)'!$A26,(+Title_RESULTS!$H$16*((1+Title_RESULTS!$H$18/100)^('Sheet4(F_22)'!$A26-Title_RESULTS!$H$7))*Title_RESULTS!$C$8*Partcipation!$C$26/1000),0)</f>
        <v>0.40831700592937453</v>
      </c>
      <c r="D26" s="5">
        <f>(+B26+C26)*+Partcipation!$H26</f>
        <v>0.915468787773636</v>
      </c>
      <c r="E26" s="5">
        <f>VLOOKUP(A26,'Value of Defferal'!$I33:$P$58,'Value of Defferal'!$K$13)</f>
        <v>5.262520269232544</v>
      </c>
      <c r="F26" s="5">
        <f>IF(+'Value of Defferal'!P33=0,0,Title_RESULTS!$H$17*Title_RESULTS!$C$7*Partcipation!$C$26*(1+Title_RESULTS!$H$18/100)^('Sheet4(F_22)'!A26-Title_RESULTS!$H$7))/1000</f>
        <v>7.331330481359942</v>
      </c>
      <c r="G26" s="5">
        <f>(+E26+F26)*Partcipation!$H26</f>
        <v>12.593850750592486</v>
      </c>
      <c r="H26" s="5">
        <f>+'Sheet5(p_5)'!$F26*'Sheet2(F_12)'!$I26</f>
        <v>237.3233061142903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0.5193234246085239</v>
      </c>
      <c r="C27" s="5">
        <f>IF(+Title_RESULTS!$H$9&lt;='Sheet4(F_22)'!$A27,(+Title_RESULTS!$H$16*((1+Title_RESULTS!$H$18/100)^('Sheet4(F_22)'!$A27-Title_RESULTS!$H$7))*Title_RESULTS!$C$8*Partcipation!$C$26/1000),0)</f>
        <v>0.41811661407167955</v>
      </c>
      <c r="D27" s="5">
        <f>(+B27+C27)*+Partcipation!$H27</f>
        <v>0.9374400386802034</v>
      </c>
      <c r="E27" s="5">
        <f>VLOOKUP(A27,'Value of Defferal'!$I34:$P$58,'Value of Defferal'!$K$13)</f>
        <v>5.388820755694126</v>
      </c>
      <c r="F27" s="5">
        <f>IF(+'Value of Defferal'!P34=0,0,Title_RESULTS!$H$17*Title_RESULTS!$C$7*Partcipation!$C$26*(1+Title_RESULTS!$H$18/100)^('Sheet4(F_22)'!A27-Title_RESULTS!$H$7))/1000</f>
        <v>7.507282412912582</v>
      </c>
      <c r="G27" s="5">
        <f>(+E27+F27)*Partcipation!$H27</f>
        <v>12.896103168606707</v>
      </c>
      <c r="H27" s="5">
        <f>+'Sheet5(p_5)'!$F27*'Sheet2(F_12)'!$I27</f>
        <v>236.440737389939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0.5317871867991284</v>
      </c>
      <c r="C28" s="5">
        <f>IF(+Title_RESULTS!$H$9&lt;='Sheet4(F_22)'!$A28,(+Title_RESULTS!$H$16*((1+Title_RESULTS!$H$18/100)^('Sheet4(F_22)'!$A28-Title_RESULTS!$H$7))*Title_RESULTS!$C$8*Partcipation!$C$26/1000),0)</f>
        <v>0.4281514128093998</v>
      </c>
      <c r="D28" s="5">
        <f>(+B28+C28)*+Partcipation!$H28</f>
        <v>0.9599385996085281</v>
      </c>
      <c r="E28" s="5">
        <f>VLOOKUP(A28,'Value of Defferal'!$I35:$P$58,'Value of Defferal'!$K$13)</f>
        <v>5.518152453830784</v>
      </c>
      <c r="F28" s="5">
        <f>IF(+'Value of Defferal'!P35=0,0,Title_RESULTS!$H$17*Title_RESULTS!$C$7*Partcipation!$C$26*(1+Title_RESULTS!$H$18/100)^('Sheet4(F_22)'!A28-Title_RESULTS!$H$7))/1000</f>
        <v>7.6874571908224825</v>
      </c>
      <c r="G28" s="5">
        <f>(+E28+F28)*Partcipation!$H28</f>
        <v>13.205609644653267</v>
      </c>
      <c r="H28" s="5">
        <f>+'Sheet5(p_5)'!$F28*'Sheet2(F_12)'!$I28</f>
        <v>258.40787319483826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0.5445500792823075</v>
      </c>
      <c r="C29" s="5">
        <f>IF(+Title_RESULTS!$H$9&lt;='Sheet4(F_22)'!$A29,(+Title_RESULTS!$H$16*((1+Title_RESULTS!$H$18/100)^('Sheet4(F_22)'!$A29-Title_RESULTS!$H$7))*Title_RESULTS!$C$8*Partcipation!$C$26/1000),0)</f>
        <v>0.43842704671682536</v>
      </c>
      <c r="D29" s="5">
        <f>(+B29+C29)*+Partcipation!$H29</f>
        <v>0.9829771259991329</v>
      </c>
      <c r="E29" s="5">
        <f>VLOOKUP(A29,'Value of Defferal'!$I36:$P$58,'Value of Defferal'!$K$13)</f>
        <v>5.6505881127227235</v>
      </c>
      <c r="F29" s="5">
        <f>IF(+'Value of Defferal'!P36=0,0,Title_RESULTS!$H$17*Title_RESULTS!$C$7*Partcipation!$C$26*(1+Title_RESULTS!$H$18/100)^('Sheet4(F_22)'!A29-Title_RESULTS!$H$7))/1000</f>
        <v>7.871956163402222</v>
      </c>
      <c r="G29" s="5">
        <f>(+E29+F29)*Partcipation!$H29</f>
        <v>13.522544276124947</v>
      </c>
      <c r="H29" s="5">
        <f>+'Sheet5(p_5)'!$F29*'Sheet2(F_12)'!$I29</f>
        <v>275.5684909639135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0.5576192811850829</v>
      </c>
      <c r="C30" s="5">
        <f>IF(+Title_RESULTS!$H$9&lt;='Sheet4(F_22)'!$A30,(+Title_RESULTS!$H$16*((1+Title_RESULTS!$H$18/100)^('Sheet4(F_22)'!$A30-Title_RESULTS!$H$7))*Title_RESULTS!$C$8*Partcipation!$C$26/1000),0)</f>
        <v>0.44894929583802917</v>
      </c>
      <c r="D30" s="5">
        <f>(+B30+C30)*+Partcipation!$H30</f>
        <v>1.006568577023112</v>
      </c>
      <c r="E30" s="5">
        <f>VLOOKUP(A30,'Value of Defferal'!$I37:$P$58,'Value of Defferal'!$K$13)</f>
        <v>5.786202227428069</v>
      </c>
      <c r="F30" s="5">
        <f>IF(+'Value of Defferal'!P37=0,0,Title_RESULTS!$H$17*Title_RESULTS!$C$7*Partcipation!$C$26*(1+Title_RESULTS!$H$18/100)^('Sheet4(F_22)'!A30-Title_RESULTS!$H$7))/1000</f>
        <v>8.060883111323875</v>
      </c>
      <c r="G30" s="5">
        <f>(+E30+F30)*Partcipation!$H30</f>
        <v>13.847085338751944</v>
      </c>
      <c r="H30" s="5">
        <f>+'Sheet5(p_5)'!$F30*'Sheet2(F_12)'!$I30</f>
        <v>288.39958547193805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6.722008212265369</v>
      </c>
      <c r="C32" s="5">
        <f t="shared" si="1"/>
        <v>5.412009511400516</v>
      </c>
      <c r="D32" s="5">
        <f t="shared" si="1"/>
        <v>12.134017723665883</v>
      </c>
      <c r="E32" s="5">
        <f t="shared" si="1"/>
        <v>69.75171089482073</v>
      </c>
      <c r="F32" s="5">
        <f t="shared" si="1"/>
        <v>97.1726127498187</v>
      </c>
      <c r="G32" s="5">
        <f t="shared" si="1"/>
        <v>166.92432364463943</v>
      </c>
      <c r="H32" s="5">
        <f t="shared" si="1"/>
        <v>2723.8552158827015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4.071248893473567</v>
      </c>
      <c r="C34" s="5">
        <f>NPV(Title_RESULTS!$C$37,'Sheet4(F_22)'!C17:C31)+'Sheet4(F_22)'!C16</f>
        <v>3.2778355870726115</v>
      </c>
      <c r="D34" s="5">
        <f>NPV(Title_RESULTS!$C$37,'Sheet4(F_22)'!D17:D31)+'Sheet4(F_22)'!D16</f>
        <v>7.349084480546181</v>
      </c>
      <c r="E34" s="5">
        <f>NPV(Title_RESULTS!$C$37,'Sheet4(F_22)'!E17:E31)+'Sheet4(F_22)'!E16</f>
        <v>42.24579423754152</v>
      </c>
      <c r="F34" s="5">
        <f>NPV(Title_RESULTS!$C$37,'Sheet4(F_22)'!F17:F31)+'Sheet4(F_22)'!F16</f>
        <v>58.85352704743422</v>
      </c>
      <c r="G34" s="5">
        <f>NPV(Title_RESULTS!$C$37,'Sheet4(F_22)'!G17:G31)+'Sheet4(F_22)'!G16</f>
        <v>101.09932128497574</v>
      </c>
      <c r="H34" s="5">
        <f>NPV(Title_RESULTS!$C$37,'Sheet4(F_22)'!H17:H31)+'Sheet4(F_22)'!H16</f>
        <v>1560.1715402976572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ECM Motors on Furnaces</v>
      </c>
      <c r="P2" t="s">
        <v>121</v>
      </c>
    </row>
    <row r="3" ht="12.75">
      <c r="P3" s="35">
        <f>+Title_RESULTS!I4</f>
        <v>43599.321142824076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134.18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134.18</v>
      </c>
      <c r="H16" s="5">
        <f>IF(Partcipation!$B17&lt;Partcipation!$B16,0,IF(Partcipation!$B16=0,0,(Partcipation!$B16-Partcipation!$B15)*(+Title_RESULTS!$C$29*(1+Title_RESULTS!$C$30/100)^(+'Sheet8(F_24)'!$A16-Title_RESULTS!$H$7))/1000))</f>
        <v>287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287</v>
      </c>
      <c r="K16" s="5">
        <f>(+Partcipation!$B15+(Partcipation!$B16-Partcipation!$B15)/2)*(+Title_RESULTS!$C$14)/1000</f>
        <v>747.58</v>
      </c>
      <c r="L16" s="5">
        <f>($K16)*Partcipation!$E73*Title_RESULTS!$C$12/100</f>
        <v>18.20067643820681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23.882294400000003</v>
      </c>
      <c r="N16" s="5">
        <f>'Sheet2(F_12)'!$I16*('Sheet6(p_6)'!$L16+'Sheet6(p_6)'!$M16)</f>
        <v>42.08297083820681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134.18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134.18</v>
      </c>
      <c r="H17" s="5">
        <f>IF(Partcipation!$B18&lt;Partcipation!$B17,0,IF(Partcipation!$B17=0,0,(Partcipation!$B17-Partcipation!$B16)*(+Title_RESULTS!$C$29*(1+Title_RESULTS!$C$30/100)^(+'Sheet8(F_24)'!$A17-Title_RESULTS!$H$7))/1000))</f>
        <v>293.601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293.601</v>
      </c>
      <c r="K17" s="5">
        <f>(+Partcipation!$B16+(Partcipation!$B17-Partcipation!$B16)/2)*(+Title_RESULTS!$C$14)/1000</f>
        <v>2242.74</v>
      </c>
      <c r="L17" s="5">
        <f>($K17)*Partcipation!$E74*Title_RESULTS!$C$12/100</f>
        <v>57.20073011223554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72.363352032</v>
      </c>
      <c r="N17" s="5">
        <f>'Sheet2(F_12)'!$I17*('Sheet6(p_6)'!$L17+'Sheet6(p_6)'!$M17)</f>
        <v>129.56408214423553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134.18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134.18</v>
      </c>
      <c r="H18" s="5">
        <f>IF(Partcipation!$B19&lt;Partcipation!$B18,0,IF(Partcipation!$B18=0,0,(Partcipation!$B18-Partcipation!$B17)*(+Title_RESULTS!$C$29*(1+Title_RESULTS!$C$30/100)^(+'Sheet8(F_24)'!$A18-Title_RESULTS!$H$7))/1000))</f>
        <v>300.3538229999999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300.3538229999999</v>
      </c>
      <c r="K18" s="5">
        <f>(+Partcipation!$B17+(Partcipation!$B18-Partcipation!$B17)/2)*(+Title_RESULTS!$C$14)/1000</f>
        <v>3737.9</v>
      </c>
      <c r="L18" s="5">
        <f>($K18)*Partcipation!$E75*Title_RESULTS!$C$12/100</f>
        <v>98.84623534061265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121.81164258720001</v>
      </c>
      <c r="N18" s="5">
        <f>'Sheet2(F_12)'!$I18*('Sheet6(p_6)'!$L18+'Sheet6(p_6)'!$M18)</f>
        <v>220.65787792781265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4485.48</v>
      </c>
      <c r="L19" s="5">
        <f>($K19)*Partcipation!$E76*Title_RESULTS!$C$12/100</f>
        <v>117.64314521993107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147.6357108156864</v>
      </c>
      <c r="N19" s="5">
        <f>'Sheet2(F_12)'!$I19*('Sheet6(p_6)'!$L19+'Sheet6(p_6)'!$M19)</f>
        <v>265.2788560356175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4485.48</v>
      </c>
      <c r="L20" s="5">
        <f>($K20)*Partcipation!$E77*Title_RESULTS!$C$12/100</f>
        <v>124.31583307022863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149.11206792384326</v>
      </c>
      <c r="N20" s="5">
        <f>'Sheet2(F_12)'!$I20*('Sheet6(p_6)'!$L20+'Sheet6(p_6)'!$M20)</f>
        <v>273.4279009940719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4485.48</v>
      </c>
      <c r="L21" s="5">
        <f>($K21)*Partcipation!$E78*Title_RESULTS!$C$12/100</f>
        <v>131.4513974105137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150.6031886030817</v>
      </c>
      <c r="N21" s="5">
        <f>'Sheet2(F_12)'!$I21*('Sheet6(p_6)'!$L21+'Sheet6(p_6)'!$M21)</f>
        <v>282.0545860135954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4485.48</v>
      </c>
      <c r="L22" s="5">
        <f>($K22)*Partcipation!$E79*Title_RESULTS!$C$12/100</f>
        <v>137.39486277466085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152.10922048911254</v>
      </c>
      <c r="N22" s="5">
        <f>'Sheet2(F_12)'!$I22*('Sheet6(p_6)'!$L22+'Sheet6(p_6)'!$M22)</f>
        <v>289.5040832637734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4485.48</v>
      </c>
      <c r="L23" s="5">
        <f>($K23)*Partcipation!$E80*Title_RESULTS!$C$12/100</f>
        <v>145.48480528295272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153.63031269400363</v>
      </c>
      <c r="N23" s="5">
        <f>'Sheet2(F_12)'!$I23*('Sheet6(p_6)'!$L23+'Sheet6(p_6)'!$M23)</f>
        <v>299.11511797695636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4485.48</v>
      </c>
      <c r="L24" s="5">
        <f>($K24)*Partcipation!$E81*Title_RESULTS!$C$12/100</f>
        <v>159.2615051324692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155.1666158209437</v>
      </c>
      <c r="N24" s="5">
        <f>'Sheet2(F_12)'!$I24*('Sheet6(p_6)'!$L24+'Sheet6(p_6)'!$M24)</f>
        <v>314.4281209534129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4485.48</v>
      </c>
      <c r="L25" s="5">
        <f>($K25)*Partcipation!$E82*Title_RESULTS!$C$12/100</f>
        <v>167.37552020384766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156.71828197915312</v>
      </c>
      <c r="N25" s="5">
        <f>'Sheet2(F_12)'!$I25*('Sheet6(p_6)'!$L25+'Sheet6(p_6)'!$M25)</f>
        <v>324.0938021830008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4485.48</v>
      </c>
      <c r="L26" s="5">
        <f>($K26)*Partcipation!$E83*Title_RESULTS!$C$12/100</f>
        <v>182.36433065013634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158.28546479894467</v>
      </c>
      <c r="N26" s="5">
        <f>'Sheet2(F_12)'!$I26*('Sheet6(p_6)'!$L26+'Sheet6(p_6)'!$M26)</f>
        <v>340.649795449081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4485.48</v>
      </c>
      <c r="L27" s="5">
        <f>($K27)*Partcipation!$E84*Title_RESULTS!$C$12/100</f>
        <v>188.6508088282062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159.8683194469341</v>
      </c>
      <c r="N27" s="5">
        <f>'Sheet2(F_12)'!$I27*('Sheet6(p_6)'!$L27+'Sheet6(p_6)'!$M27)</f>
        <v>348.5191282751403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4485.48</v>
      </c>
      <c r="L28" s="5">
        <f>($K28)*Partcipation!$E85*Title_RESULTS!$C$12/100</f>
        <v>202.1112417144627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161.46700264140344</v>
      </c>
      <c r="N28" s="5">
        <f>'Sheet2(F_12)'!$I28*('Sheet6(p_6)'!$L28+'Sheet6(p_6)'!$M28)</f>
        <v>363.5782443558661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4485.48</v>
      </c>
      <c r="L29" s="5">
        <f>($K29)*Partcipation!$E86*Title_RESULTS!$C$12/100</f>
        <v>206.35060258138859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163.0816726678175</v>
      </c>
      <c r="N29" s="5">
        <f>'Sheet2(F_12)'!$I29*('Sheet6(p_6)'!$L29+'Sheet6(p_6)'!$M29)</f>
        <v>369.4322752492061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4485.48</v>
      </c>
      <c r="L30" s="5">
        <f>($K30)*Partcipation!$E87*Title_RESULTS!$C$12/100</f>
        <v>219.97897968163088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164.71248939449566</v>
      </c>
      <c r="N30" s="5">
        <f>'Sheet2(F_12)'!$I30*('Sheet6(p_6)'!$L30+'Sheet6(p_6)'!$M30)</f>
        <v>384.6914690761265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384.072</v>
      </c>
      <c r="C32" s="5">
        <f t="shared" si="4"/>
        <v>0</v>
      </c>
      <c r="D32" s="5">
        <f t="shared" si="4"/>
        <v>384.072</v>
      </c>
      <c r="E32" s="5">
        <f t="shared" si="4"/>
        <v>402.54</v>
      </c>
      <c r="F32" s="5">
        <f t="shared" si="4"/>
        <v>0</v>
      </c>
      <c r="G32" s="5">
        <f t="shared" si="4"/>
        <v>402.54</v>
      </c>
      <c r="H32" s="5">
        <f t="shared" si="4"/>
        <v>880.9548229999999</v>
      </c>
      <c r="I32" s="5">
        <f t="shared" si="4"/>
        <v>0</v>
      </c>
      <c r="J32" s="5">
        <f t="shared" si="4"/>
        <v>880.9548229999999</v>
      </c>
      <c r="K32" s="5">
        <f t="shared" si="4"/>
        <v>60553.97999999997</v>
      </c>
      <c r="L32" s="5">
        <f t="shared" si="4"/>
        <v>2156.6306744414833</v>
      </c>
      <c r="M32" s="5">
        <f t="shared" si="4"/>
        <v>2090.4476362946198</v>
      </c>
      <c r="N32" s="5">
        <f t="shared" si="4"/>
        <v>4247.078310736103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358.8491576370552</v>
      </c>
      <c r="C34" s="5">
        <f>NPV(Title_RESULTS!$C$37,'Sheet6(p_6)'!C17:C31)+'Sheet6(p_6)'!C16</f>
        <v>0</v>
      </c>
      <c r="D34" s="5">
        <f>NPV(Title_RESULTS!$C$37,'Sheet6(p_6)'!D17:D31)+'Sheet6(p_6)'!D16</f>
        <v>358.8491576370552</v>
      </c>
      <c r="E34" s="5">
        <f>NPV(Title_RESULTS!$C$37,'Sheet6(p_6)'!E17:E31)+'Sheet6(p_6)'!E16</f>
        <v>376.5111363460986</v>
      </c>
      <c r="F34" s="5">
        <f>NPV(Title_RESULTS!$C$37,'Sheet6(p_6)'!F17:F31)+'Sheet6(p_6)'!F16</f>
        <v>0</v>
      </c>
      <c r="G34" s="5">
        <f>NPV(Title_RESULTS!$C$37,'Sheet6(p_6)'!G17:G31)+'Sheet6(p_6)'!G16</f>
        <v>376.5111363460986</v>
      </c>
      <c r="H34" s="5">
        <f>NPV(Title_RESULTS!$C$37,'Sheet6(p_6)'!H17:H31)+'Sheet6(p_6)'!H16</f>
        <v>823.1372728282499</v>
      </c>
      <c r="I34" s="5">
        <f>NPV(Title_RESULTS!$C$37,'Sheet6(p_6)'!I17:I31)+'Sheet6(p_6)'!I16</f>
        <v>0</v>
      </c>
      <c r="J34" s="5">
        <f>NPV(Title_RESULTS!$C$37,'Sheet6(p_6)'!J17:J31)+'Sheet6(p_6)'!J16</f>
        <v>823.1372728282499</v>
      </c>
      <c r="K34" s="5"/>
      <c r="L34" s="5">
        <f>NPV(Title_RESULTS!$C$37,'Sheet6(p_6)'!L17:L31)+'Sheet6(p_6)'!L16</f>
        <v>1244.4835614067067</v>
      </c>
      <c r="M34" s="5">
        <f>NPV(Title_RESULTS!$C$37,'Sheet6(p_6)'!M17:M31)+'Sheet6(p_6)'!M16</f>
        <v>1265.337964705115</v>
      </c>
      <c r="N34" s="5">
        <f>NPV(Title_RESULTS!$C$37,'Sheet6(p_6)'!N17:N31)+'Sheet6(p_6)'!N16</f>
        <v>2509.821526111822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ECM Motors on Furnaces</v>
      </c>
      <c r="M2" t="s">
        <v>55</v>
      </c>
    </row>
    <row r="3" ht="12.75">
      <c r="M3" s="35">
        <f>+Title_RESULTS!I4</f>
        <v>43599.321142824076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287</v>
      </c>
      <c r="E16" s="5">
        <f>IF(A16&gt;=(Title_RESULTS!$H$7+Title_RESULTS!$C$17),0,(+'f-11B'!$N15))</f>
        <v>0</v>
      </c>
      <c r="F16" s="5">
        <f>IF(A16&gt;=(Title_RESULTS!$H$7+Title_RESULTS!$C$17),0,(SUM(B16:E16)))</f>
        <v>412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22.874604434382682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22.874604434382682</v>
      </c>
      <c r="L16" s="23">
        <f>IF(A16&gt;=(Title_RESULTS!$H$7+Title_RESULTS!$C$17),0,(+$K16-$F16))</f>
        <v>-389.12539556561734</v>
      </c>
      <c r="M16" s="23">
        <f>IF(A16&gt;=(Title_RESULTS!$H$7+Title_RESULTS!$C$17),0,(+$L16/(1+Title_RESULTS!$C$37)^('Sheet7(F_23)'!$A16-Title_RESULTS!$H$7)))</f>
        <v>-389.12539556561734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293.601</v>
      </c>
      <c r="E17" s="5">
        <f>IF(A17&gt;=(Title_RESULTS!$H$7+Title_RESULTS!$C$17),0,(+'f-11B'!$N16))</f>
        <v>0</v>
      </c>
      <c r="F17" s="5">
        <f>IF(A17&gt;=(Title_RESULTS!$H$7+Title_RESULTS!$C$17),0,(SUM(B17:E17)))</f>
        <v>421.601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10.91274141691433</v>
      </c>
      <c r="I17" s="5">
        <f>IF(A17&gt;=(Title_RESULTS!$H$7+Title_RESULTS!$C$17),0,(+'Sheet4(F_22)'!$H17))</f>
        <v>68.0656372801187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78.97837869703302</v>
      </c>
      <c r="L17" s="23">
        <f>IF(A17&gt;=(Title_RESULTS!$H$7+Title_RESULTS!$C$17),0,(+$K17-$F17))</f>
        <v>-342.622621302967</v>
      </c>
      <c r="M17" s="23">
        <f>IF(A17&gt;=(Title_RESULTS!$H$7+Title_RESULTS!$C$17),0,(+M16+$L17/(1+Title_RESULTS!$C$37)^('Sheet7(F_23)'!$A17-Title_RESULTS!$H$7)))</f>
        <v>-709.0942238276336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300.3538229999999</v>
      </c>
      <c r="E18" s="5">
        <f>IF(A18&gt;=(Title_RESULTS!$H$7+Title_RESULTS!$C$17),0,(+'f-11B'!$N17))</f>
        <v>0</v>
      </c>
      <c r="F18" s="5">
        <f>IF(A18&gt;=(Title_RESULTS!$H$7+Title_RESULTS!$C$17),0,(SUM(B18:E18)))</f>
        <v>431.4258229999999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11.174647210920273</v>
      </c>
      <c r="I18" s="5">
        <f>IF(A18&gt;=(Title_RESULTS!$H$7+Title_RESULTS!$C$17),0,(+'Sheet4(F_22)'!$H18))</f>
        <v>117.0804891175205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128.25513632844078</v>
      </c>
      <c r="L18" s="23">
        <f>IF(A18&gt;=(Title_RESULTS!$H$7+Title_RESULTS!$C$17),0,(+$K18-$F18))</f>
        <v>-303.1706866715591</v>
      </c>
      <c r="M18" s="23">
        <f>IF(A18&gt;=(Title_RESULTS!$H$7+Title_RESULTS!$C$17),0,(+M17+$L18/(1+Title_RESULTS!$C$37)^('Sheet7(F_23)'!$A18-Title_RESULTS!$H$7)))</f>
        <v>-973.4997223328298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8.985719832766183</v>
      </c>
      <c r="H19" s="5">
        <f>IF(A19&gt;=(Title_RESULTS!$H$7+Title_RESULTS!$C$17),0,(+'Sheet4(F_22)'!$D19+'Sheet4(F_22)'!$G19))</f>
        <v>11.44283874398236</v>
      </c>
      <c r="I19" s="5">
        <f>IF(A19&gt;=(Title_RESULTS!$H$7+Title_RESULTS!$C$17),0,(+'Sheet4(F_22)'!$H19))</f>
        <v>146.26029003622145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166.68884861297</v>
      </c>
      <c r="L19" s="23">
        <f>IF(A19&gt;=(Title_RESULTS!$H$7+Title_RESULTS!$C$17),0,(+$K19-$F19))</f>
        <v>166.68884861297</v>
      </c>
      <c r="M19" s="23">
        <f>IF(A19&gt;=(Title_RESULTS!$H$7+Title_RESULTS!$C$17),0,(+M18+$L19/(1+Title_RESULTS!$C$37)^('Sheet7(F_23)'!$A19-Title_RESULTS!$H$7)))</f>
        <v>-837.7367120036668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9.225300308103426</v>
      </c>
      <c r="H20" s="5">
        <f>IF(A20&gt;=(Title_RESULTS!$H$7+Title_RESULTS!$C$17),0,(+'Sheet4(F_22)'!$D20+'Sheet4(F_22)'!$G20))</f>
        <v>11.717466873837937</v>
      </c>
      <c r="I20" s="5">
        <f>IF(A20&gt;=(Title_RESULTS!$H$7+Title_RESULTS!$C$17),0,(+'Sheet4(F_22)'!$H20))</f>
        <v>152.00776814672636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172.95053532866774</v>
      </c>
      <c r="L20" s="23">
        <f>IF(A20&gt;=(Title_RESULTS!$H$7+Title_RESULTS!$C$17),0,(+$K20-$F20))</f>
        <v>172.95053532866774</v>
      </c>
      <c r="M20" s="23">
        <f>IF(A20&gt;=(Title_RESULTS!$H$7+Title_RESULTS!$C$17),0,(+M19+$L20/(1+Title_RESULTS!$C$37)^('Sheet7(F_23)'!$A20-Title_RESULTS!$H$7)))</f>
        <v>-706.1874365112186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9.487389177717903</v>
      </c>
      <c r="H21" s="5">
        <f>IF(A21&gt;=(Title_RESULTS!$H$7+Title_RESULTS!$C$17),0,(+'Sheet4(F_22)'!$D21+'Sheet4(F_22)'!$G21))</f>
        <v>11.99868607881005</v>
      </c>
      <c r="I21" s="5">
        <f>IF(A21&gt;=(Title_RESULTS!$H$7+Title_RESULTS!$C$17),0,(+'Sheet4(F_22)'!$H21))</f>
        <v>163.21057871895653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184.69665397548448</v>
      </c>
      <c r="L21" s="23">
        <f>IF(A21&gt;=(Title_RESULTS!$H$7+Title_RESULTS!$C$17),0,(+$K21-$F21))</f>
        <v>184.69665397548448</v>
      </c>
      <c r="M21" s="23">
        <f>IF(A21&gt;=(Title_RESULTS!$H$7+Title_RESULTS!$C$17),0,(+M20+$L21/(1+Title_RESULTS!$C$37)^('Sheet7(F_23)'!$A21-Title_RESULTS!$H$7)))</f>
        <v>-574.9924572798045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9.780896005953878</v>
      </c>
      <c r="H22" s="5">
        <f>IF(A22&gt;=(Title_RESULTS!$H$7+Title_RESULTS!$C$17),0,(+'Sheet4(F_22)'!$D22+'Sheet4(F_22)'!$G22))</f>
        <v>12.28665454470149</v>
      </c>
      <c r="I22" s="5">
        <f>IF(A22&gt;=(Title_RESULTS!$H$7+Title_RESULTS!$C$17),0,(+'Sheet4(F_22)'!$H22))</f>
        <v>168.4454967583762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190.51304730903158</v>
      </c>
      <c r="L22" s="23">
        <f>IF(A22&gt;=(Title_RESULTS!$H$7+Title_RESULTS!$C$17),0,(+$K22-$F22))</f>
        <v>190.51304730903158</v>
      </c>
      <c r="M22" s="23">
        <f>IF(A22&gt;=(Title_RESULTS!$H$7+Title_RESULTS!$C$17),0,(+M21+$L22/(1+Title_RESULTS!$C$37)^('Sheet7(F_23)'!$A22-Title_RESULTS!$H$7)))</f>
        <v>-448.61356376940137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10.044171269121808</v>
      </c>
      <c r="H23" s="5">
        <f>IF(A23&gt;=(Title_RESULTS!$H$7+Title_RESULTS!$C$17),0,(+'Sheet4(F_22)'!$D23+'Sheet4(F_22)'!$G23))</f>
        <v>12.581534253774326</v>
      </c>
      <c r="I23" s="5">
        <f>IF(A23&gt;=(Title_RESULTS!$H$7+Title_RESULTS!$C$17),0,(+'Sheet4(F_22)'!$H23))</f>
        <v>178.9725863774734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201.59829190036953</v>
      </c>
      <c r="L23" s="23">
        <f>IF(A23&gt;=(Title_RESULTS!$H$7+Title_RESULTS!$C$17),0,(+$K23-$F23))</f>
        <v>201.59829190036953</v>
      </c>
      <c r="M23" s="23">
        <f>IF(A23&gt;=(Title_RESULTS!$H$7+Title_RESULTS!$C$17),0,(+M22+$L23/(1+Title_RESULTS!$C$37)^('Sheet7(F_23)'!$A23-Title_RESULTS!$H$7)))</f>
        <v>-323.7233783174197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10.206950426344065</v>
      </c>
      <c r="H24" s="5">
        <f>IF(A24&gt;=(Title_RESULTS!$H$7+Title_RESULTS!$C$17),0,(+'Sheet4(F_22)'!$D24+'Sheet4(F_22)'!$G24))</f>
        <v>12.883491075864907</v>
      </c>
      <c r="I24" s="5">
        <f>IF(A24&gt;=(Title_RESULTS!$H$7+Title_RESULTS!$C$17),0,(+'Sheet4(F_22)'!$H24))</f>
        <v>198.32232219301684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221.4127636952258</v>
      </c>
      <c r="L24" s="23">
        <f>IF(A24&gt;=(Title_RESULTS!$H$7+Title_RESULTS!$C$17),0,(+$K24-$F24))</f>
        <v>221.4127636952258</v>
      </c>
      <c r="M24" s="23">
        <f>IF(A24&gt;=(Title_RESULTS!$H$7+Title_RESULTS!$C$17),0,(+M23+$L24/(1+Title_RESULTS!$C$37)^('Sheet7(F_23)'!$A24-Title_RESULTS!$H$7)))</f>
        <v>-195.6273239504598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10.484176001900178</v>
      </c>
      <c r="H25" s="5">
        <f>IF(A25&gt;=(Title_RESULTS!$H$7+Title_RESULTS!$C$17),0,(+'Sheet4(F_22)'!$D25+'Sheet4(F_22)'!$G25))</f>
        <v>13.192694861685666</v>
      </c>
      <c r="I25" s="5">
        <f>IF(A25&gt;=(Title_RESULTS!$H$7+Title_RESULTS!$C$17),0,(+'Sheet4(F_22)'!$H25))</f>
        <v>212.47544968498931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236.15232054857515</v>
      </c>
      <c r="L25" s="23">
        <f>IF(A25&gt;=(Title_RESULTS!$H$7+Title_RESULTS!$C$17),0,(+$K25-$F25))</f>
        <v>236.15232054857515</v>
      </c>
      <c r="M25" s="23">
        <f>IF(A25&gt;=(Title_RESULTS!$H$7+Title_RESULTS!$C$17),0,(+M24+$L25/(1+Title_RESULTS!$C$37)^('Sheet7(F_23)'!$A25-Title_RESULTS!$H$7)))</f>
        <v>-68.03723068585064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10.652121718204938</v>
      </c>
      <c r="H26" s="5">
        <f>IF(A26&gt;=(Title_RESULTS!$H$7+Title_RESULTS!$C$17),0,(+'Sheet4(F_22)'!$D26+'Sheet4(F_22)'!$G26))</f>
        <v>13.509319538366121</v>
      </c>
      <c r="I26" s="5">
        <f>IF(A26&gt;=(Title_RESULTS!$H$7+Title_RESULTS!$C$17),0,(+'Sheet4(F_22)'!$H26))</f>
        <v>237.3233061142903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261.4847473708613</v>
      </c>
      <c r="L26" s="23">
        <f>IF(A26&gt;=(Title_RESULTS!$H$7+Title_RESULTS!$C$17),0,(+$K26-$F26))</f>
        <v>261.4847473708613</v>
      </c>
      <c r="M26" s="23">
        <f>IF(A26&gt;=(Title_RESULTS!$H$7+Title_RESULTS!$C$17),0,(+M25+$L26/(1+Title_RESULTS!$C$37)^('Sheet7(F_23)'!$A26-Title_RESULTS!$H$7)))</f>
        <v>63.898593995741535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11.01972948482483</v>
      </c>
      <c r="H27" s="5">
        <f>IF(A27&gt;=(Title_RESULTS!$H$7+Title_RESULTS!$C$17),0,(+'Sheet4(F_22)'!$D27+'Sheet4(F_22)'!$G27))</f>
        <v>13.83354320728691</v>
      </c>
      <c r="I27" s="5">
        <f>IF(A27&gt;=(Title_RESULTS!$H$7+Title_RESULTS!$C$17),0,(+'Sheet4(F_22)'!$H27))</f>
        <v>236.440737389939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261.2940100820507</v>
      </c>
      <c r="L27" s="23">
        <f>IF(A27&gt;=(Title_RESULTS!$H$7+Title_RESULTS!$C$17),0,(+$K27-$F27))</f>
        <v>261.2940100820507</v>
      </c>
      <c r="M27" s="23">
        <f>IF(A27&gt;=(Title_RESULTS!$H$7+Title_RESULTS!$C$17),0,(+M26+$L27/(1+Title_RESULTS!$C$37)^('Sheet7(F_23)'!$A27-Title_RESULTS!$H$7)))</f>
        <v>187.0211056570746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11.252074925646594</v>
      </c>
      <c r="H28" s="5">
        <f>IF(A28&gt;=(Title_RESULTS!$H$7+Title_RESULTS!$C$17),0,(+'Sheet4(F_22)'!$D28+'Sheet4(F_22)'!$G28))</f>
        <v>14.165548244261794</v>
      </c>
      <c r="I28" s="5">
        <f>IF(A28&gt;=(Title_RESULTS!$H$7+Title_RESULTS!$C$17),0,(+'Sheet4(F_22)'!$H28))</f>
        <v>258.40787319483826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283.82549636474664</v>
      </c>
      <c r="L28" s="23">
        <f>IF(A28&gt;=(Title_RESULTS!$H$7+Title_RESULTS!$C$17),0,(+$K28-$F28))</f>
        <v>283.82549636474664</v>
      </c>
      <c r="M28" s="23">
        <f>IF(A28&gt;=(Title_RESULTS!$H$7+Title_RESULTS!$C$17),0,(+M27+$L28/(1+Title_RESULTS!$C$37)^('Sheet7(F_23)'!$A28-Title_RESULTS!$H$7)))</f>
        <v>311.917832169598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11.653772728947272</v>
      </c>
      <c r="H29" s="5">
        <f>IF(A29&gt;=(Title_RESULTS!$H$7+Title_RESULTS!$C$17),0,(+'Sheet4(F_22)'!$D29+'Sheet4(F_22)'!$G29))</f>
        <v>14.50552140212408</v>
      </c>
      <c r="I29" s="5">
        <f>IF(A29&gt;=(Title_RESULTS!$H$7+Title_RESULTS!$C$17),0,(+'Sheet4(F_22)'!$H29))</f>
        <v>275.5684909639135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301.7277850949849</v>
      </c>
      <c r="L29" s="23">
        <f>IF(A29&gt;=(Title_RESULTS!$H$7+Title_RESULTS!$C$17),0,(+$K29-$F29))</f>
        <v>301.7277850949849</v>
      </c>
      <c r="M29" s="23">
        <f>IF(A29&gt;=(Title_RESULTS!$H$7+Title_RESULTS!$C$17),0,(+M28+$L29/(1+Title_RESULTS!$C$37)^('Sheet7(F_23)'!$A29-Title_RESULTS!$H$7)))</f>
        <v>435.913522847393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11.878880249517456</v>
      </c>
      <c r="H30" s="5">
        <f>IF(A30&gt;=(Title_RESULTS!$H$7+Title_RESULTS!$C$17),0,(+'Sheet4(F_22)'!$D30+'Sheet4(F_22)'!$G30))</f>
        <v>14.853653915775055</v>
      </c>
      <c r="I30" s="5">
        <f>IF(A30&gt;=(Title_RESULTS!$H$7+Title_RESULTS!$C$17),0,(+'Sheet4(F_22)'!$H30))</f>
        <v>288.39958547193805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315.1321196372306</v>
      </c>
      <c r="L30" s="23">
        <f>IF(A30&gt;=(Title_RESULTS!$H$7+Title_RESULTS!$C$17),0,(+$K30-$F30))</f>
        <v>315.1321196372306</v>
      </c>
      <c r="M30" s="23">
        <f>IF(A30&gt;=(Title_RESULTS!$H$7+Title_RESULTS!$C$17),0,(+M29+$L30/(1+Title_RESULTS!$C$37)^('Sheet7(F_23)'!$A30-Title_RESULTS!$H$7)))</f>
        <v>556.8550909859666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384.072</v>
      </c>
      <c r="D32" s="5">
        <f t="shared" si="1"/>
        <v>880.9548229999999</v>
      </c>
      <c r="E32" s="5">
        <f t="shared" si="1"/>
        <v>0</v>
      </c>
      <c r="F32" s="5">
        <f t="shared" si="1"/>
        <v>1265.026823</v>
      </c>
      <c r="G32" s="5">
        <f t="shared" si="1"/>
        <v>124.67118212904853</v>
      </c>
      <c r="H32" s="5">
        <f t="shared" si="1"/>
        <v>179.05834136830532</v>
      </c>
      <c r="I32" s="5">
        <f t="shared" si="1"/>
        <v>2723.8552158827015</v>
      </c>
      <c r="J32" s="5">
        <f t="shared" si="1"/>
        <v>0</v>
      </c>
      <c r="K32" s="5">
        <f t="shared" si="1"/>
        <v>3027.5847393800545</v>
      </c>
      <c r="L32" s="5">
        <f t="shared" si="1"/>
        <v>1762.5579163800553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358.8491576370552</v>
      </c>
      <c r="D34" s="5">
        <f>NPV(Title_RESULTS!$C$37,'Sheet7(F_23)'!D17:D31)+'Sheet7(F_23)'!D16</f>
        <v>823.1372728282499</v>
      </c>
      <c r="E34" s="5">
        <f>NPV(Title_RESULTS!$C$37,'Sheet7(F_23)'!E17:E31)+'Sheet7(F_23)'!E16</f>
        <v>0</v>
      </c>
      <c r="F34" s="5">
        <f>NPV(Title_RESULTS!$C$37,'Sheet7(F_23)'!F17:F31)+'Sheet7(F_23)'!F16</f>
        <v>1181.9864304653051</v>
      </c>
      <c r="G34" s="5">
        <f>NPV(Title_RESULTS!$C$37,'Sheet7(F_23)'!G17:G31)+'Sheet7(F_23)'!G16</f>
        <v>70.22157538809232</v>
      </c>
      <c r="H34" s="5">
        <f>NPV(Title_RESULTS!$C$37,'Sheet7(F_23)'!H17:H31)+'Sheet7(F_23)'!H16</f>
        <v>108.44840576552193</v>
      </c>
      <c r="I34" s="5">
        <f>NPV(Title_RESULTS!$C$37,'Sheet7(F_23)'!I17:I31)+'Sheet7(F_23)'!I16</f>
        <v>1560.1715402976572</v>
      </c>
      <c r="J34" s="5">
        <f>NPV(Title_RESULTS!$C$37,'Sheet7(F_23)'!J17:J31)+'Sheet7(F_23)'!J16</f>
        <v>0</v>
      </c>
      <c r="K34" s="5">
        <f>NPV(Title_RESULTS!$C$37,'Sheet7(F_23)'!K17:K31)+'Sheet7(F_23)'!K16</f>
        <v>1738.8415214512715</v>
      </c>
      <c r="L34" s="5">
        <f>NPV(Title_RESULTS!$C$37,'Sheet7(F_23)'!L17:L31)+'Sheet7(F_23)'!L16</f>
        <v>556.8550909859664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1.4711180066312206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ECM Motors on Furnaces</v>
      </c>
      <c r="L2" t="s">
        <v>55</v>
      </c>
    </row>
    <row r="3" ht="12.75">
      <c r="L3" s="35">
        <f>+Title_RESULTS!I4</f>
        <v>43599.321142824076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42.08297083820681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134.18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176.26297083820683</v>
      </c>
      <c r="G16" s="5">
        <f>IF(A16&gt;=(Title_RESULTS!$H$7+Title_RESULTS!$C$17),0,(+'Sheet6(p_6)'!$H16))</f>
        <v>287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287</v>
      </c>
      <c r="K16" s="23">
        <f>IF(A16&gt;=(Title_RESULTS!$H$7+Title_RESULTS!$C$17),0,(+F16-J16))</f>
        <v>-110.73702916179317</v>
      </c>
      <c r="L16" s="23">
        <f>IF(A16&gt;=(Title_RESULTS!$H$7+Title_RESULTS!$C$17),0,(+$K16/((1+Title_RESULTS!$C$37)^('Sheet8(F_24)'!$A16-Title_RESULTS!$H$7))))</f>
        <v>-110.73702916179317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129.56408214423553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134.18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263.74408214423556</v>
      </c>
      <c r="G17" s="5">
        <f>IF(A17&gt;=(Title_RESULTS!$H$7+Title_RESULTS!$C$17),0,(+'Sheet6(p_6)'!$H17))</f>
        <v>293.601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293.601</v>
      </c>
      <c r="K17" s="23">
        <f>IF(A17&gt;=(Title_RESULTS!$H$7+Title_RESULTS!$C$17),0,(+F17-J17))</f>
        <v>-29.856917855764436</v>
      </c>
      <c r="L17" s="23">
        <f>IF(A16&gt;=(Title_RESULTS!$H$7+Title_RESULTS!$C$17),0,(+$K17/((1+Title_RESULTS!$C$37)^('Sheet8(F_24)'!$A17-Title_RESULTS!$H$7))+L16))</f>
        <v>-138.61984374506216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220.65787792781265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134.18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354.83787792781266</v>
      </c>
      <c r="G18" s="5">
        <f>IF(A18&gt;=(Title_RESULTS!$H$7+Title_RESULTS!$C$17),0,(+'Sheet6(p_6)'!$H18))</f>
        <v>300.3538229999999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300.3538229999999</v>
      </c>
      <c r="K18" s="23">
        <f>IF(A18&gt;=(Title_RESULTS!$H$7+Title_RESULTS!$C$17),0,(+F18-J18))</f>
        <v>54.484054927812736</v>
      </c>
      <c r="L18" s="23">
        <f>IF(A17&gt;=(Title_RESULTS!$H$7+Title_RESULTS!$C$17),0,(+$K18/((1+Title_RESULTS!$C$37)^('Sheet8(F_24)'!$A18-Title_RESULTS!$H$7))+L17))</f>
        <v>-91.10244072060854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265.2788560356175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265.2788560356175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265.2788560356175</v>
      </c>
      <c r="L19" s="23">
        <f>IF(A18&gt;=(Title_RESULTS!$H$7+Title_RESULTS!$C$17),0,(+$K19/((1+Title_RESULTS!$C$37)^('Sheet8(F_24)'!$A19-Title_RESULTS!$H$7))+L18))</f>
        <v>124.95913971357157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273.4279009940719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273.4279009940719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273.4279009940719</v>
      </c>
      <c r="L20" s="23">
        <f>IF(A19&gt;=(Title_RESULTS!$H$7+Title_RESULTS!$C$17),0,(+$K20/((1+Title_RESULTS!$C$37)^('Sheet8(F_24)'!$A20-Title_RESULTS!$H$7))+L19))</f>
        <v>332.93329953236946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282.0545860135954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282.0545860135954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282.0545860135954</v>
      </c>
      <c r="L21" s="23">
        <f>IF(A20&gt;=(Title_RESULTS!$H$7+Title_RESULTS!$C$17),0,(+$K21/((1+Title_RESULTS!$C$37)^('Sheet8(F_24)'!$A21-Title_RESULTS!$H$7))+L20))</f>
        <v>533.2842249968364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289.5040832637734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289.5040832637734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289.5040832637734</v>
      </c>
      <c r="L22" s="23">
        <f>IF(A21&gt;=(Title_RESULTS!$H$7+Title_RESULTS!$C$17),0,(+$K22/((1+Title_RESULTS!$C$37)^('Sheet8(F_24)'!$A22-Title_RESULTS!$H$7))+L21))</f>
        <v>725.3298944478695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299.11511797695636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299.11511797695636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299.11511797695636</v>
      </c>
      <c r="L23" s="23">
        <f>IF(A22&gt;=(Title_RESULTS!$H$7+Title_RESULTS!$C$17),0,(+$K23/((1+Title_RESULTS!$C$37)^('Sheet8(F_24)'!$A23-Title_RESULTS!$H$7))+L22))</f>
        <v>910.6317747539545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314.4281209534129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314.4281209534129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314.4281209534129</v>
      </c>
      <c r="L24" s="23">
        <f>IF(A23&gt;=(Title_RESULTS!$H$7+Title_RESULTS!$C$17),0,(+$K24/((1+Title_RESULTS!$C$37)^('Sheet8(F_24)'!$A24-Title_RESULTS!$H$7))+L23))</f>
        <v>1092.540897805192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324.0938021830008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324.0938021830008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324.0938021830008</v>
      </c>
      <c r="L25" s="23">
        <f>IF(A24&gt;=(Title_RESULTS!$H$7+Title_RESULTS!$C$17),0,(+$K25/((1+Title_RESULTS!$C$37)^('Sheet8(F_24)'!$A25-Title_RESULTS!$H$7))+L24))</f>
        <v>1267.6446543592383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340.649795449081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340.649795449081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340.649795449081</v>
      </c>
      <c r="L26" s="23">
        <f>IF(A25&gt;=(Title_RESULTS!$H$7+Title_RESULTS!$C$17),0,(+$K26/((1+Title_RESULTS!$C$37)^('Sheet8(F_24)'!$A26-Title_RESULTS!$H$7))+L25))</f>
        <v>1439.5243228373643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348.5191282751403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348.5191282751403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348.5191282751403</v>
      </c>
      <c r="L27" s="23">
        <f>IF(A26&gt;=(Title_RESULTS!$H$7+Title_RESULTS!$C$17),0,(+$K27/((1+Title_RESULTS!$C$37)^('Sheet8(F_24)'!$A27-Title_RESULTS!$H$7))+L26))</f>
        <v>1603.7475686047624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363.5782443558661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363.5782443558661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363.5782443558661</v>
      </c>
      <c r="L28" s="23">
        <f>IF(A27&gt;=(Title_RESULTS!$H$7+Title_RESULTS!$C$17),0,(+$K28/((1+Title_RESULTS!$C$37)^('Sheet8(F_24)'!$A28-Title_RESULTS!$H$7))+L27))</f>
        <v>1763.7392999073709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369.4322752492061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369.4322752492061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369.4322752492061</v>
      </c>
      <c r="L29" s="23">
        <f>IF(A28&gt;=(Title_RESULTS!$H$7+Title_RESULTS!$C$17),0,(+$K29/((1+Title_RESULTS!$C$37)^('Sheet8(F_24)'!$A29-Title_RESULTS!$H$7))+L28))</f>
        <v>1915.5582983260088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384.6914690761265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384.6914690761265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384.6914690761265</v>
      </c>
      <c r="L30" s="23">
        <f>IF(A29&gt;=(Title_RESULTS!$H$7+Title_RESULTS!$C$17),0,(+$K30/((1+Title_RESULTS!$C$37)^('Sheet8(F_24)'!$A30-Title_RESULTS!$H$7))+L29))</f>
        <v>2063.195389629671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4247.078310736103</v>
      </c>
      <c r="C32" s="5">
        <f t="shared" si="1"/>
        <v>0</v>
      </c>
      <c r="D32" s="5">
        <f t="shared" si="1"/>
        <v>402.54</v>
      </c>
      <c r="E32" s="5">
        <f t="shared" si="1"/>
        <v>0</v>
      </c>
      <c r="F32" s="5">
        <f t="shared" si="1"/>
        <v>4649.618310736103</v>
      </c>
      <c r="G32" s="5">
        <f t="shared" si="1"/>
        <v>880.9548229999999</v>
      </c>
      <c r="H32" s="5">
        <f t="shared" si="1"/>
        <v>0</v>
      </c>
      <c r="I32" s="5">
        <f t="shared" si="1"/>
        <v>0</v>
      </c>
      <c r="J32" s="5">
        <f t="shared" si="1"/>
        <v>880.9548229999999</v>
      </c>
      <c r="K32" s="5">
        <f t="shared" si="1"/>
        <v>3768.663487736103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2509.821526111822</v>
      </c>
      <c r="C34" s="5">
        <f>NPV(Title_RESULTS!$C$37,'Sheet8(F_24)'!C17:C31)+'Sheet8(F_24)'!C16</f>
        <v>0</v>
      </c>
      <c r="D34" s="5">
        <f>NPV(Title_RESULTS!$C$37,'Sheet8(F_24)'!D17:D31)+'Sheet8(F_24)'!D16</f>
        <v>376.5111363460986</v>
      </c>
      <c r="E34" s="5">
        <f>NPV(Title_RESULTS!$C$37,'Sheet8(F_24)'!E17:E31)+'Sheet8(F_24)'!E16</f>
        <v>0</v>
      </c>
      <c r="F34" s="5">
        <f>NPV(Title_RESULTS!$C$37,'Sheet8(F_24)'!F17:F31)+'Sheet8(F_24)'!F16</f>
        <v>2886.332662457921</v>
      </c>
      <c r="G34" s="5">
        <f>NPV(Title_RESULTS!$C$37,'Sheet8(F_24)'!G17:G31)+'Sheet8(F_24)'!G16</f>
        <v>823.1372728282499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823.1372728282499</v>
      </c>
      <c r="K34" s="5">
        <f>NPV(Title_RESULTS!$C$37,'Sheet8(F_24)'!K17:K31)+'Sheet8(F_24)'!K16</f>
        <v>2063.195389629671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3.506502205325554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ECM Motors on Furnaces</v>
      </c>
      <c r="N2" t="s">
        <v>55</v>
      </c>
    </row>
    <row r="3" ht="12.75">
      <c r="N3" s="35">
        <f>+Title_RESULTS!I4</f>
        <v>43599.321142824076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134.18</v>
      </c>
      <c r="E16" s="5">
        <f>+'Sheet6(p_6)'!M16</f>
        <v>23.882294400000003</v>
      </c>
      <c r="F16">
        <f>IF(A16&gt;=(Title_RESULTS!$H$7+Title_RESULTS!$C$17),0,(+'f-11B'!$R15))</f>
        <v>0</v>
      </c>
      <c r="G16" s="5">
        <f>IF(A16&gt;=(Title_RESULTS!$H$7+Title_RESULTS!$C$17),0,(SUM(B16:F16)))</f>
        <v>283.0622944</v>
      </c>
      <c r="H16" s="5">
        <f>IF(A16&gt;=(Title_RESULTS!$H$7+Title_RESULTS!$C$17),0,(+'Sheet3(F_21)'!$J16+'Sheet4(F_22)'!$H16))</f>
        <v>22.874604434382682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22.874604434382682</v>
      </c>
      <c r="M16" s="23">
        <f>IF(A16&gt;=(Title_RESULTS!$H$7+Title_RESULTS!$C$17),0,(+L16-G16))</f>
        <v>-260.1876899656173</v>
      </c>
      <c r="N16" s="24">
        <f>IF(A16&gt;=(Title_RESULTS!$H$7+Title_RESULTS!$C$17),0,(+$M16/((1+Title_RESULTS!$C$37)^('Sheet9(F_25)'!$A16-Title_RESULTS!$H$7))))</f>
        <v>-260.1876899656173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134.18</v>
      </c>
      <c r="E17" s="5">
        <f>+'Sheet6(p_6)'!M17</f>
        <v>72.363352032</v>
      </c>
      <c r="F17">
        <f>IF(A17&gt;=(Title_RESULTS!$H$7+Title_RESULTS!$C$17),0,(+'f-11B'!$R16))</f>
        <v>0</v>
      </c>
      <c r="G17" s="5">
        <f>IF(A17&gt;=(Title_RESULTS!$H$7+Title_RESULTS!$C$17),0,(SUM(B17:F17)))</f>
        <v>334.54335203200003</v>
      </c>
      <c r="H17" s="5">
        <f>IF(A17&gt;=(Title_RESULTS!$H$7+Title_RESULTS!$C$17),0,(+'Sheet3(F_21)'!$J17+'Sheet4(F_22)'!$H17))</f>
        <v>68.0656372801187</v>
      </c>
      <c r="I17" s="5">
        <f>IF(A17&gt;=(Title_RESULTS!$H$7+Title_RESULTS!$C$17),0,(+'Sheet4(F_22)'!$D17+'Sheet4(F_22)'!$G17))</f>
        <v>10.91274141691433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78.97837869703302</v>
      </c>
      <c r="M17" s="23">
        <f>IF(A17&gt;=(Title_RESULTS!$H$7+Title_RESULTS!$C$17),0,(+L17-G17))</f>
        <v>-255.56497333496702</v>
      </c>
      <c r="N17" s="24">
        <f>(IF(A16&gt;=(Title_RESULTS!$H$7+Title_RESULTS!$C$17),0,(+$M17/((1+Title_RESULTS!$C$37)^('Sheet9(F_25)'!$A17-Title_RESULTS!$H$7))+N16)))</f>
        <v>-498.8550165765316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134.18</v>
      </c>
      <c r="E18" s="5">
        <f>+'Sheet6(p_6)'!M18</f>
        <v>121.81164258720001</v>
      </c>
      <c r="F18">
        <f>IF(A18&gt;=(Title_RESULTS!$H$7+Title_RESULTS!$C$17),0,(+'f-11B'!$R17))</f>
        <v>0</v>
      </c>
      <c r="G18" s="5">
        <f>IF(A18&gt;=(Title_RESULTS!$H$7+Title_RESULTS!$C$17),0,(SUM(B18:F18)))</f>
        <v>387.06364258720004</v>
      </c>
      <c r="H18" s="5">
        <f>IF(A18&gt;=(Title_RESULTS!$H$7+Title_RESULTS!$C$17),0,(+'Sheet3(F_21)'!$J18+'Sheet4(F_22)'!$H18))</f>
        <v>117.0804891175205</v>
      </c>
      <c r="I18" s="5">
        <f>IF(A18&gt;=(Title_RESULTS!$H$7+Title_RESULTS!$C$17),0,(+'Sheet4(F_22)'!$D18+'Sheet4(F_22)'!$G18))</f>
        <v>11.174647210920273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128.25513632844078</v>
      </c>
      <c r="M18" s="23">
        <f>IF(A18&gt;=(Title_RESULTS!$H$7+Title_RESULTS!$C$17),0,(+L18-G18))</f>
        <v>-258.8085062587593</v>
      </c>
      <c r="N18" s="24">
        <f>(IF(A17&gt;=(Title_RESULTS!$H$7+Title_RESULTS!$C$17),0,(+$M18/((1+Title_RESULTS!$C$37)^('Sheet9(F_25)'!$A18-Title_RESULTS!$H$7))+N17)))</f>
        <v>-724.5707441292641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147.6357108156864</v>
      </c>
      <c r="F19">
        <f>IF(A19&gt;=(Title_RESULTS!$H$7+Title_RESULTS!$C$17),0,(+'f-11B'!$R18))</f>
        <v>0</v>
      </c>
      <c r="G19" s="5">
        <f>IF(A19&gt;=(Title_RESULTS!$H$7+Title_RESULTS!$C$17),0,(SUM(B19:F19)))</f>
        <v>147.6357108156864</v>
      </c>
      <c r="H19" s="5">
        <f>IF(A19&gt;=(Title_RESULTS!$H$7+Title_RESULTS!$C$17),0,(+'Sheet3(F_21)'!$J19+'Sheet4(F_22)'!$H19))</f>
        <v>155.24600986898764</v>
      </c>
      <c r="I19" s="5">
        <f>IF(A19&gt;=(Title_RESULTS!$H$7+Title_RESULTS!$C$17),0,(+'Sheet4(F_22)'!$D19+'Sheet4(F_22)'!$G19))</f>
        <v>11.44283874398236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166.68884861297</v>
      </c>
      <c r="M19" s="23">
        <f>IF(A19&gt;=(Title_RESULTS!$H$7+Title_RESULTS!$C$17),0,(+L19-G19))</f>
        <v>19.053137797283597</v>
      </c>
      <c r="N19" s="24">
        <f>(IF(A18&gt;=(Title_RESULTS!$H$7+Title_RESULTS!$C$17),0,(+$M19/((1+Title_RESULTS!$C$37)^('Sheet9(F_25)'!$A19-Title_RESULTS!$H$7))+N18)))</f>
        <v>-709.0525414114471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149.11206792384326</v>
      </c>
      <c r="F20">
        <f>IF(A20&gt;=(Title_RESULTS!$H$7+Title_RESULTS!$C$17),0,(+'f-11B'!$R19))</f>
        <v>0</v>
      </c>
      <c r="G20" s="5">
        <f>IF(A20&gt;=(Title_RESULTS!$H$7+Title_RESULTS!$C$17),0,(SUM(B20:F20)))</f>
        <v>149.11206792384326</v>
      </c>
      <c r="H20" s="5">
        <f>IF(A20&gt;=(Title_RESULTS!$H$7+Title_RESULTS!$C$17),0,(+'Sheet3(F_21)'!$J20+'Sheet4(F_22)'!$H20))</f>
        <v>161.23306845482978</v>
      </c>
      <c r="I20" s="5">
        <f>IF(A20&gt;=(Title_RESULTS!$H$7+Title_RESULTS!$C$17),0,(+'Sheet4(F_22)'!$D20+'Sheet4(F_22)'!$G20))</f>
        <v>11.717466873837937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172.9505353286677</v>
      </c>
      <c r="M20" s="23">
        <f>IF(A20&gt;=(Title_RESULTS!$H$7+Title_RESULTS!$C$17),0,(+L20-G20))</f>
        <v>23.838467404824456</v>
      </c>
      <c r="N20" s="24">
        <f>(IF(A19&gt;=(Title_RESULTS!$H$7+Title_RESULTS!$C$17),0,(+$M20/((1+Title_RESULTS!$C$37)^('Sheet9(F_25)'!$A20-Title_RESULTS!$H$7))+N19)))</f>
        <v>-690.9205760492376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150.6031886030817</v>
      </c>
      <c r="F21">
        <f>IF(A21&gt;=(Title_RESULTS!$H$7+Title_RESULTS!$C$17),0,(+'f-11B'!$R20))</f>
        <v>0</v>
      </c>
      <c r="G21" s="5">
        <f>IF(A21&gt;=(Title_RESULTS!$H$7+Title_RESULTS!$C$17),0,(SUM(B21:F21)))</f>
        <v>150.6031886030817</v>
      </c>
      <c r="H21" s="5">
        <f>IF(A21&gt;=(Title_RESULTS!$H$7+Title_RESULTS!$C$17),0,(+'Sheet3(F_21)'!$J21+'Sheet4(F_22)'!$H21))</f>
        <v>172.69796789667444</v>
      </c>
      <c r="I21" s="5">
        <f>IF(A21&gt;=(Title_RESULTS!$H$7+Title_RESULTS!$C$17),0,(+'Sheet4(F_22)'!$D21+'Sheet4(F_22)'!$G21))</f>
        <v>11.99868607881005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184.69665397548448</v>
      </c>
      <c r="M21" s="23">
        <f>IF(A21&gt;=(Title_RESULTS!$H$7+Title_RESULTS!$C$17),0,(+L21-G21))</f>
        <v>34.09346537240279</v>
      </c>
      <c r="N21" s="24">
        <f>(IF(A20&gt;=(Title_RESULTS!$H$7+Title_RESULTS!$C$17),0,(+$M21/((1+Title_RESULTS!$C$37)^('Sheet9(F_25)'!$A21-Title_RESULTS!$H$7))+N20)))</f>
        <v>-666.7030746209062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152.10922048911254</v>
      </c>
      <c r="F22">
        <f>IF(A22&gt;=(Title_RESULTS!$H$7+Title_RESULTS!$C$17),0,(+'f-11B'!$R21))</f>
        <v>0</v>
      </c>
      <c r="G22" s="5">
        <f>IF(A22&gt;=(Title_RESULTS!$H$7+Title_RESULTS!$C$17),0,(SUM(B22:F22)))</f>
        <v>152.10922048911254</v>
      </c>
      <c r="H22" s="5">
        <f>IF(A22&gt;=(Title_RESULTS!$H$7+Title_RESULTS!$C$17),0,(+'Sheet3(F_21)'!$J22+'Sheet4(F_22)'!$H22))</f>
        <v>178.2263927643301</v>
      </c>
      <c r="I22" s="5">
        <f>IF(A22&gt;=(Title_RESULTS!$H$7+Title_RESULTS!$C$17),0,(+'Sheet4(F_22)'!$D22+'Sheet4(F_22)'!$G22))</f>
        <v>12.28665454470149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190.51304730903158</v>
      </c>
      <c r="M22" s="23">
        <f>IF(A22&gt;=(Title_RESULTS!$H$7+Title_RESULTS!$C$17),0,(+L22-G22))</f>
        <v>38.40382681991903</v>
      </c>
      <c r="N22" s="24">
        <f>(IF(A21&gt;=(Title_RESULTS!$H$7+Title_RESULTS!$C$17),0,(+$M22/((1+Title_RESULTS!$C$37)^('Sheet9(F_25)'!$A22-Title_RESULTS!$H$7))+N21)))</f>
        <v>-641.227480121629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153.63031269400363</v>
      </c>
      <c r="F23">
        <f>IF(A23&gt;=(Title_RESULTS!$H$7+Title_RESULTS!$C$17),0,(+'f-11B'!$R22))</f>
        <v>0</v>
      </c>
      <c r="G23" s="5">
        <f>IF(A23&gt;=(Title_RESULTS!$H$7+Title_RESULTS!$C$17),0,(SUM(B23:F23)))</f>
        <v>153.63031269400363</v>
      </c>
      <c r="H23" s="5">
        <f>IF(A23&gt;=(Title_RESULTS!$H$7+Title_RESULTS!$C$17),0,(+'Sheet3(F_21)'!$J23+'Sheet4(F_22)'!$H23))</f>
        <v>189.0167576465952</v>
      </c>
      <c r="I23" s="5">
        <f>IF(A23&gt;=(Title_RESULTS!$H$7+Title_RESULTS!$C$17),0,(+'Sheet4(F_22)'!$D23+'Sheet4(F_22)'!$G23))</f>
        <v>12.581534253774326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201.59829190036953</v>
      </c>
      <c r="M23" s="23">
        <f>IF(A23&gt;=(Title_RESULTS!$H$7+Title_RESULTS!$C$17),0,(+L23-G23))</f>
        <v>47.9679792063659</v>
      </c>
      <c r="N23" s="24">
        <f>(IF(A22&gt;=(Title_RESULTS!$H$7+Title_RESULTS!$C$17),0,(+$M23/((1+Title_RESULTS!$C$37)^('Sheet9(F_25)'!$A23-Title_RESULTS!$H$7))+N22)))</f>
        <v>-611.5113066244821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155.1666158209437</v>
      </c>
      <c r="F24">
        <f>IF(A24&gt;=(Title_RESULTS!$H$7+Title_RESULTS!$C$17),0,(+'f-11B'!$R23))</f>
        <v>0</v>
      </c>
      <c r="G24" s="5">
        <f>IF(A24&gt;=(Title_RESULTS!$H$7+Title_RESULTS!$C$17),0,(SUM(B24:F24)))</f>
        <v>155.1666158209437</v>
      </c>
      <c r="H24" s="5">
        <f>IF(A24&gt;=(Title_RESULTS!$H$7+Title_RESULTS!$C$17),0,(+'Sheet3(F_21)'!$J24+'Sheet4(F_22)'!$H24))</f>
        <v>208.5292726193609</v>
      </c>
      <c r="I24" s="5">
        <f>IF(A24&gt;=(Title_RESULTS!$H$7+Title_RESULTS!$C$17),0,(+'Sheet4(F_22)'!$D24+'Sheet4(F_22)'!$G24))</f>
        <v>12.883491075864907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221.4127636952258</v>
      </c>
      <c r="M24" s="23">
        <f>IF(A24&gt;=(Title_RESULTS!$H$7+Title_RESULTS!$C$17),0,(+L24-G24))</f>
        <v>66.24614787428212</v>
      </c>
      <c r="N24" s="24">
        <f>(IF(A23&gt;=(Title_RESULTS!$H$7+Title_RESULTS!$C$17),0,(+$M24/((1+Title_RESULTS!$C$37)^('Sheet9(F_25)'!$A24-Title_RESULTS!$H$7))+N23)))</f>
        <v>-573.1852859467109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156.71828197915312</v>
      </c>
      <c r="F25">
        <f>IF(A25&gt;=(Title_RESULTS!$H$7+Title_RESULTS!$C$17),0,(+'f-11B'!$R24))</f>
        <v>0</v>
      </c>
      <c r="G25" s="5">
        <f>IF(A25&gt;=(Title_RESULTS!$H$7+Title_RESULTS!$C$17),0,(SUM(B25:F25)))</f>
        <v>156.71828197915312</v>
      </c>
      <c r="H25" s="5">
        <f>IF(A25&gt;=(Title_RESULTS!$H$7+Title_RESULTS!$C$17),0,(+'Sheet3(F_21)'!$J25+'Sheet4(F_22)'!$H25))</f>
        <v>222.9596256868895</v>
      </c>
      <c r="I25" s="5">
        <f>IF(A25&gt;=(Title_RESULTS!$H$7+Title_RESULTS!$C$17),0,(+'Sheet4(F_22)'!$D25+'Sheet4(F_22)'!$G25))</f>
        <v>13.192694861685666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236.15232054857518</v>
      </c>
      <c r="M25" s="23">
        <f>IF(A25&gt;=(Title_RESULTS!$H$7+Title_RESULTS!$C$17),0,(+L25-G25))</f>
        <v>79.43403856942206</v>
      </c>
      <c r="N25" s="24">
        <f>(IF(A24&gt;=(Title_RESULTS!$H$7+Title_RESULTS!$C$17),0,(+$M25/((1+Title_RESULTS!$C$37)^('Sheet9(F_25)'!$A25-Title_RESULTS!$H$7))+N24)))</f>
        <v>-530.2680858704474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158.28546479894467</v>
      </c>
      <c r="F26">
        <f>IF(A26&gt;=(Title_RESULTS!$H$7+Title_RESULTS!$C$17),0,(+'f-11B'!$R25))</f>
        <v>0</v>
      </c>
      <c r="G26" s="5">
        <f>IF(A26&gt;=(Title_RESULTS!$H$7+Title_RESULTS!$C$17),0,(SUM(B26:F26)))</f>
        <v>158.28546479894467</v>
      </c>
      <c r="H26" s="5">
        <f>IF(A26&gt;=(Title_RESULTS!$H$7+Title_RESULTS!$C$17),0,(+'Sheet3(F_21)'!$J26+'Sheet4(F_22)'!$H26))</f>
        <v>247.97542783249523</v>
      </c>
      <c r="I26" s="5">
        <f>IF(A26&gt;=(Title_RESULTS!$H$7+Title_RESULTS!$C$17),0,(+'Sheet4(F_22)'!$D26+'Sheet4(F_22)'!$G26))</f>
        <v>13.509319538366121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261.4847473708613</v>
      </c>
      <c r="M26" s="23">
        <f>IF(A26&gt;=(Title_RESULTS!$H$7+Title_RESULTS!$C$17),0,(+L26-G26))</f>
        <v>103.19928257191665</v>
      </c>
      <c r="N26" s="24">
        <f>(IF(A25&gt;=(Title_RESULTS!$H$7+Title_RESULTS!$C$17),0,(+$M26/((1+Title_RESULTS!$C$37)^('Sheet9(F_25)'!$A26-Title_RESULTS!$H$7))+N25)))</f>
        <v>-478.19742939975276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159.8683194469341</v>
      </c>
      <c r="F27">
        <f>IF(A27&gt;=(Title_RESULTS!$H$7+Title_RESULTS!$C$17),0,(+'f-11B'!$R26))</f>
        <v>0</v>
      </c>
      <c r="G27" s="5">
        <f>IF(A27&gt;=(Title_RESULTS!$H$7+Title_RESULTS!$C$17),0,(SUM(B27:F27)))</f>
        <v>159.8683194469341</v>
      </c>
      <c r="H27" s="5">
        <f>IF(A27&gt;=(Title_RESULTS!$H$7+Title_RESULTS!$C$17),0,(+'Sheet3(F_21)'!$J27+'Sheet4(F_22)'!$H27))</f>
        <v>247.46046687476382</v>
      </c>
      <c r="I27" s="5">
        <f>IF(A27&gt;=(Title_RESULTS!$H$7+Title_RESULTS!$C$17),0,(+'Sheet4(F_22)'!$D27+'Sheet4(F_22)'!$G27))</f>
        <v>13.83354320728691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261.29401008205076</v>
      </c>
      <c r="M27" s="23">
        <f>IF(A27&gt;=(Title_RESULTS!$H$7+Title_RESULTS!$C$17),0,(+L27-G27))</f>
        <v>101.42569063511667</v>
      </c>
      <c r="N27" s="24">
        <f>(IF(A26&gt;=(Title_RESULTS!$H$7+Title_RESULTS!$C$17),0,(+$M27/((1+Title_RESULTS!$C$37)^('Sheet9(F_25)'!$A27-Title_RESULTS!$H$7))+N26)))</f>
        <v>-430.4053434883324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161.46700264140344</v>
      </c>
      <c r="F28">
        <f>IF(A28&gt;=(Title_RESULTS!$H$7+Title_RESULTS!$C$17),0,(+'f-11B'!$R27))</f>
        <v>0</v>
      </c>
      <c r="G28" s="5">
        <f>IF(A28&gt;=(Title_RESULTS!$H$7+Title_RESULTS!$C$17),0,(SUM(B28:F28)))</f>
        <v>161.46700264140344</v>
      </c>
      <c r="H28" s="5">
        <f>IF(A28&gt;=(Title_RESULTS!$H$7+Title_RESULTS!$C$17),0,(+'Sheet3(F_21)'!$J28+'Sheet4(F_22)'!$H28))</f>
        <v>269.65994812048484</v>
      </c>
      <c r="I28" s="5">
        <f>IF(A28&gt;=(Title_RESULTS!$H$7+Title_RESULTS!$C$17),0,(+'Sheet4(F_22)'!$D28+'Sheet4(F_22)'!$G28))</f>
        <v>14.165548244261794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283.82549636474664</v>
      </c>
      <c r="M28" s="23">
        <f>IF(A28&gt;=(Title_RESULTS!$H$7+Title_RESULTS!$C$17),0,(+L28-G28))</f>
        <v>122.3584937233432</v>
      </c>
      <c r="N28" s="24">
        <f>(IF(A27&gt;=(Title_RESULTS!$H$7+Title_RESULTS!$C$17),0,(+$M28/((1+Title_RESULTS!$C$37)^('Sheet9(F_25)'!$A28-Title_RESULTS!$H$7))+N27)))</f>
        <v>-376.56178284003374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163.0816726678175</v>
      </c>
      <c r="F29">
        <f>IF(A29&gt;=(Title_RESULTS!$H$7+Title_RESULTS!$C$17),0,(+'f-11B'!$R28))</f>
        <v>0</v>
      </c>
      <c r="G29" s="5">
        <f>IF(A29&gt;=(Title_RESULTS!$H$7+Title_RESULTS!$C$17),0,(SUM(B29:F29)))</f>
        <v>163.0816726678175</v>
      </c>
      <c r="H29" s="5">
        <f>IF(A29&gt;=(Title_RESULTS!$H$7+Title_RESULTS!$C$17),0,(+'Sheet3(F_21)'!$J29+'Sheet4(F_22)'!$H29))</f>
        <v>287.2222636928608</v>
      </c>
      <c r="I29" s="5">
        <f>IF(A29&gt;=(Title_RESULTS!$H$7+Title_RESULTS!$C$17),0,(+'Sheet4(F_22)'!$D29+'Sheet4(F_22)'!$G29))</f>
        <v>14.50552140212408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301.7277850949849</v>
      </c>
      <c r="M29" s="23">
        <f>IF(A29&gt;=(Title_RESULTS!$H$7+Title_RESULTS!$C$17),0,(+L29-G29))</f>
        <v>138.6461124271674</v>
      </c>
      <c r="N29" s="24">
        <f>(IF(A28&gt;=(Title_RESULTS!$H$7+Title_RESULTS!$C$17),0,(+$M29/((1+Title_RESULTS!$C$37)^('Sheet9(F_25)'!$A29-Title_RESULTS!$H$7))+N28)))</f>
        <v>-319.584860861218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164.71248939449566</v>
      </c>
      <c r="F30">
        <f>IF(A30&gt;=(Title_RESULTS!$H$7+Title_RESULTS!$C$17),0,(+'f-11B'!$R29))</f>
        <v>0</v>
      </c>
      <c r="G30" s="5">
        <f>IF(A30&gt;=(Title_RESULTS!$H$7+Title_RESULTS!$C$17),0,(SUM(B30:F30)))</f>
        <v>164.71248939449566</v>
      </c>
      <c r="H30" s="5">
        <f>IF(A30&gt;=(Title_RESULTS!$H$7+Title_RESULTS!$C$17),0,(+'Sheet3(F_21)'!$J30+'Sheet4(F_22)'!$H30))</f>
        <v>300.2784657214555</v>
      </c>
      <c r="I30" s="5">
        <f>IF(A30&gt;=(Title_RESULTS!$H$7+Title_RESULTS!$C$17),0,(+'Sheet4(F_22)'!$D30+'Sheet4(F_22)'!$G30))</f>
        <v>14.853653915775055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315.1321196372306</v>
      </c>
      <c r="M30" s="23">
        <f>IF(A30&gt;=(Title_RESULTS!$H$7+Title_RESULTS!$C$17),0,(+L30-G30))</f>
        <v>150.4196302427349</v>
      </c>
      <c r="N30" s="24">
        <f>(IF(A29&gt;=(Title_RESULTS!$H$7+Title_RESULTS!$C$17),0,(+$M30/((1+Title_RESULTS!$C$37)^('Sheet9(F_25)'!$A30-Title_RESULTS!$H$7))+N29)))</f>
        <v>-261.8567372369972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384.072</v>
      </c>
      <c r="D32" s="5">
        <f t="shared" si="1"/>
        <v>402.54</v>
      </c>
      <c r="E32" s="5">
        <f t="shared" si="1"/>
        <v>2090.4476362946198</v>
      </c>
      <c r="F32" s="5">
        <f t="shared" si="1"/>
        <v>0</v>
      </c>
      <c r="G32" s="5">
        <f t="shared" si="1"/>
        <v>2877.05963629462</v>
      </c>
      <c r="H32" s="5">
        <f t="shared" si="1"/>
        <v>2848.5263980117497</v>
      </c>
      <c r="I32" s="5">
        <f t="shared" si="1"/>
        <v>179.05834136830532</v>
      </c>
      <c r="J32" s="5">
        <f t="shared" si="1"/>
        <v>0</v>
      </c>
      <c r="K32" s="9">
        <f t="shared" si="1"/>
        <v>0</v>
      </c>
      <c r="L32" s="5">
        <f t="shared" si="1"/>
        <v>3027.5847393800545</v>
      </c>
      <c r="M32" s="5">
        <f t="shared" si="1"/>
        <v>150.52510308543498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358.8491576370552</v>
      </c>
      <c r="D34" s="5">
        <f>NPV(Title_RESULTS!$C$37,'Sheet9(F_25)'!D17:D31)+'Sheet9(F_25)'!D16</f>
        <v>376.5111363460986</v>
      </c>
      <c r="E34" s="5">
        <f>NPV(Title_RESULTS!$C$37,'Sheet9(F_25)'!E17:E31)+'Sheet9(F_25)'!E16</f>
        <v>1265.337964705115</v>
      </c>
      <c r="F34" s="5">
        <f>NPV(Title_RESULTS!$C$37,'Sheet9(F_25)'!F17:F31)+'Sheet9(F_25)'!F16</f>
        <v>0</v>
      </c>
      <c r="G34" s="5">
        <f>NPV(Title_RESULTS!$C$37,'Sheet9(F_25)'!G17:G31)+'Sheet9(F_25)'!G16</f>
        <v>2000.6982586882684</v>
      </c>
      <c r="H34" s="5">
        <f>NPV(Title_RESULTS!$C$37,'Sheet9(F_25)'!H17:H31)+'Sheet9(F_25)'!H16</f>
        <v>1630.3931156857498</v>
      </c>
      <c r="I34" s="5">
        <f>NPV(Title_RESULTS!$C$37,'Sheet9(F_25)'!I17:I31)+'Sheet9(F_25)'!I16</f>
        <v>108.44840576552193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1738.8415214512715</v>
      </c>
      <c r="M34" s="5">
        <f>NPV(Title_RESULTS!$C$37,'Sheet9(F_25)'!M17:M31)+'Sheet9(F_25)'!M16</f>
        <v>-261.85673723699716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0.8691173263635068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71.06730975954737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4.1455616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43.0169088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0.4096739468391559</v>
      </c>
      <c r="P24" s="48">
        <f aca="true" t="shared" si="4" ref="P24:P61">N24*$L$5</f>
        <v>4.251030019410644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0.41950612156329564</v>
      </c>
      <c r="P25" s="48">
        <f t="shared" si="4"/>
        <v>4.353054739876499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9.778198215016964</v>
      </c>
      <c r="E26" s="11">
        <f>IF(B26=Title_RESULTS!$H$8,$F$16,+E25*(1+$F$7))</f>
        <v>0.09882230355451863</v>
      </c>
      <c r="F26" s="9">
        <f t="shared" si="1"/>
        <v>7.023035257860994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0.5703905659932081</v>
      </c>
      <c r="L26" s="5">
        <f t="shared" si="3"/>
        <v>5.918724970269461</v>
      </c>
      <c r="N26" s="11">
        <f>IF(+B26=Title_RESULTS!$H$9,'Value of Defferal'!$O$16,+'Value of Defferal'!N25*(1+'Value of Defferal'!$F$7))</f>
        <v>0.10362269577198292</v>
      </c>
      <c r="O26" s="5">
        <f t="shared" si="7"/>
        <v>0.42957426848081476</v>
      </c>
      <c r="P26" s="48">
        <f t="shared" si="4"/>
        <v>4.457528053633535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9.48944915484766</v>
      </c>
      <c r="E27" s="11">
        <f>IF(B27=Title_RESULTS!$H$8,$F$16,+E26*(1+$F$7))</f>
        <v>0.10119403883982707</v>
      </c>
      <c r="F27" s="9">
        <f t="shared" si="1"/>
        <v>7.191588104049658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0.5535469986776022</v>
      </c>
      <c r="L27" s="5">
        <f t="shared" si="3"/>
        <v>5.743945707772895</v>
      </c>
      <c r="N27" s="11">
        <f>IF(+B27=Title_RESULTS!$H$9,'Value of Defferal'!$O$16,+'Value of Defferal'!N26*(1+'Value of Defferal'!$F$7))</f>
        <v>0.10610964047051051</v>
      </c>
      <c r="O27" s="5">
        <f t="shared" si="7"/>
        <v>0.4398840509243543</v>
      </c>
      <c r="P27" s="48">
        <f t="shared" si="4"/>
        <v>4.56450872692074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9.170672298293729</v>
      </c>
      <c r="E28" s="11">
        <f>IF(B28=Title_RESULTS!$H$8,$F$16,+E27*(1+$F$7))</f>
        <v>0.10362269577198292</v>
      </c>
      <c r="F28" s="9">
        <f t="shared" si="1"/>
        <v>7.36418621854685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0.5349518232028313</v>
      </c>
      <c r="L28" s="5">
        <f t="shared" si="3"/>
        <v>5.550990676657638</v>
      </c>
      <c r="N28" s="11">
        <f>IF(+B28=Title_RESULTS!$H$9,'Value of Defferal'!$O$16,+'Value of Defferal'!N27*(1+'Value of Defferal'!$F$7))</f>
        <v>0.10865627184180277</v>
      </c>
      <c r="O28" s="5">
        <f t="shared" si="7"/>
        <v>0.4504412681465388</v>
      </c>
      <c r="P28" s="48">
        <f t="shared" si="4"/>
        <v>4.674056936366838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8.867163095957899</v>
      </c>
      <c r="E29" s="11">
        <f>IF(B29=Title_RESULTS!$H$8,$F$16,+E28*(1+$F$7))</f>
        <v>0.10610964047051051</v>
      </c>
      <c r="F29" s="9">
        <f t="shared" si="1"/>
        <v>7.540926687791974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0.5172472541301146</v>
      </c>
      <c r="L29" s="5">
        <f t="shared" si="3"/>
        <v>5.367277127896392</v>
      </c>
      <c r="N29" s="11">
        <f>IF(+B29=Title_RESULTS!$H$9,'Value of Defferal'!$O$16,+'Value of Defferal'!N28*(1+'Value of Defferal'!$F$7))</f>
        <v>0.11126402236600604</v>
      </c>
      <c r="O29" s="5">
        <f t="shared" si="7"/>
        <v>0.46125185858205575</v>
      </c>
      <c r="P29" s="48">
        <f t="shared" si="4"/>
        <v>4.786234302839643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8.57739055315126</v>
      </c>
      <c r="E30" s="11">
        <f>IF(B30=Title_RESULTS!$H$8,$F$16,+E29*(1+$F$7))</f>
        <v>0.10865627184180277</v>
      </c>
      <c r="F30" s="9">
        <f t="shared" si="1"/>
        <v>7.721908928298982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0.5003439841138724</v>
      </c>
      <c r="L30" s="5">
        <f t="shared" si="3"/>
        <v>5.191878353286343</v>
      </c>
      <c r="N30" s="11">
        <f>IF(+B30=Title_RESULTS!$H$9,'Value of Defferal'!$O$16,+'Value of Defferal'!N29*(1+'Value of Defferal'!$F$7))</f>
        <v>0.11393435890279018</v>
      </c>
      <c r="O30" s="5">
        <f t="shared" si="7"/>
        <v>0.472321903188025</v>
      </c>
      <c r="P30" s="48">
        <f t="shared" si="4"/>
        <v>4.901103926107793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8.29999284586876</v>
      </c>
      <c r="E31" s="11">
        <f>IF(B31=Title_RESULTS!$H$8,$F$16,+E30*(1+$F$7))</f>
        <v>0.11126402236600604</v>
      </c>
      <c r="F31" s="9">
        <f t="shared" si="1"/>
        <v>7.907234742578158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0.48416257402350543</v>
      </c>
      <c r="L31" s="5">
        <f t="shared" si="3"/>
        <v>5.023970043321123</v>
      </c>
      <c r="N31" s="11">
        <f>IF(+B31=Title_RESULTS!$H$9,'Value of Defferal'!$O$16,+'Value of Defferal'!N30*(1+'Value of Defferal'!$F$7))</f>
        <v>0.11666878351645714</v>
      </c>
      <c r="O31" s="5">
        <f t="shared" si="7"/>
        <v>0.48365762886453767</v>
      </c>
      <c r="P31" s="48">
        <f t="shared" si="4"/>
        <v>5.01873042033438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8.031231301997163</v>
      </c>
      <c r="E32" s="11">
        <f>IF(B32=Title_RESULTS!$H$8,$F$16,+E31*(1+$F$7))</f>
        <v>0.11393435890279018</v>
      </c>
      <c r="F32" s="9">
        <f t="shared" si="1"/>
        <v>8.097008376400034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0.4684849363079294</v>
      </c>
      <c r="L32" s="5">
        <f t="shared" si="3"/>
        <v>4.861289186809336</v>
      </c>
      <c r="N32" s="11">
        <f>IF(+B32=Title_RESULTS!$H$9,'Value of Defferal'!$O$16,+'Value of Defferal'!N31*(1+'Value of Defferal'!$F$7))</f>
        <v>0.11946883432085212</v>
      </c>
      <c r="O32" s="5">
        <f t="shared" si="7"/>
        <v>0.49526541195728657</v>
      </c>
      <c r="P32" s="48">
        <f t="shared" si="4"/>
        <v>5.139179950422406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7.765235698806632</v>
      </c>
      <c r="E33" s="11">
        <f>IF(B33=Title_RESULTS!$H$8,$F$16,+E32*(1+$F$7))</f>
        <v>0.11666878351645714</v>
      </c>
      <c r="F33" s="9">
        <f t="shared" si="1"/>
        <v>8.291336577433635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0.4529686439072963</v>
      </c>
      <c r="L33" s="5">
        <f t="shared" si="3"/>
        <v>4.700282548984399</v>
      </c>
      <c r="N33" s="11">
        <f>IF(+B33=Title_RESULTS!$H$9,'Value of Defferal'!$O$16,+'Value of Defferal'!N32*(1+'Value of Defferal'!$F$7))</f>
        <v>0.12233608634455258</v>
      </c>
      <c r="O33" s="5">
        <f t="shared" si="7"/>
        <v>0.5071517818442615</v>
      </c>
      <c r="P33" s="48">
        <f t="shared" si="4"/>
        <v>5.262520269232544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7.499240095616098</v>
      </c>
      <c r="E34" s="11">
        <f>IF(B34=Title_RESULTS!$H$8,$F$16,+E33*(1+$F$7))</f>
        <v>0.11946883432085212</v>
      </c>
      <c r="F34" s="9">
        <f t="shared" si="1"/>
        <v>8.490328655292041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0.437452351506663</v>
      </c>
      <c r="L34" s="5">
        <f t="shared" si="3"/>
        <v>4.53927591115946</v>
      </c>
      <c r="N34" s="11">
        <f>IF(+B34=Title_RESULTS!$H$9,'Value of Defferal'!$O$16,+'Value of Defferal'!N33*(1+'Value of Defferal'!$F$7))</f>
        <v>0.12527215241682185</v>
      </c>
      <c r="O34" s="5">
        <f t="shared" si="7"/>
        <v>0.5193234246085239</v>
      </c>
      <c r="P34" s="48">
        <f t="shared" si="4"/>
        <v>5.388820755694126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7.233244492425564</v>
      </c>
      <c r="E35" s="11">
        <f>IF(B35=Title_RESULTS!$H$8,$F$16,+E34*(1+$F$7))</f>
        <v>0.12233608634455258</v>
      </c>
      <c r="F35" s="9">
        <f t="shared" si="1"/>
        <v>8.694096543019052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0.4219360591060298</v>
      </c>
      <c r="L35" s="5">
        <f t="shared" si="3"/>
        <v>4.378269273334522</v>
      </c>
      <c r="N35" s="11">
        <f>IF(+B35=Title_RESULTS!$H$9,'Value of Defferal'!$O$16,+'Value of Defferal'!N34*(1+'Value of Defferal'!$F$7))</f>
        <v>0.12827868407482557</v>
      </c>
      <c r="O35" s="5">
        <f t="shared" si="7"/>
        <v>0.5317871867991284</v>
      </c>
      <c r="P35" s="48">
        <f t="shared" si="4"/>
        <v>5.518152453830784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6.967248889235033</v>
      </c>
      <c r="E36" s="11">
        <f>IF(B36=Title_RESULTS!$H$8,$F$16,+E35*(1+$F$7))</f>
        <v>0.12527215241682185</v>
      </c>
      <c r="F36" s="9">
        <f t="shared" si="1"/>
        <v>8.902754860051509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0.4064197667053967</v>
      </c>
      <c r="L36" s="5">
        <f t="shared" si="3"/>
        <v>4.217262635509584</v>
      </c>
      <c r="N36" s="11">
        <f>IF(+B36=Title_RESULTS!$H$9,'Value of Defferal'!$O$16,+'Value of Defferal'!N35*(1+'Value of Defferal'!$F$7))</f>
        <v>0.1313573724926214</v>
      </c>
      <c r="O36" s="5">
        <f t="shared" si="7"/>
        <v>0.5445500792823075</v>
      </c>
      <c r="P36" s="48">
        <f t="shared" si="4"/>
        <v>5.6505881127227235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6.701253286044499</v>
      </c>
      <c r="E37" s="11">
        <f>IF(B37&gt;Title_RESULTS!$H$8-1+Title_RESULTS!$C$18,0,+E36*(1+$F$7))</f>
        <v>0.12827868407482557</v>
      </c>
      <c r="F37" s="9">
        <f t="shared" si="1"/>
        <v>9.116420976692744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0.3909034743047634</v>
      </c>
      <c r="L37" s="5">
        <f t="shared" si="3"/>
        <v>4.056255997684645</v>
      </c>
      <c r="N37" s="11">
        <f>IF(+B37=Title_RESULTS!$H$9,'Value of Defferal'!$O$16,+'Value of Defferal'!N36*(1+'Value of Defferal'!$F$7))</f>
        <v>0.1345099494324443</v>
      </c>
      <c r="O37" s="5">
        <f t="shared" si="7"/>
        <v>0.5576192811850829</v>
      </c>
      <c r="P37" s="48">
        <f t="shared" si="4"/>
        <v>5.786202227428069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6.435257682853965</v>
      </c>
      <c r="E38" s="11">
        <f>IF(B38&gt;Title_RESULTS!$H$8-1+Title_RESULTS!$C$18,0,+E37*(1+$F$7))</f>
        <v>0.1313573724926214</v>
      </c>
      <c r="F38" s="9">
        <f t="shared" si="1"/>
        <v>9.335215080133372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0.3753871819041302</v>
      </c>
      <c r="L38" s="5">
        <f t="shared" si="3"/>
        <v>3.895249359859706</v>
      </c>
      <c r="N38" s="11">
        <f>IF(+B38=Title_RESULTS!$H$9,'Value of Defferal'!$O$16,+'Value of Defferal'!N37*(1+'Value of Defferal'!$F$7))</f>
        <v>0.13773818821882297</v>
      </c>
      <c r="O38" s="5">
        <f t="shared" si="7"/>
        <v>0.5710021439335249</v>
      </c>
      <c r="P38" s="48">
        <f t="shared" si="4"/>
        <v>5.925071080886343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6.169262079663431</v>
      </c>
      <c r="E39" s="11">
        <f>IF(B39&gt;Title_RESULTS!$H$8-1+Title_RESULTS!$C$18,0,+E38*(1+$F$7))</f>
        <v>0.1345099494324443</v>
      </c>
      <c r="F39" s="9">
        <f t="shared" si="1"/>
        <v>9.559260242056572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0.35987088950349694</v>
      </c>
      <c r="L39" s="5">
        <f t="shared" si="3"/>
        <v>3.7342427220347676</v>
      </c>
      <c r="N39" s="11">
        <f>IF(+B39&gt;Title_RESULTS!$H$9+Title_RESULTS!$C$19-1,0,+'Value of Defferal'!N38*(1+'Value of Defferal'!$F$7))</f>
        <v>0.14104390473607473</v>
      </c>
      <c r="O39" s="5">
        <f t="shared" si="7"/>
        <v>0.5847061953879295</v>
      </c>
      <c r="P39" s="48">
        <f t="shared" si="4"/>
        <v>6.067272786827615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5.903266476472901</v>
      </c>
      <c r="E40" s="11">
        <f>IF(B40&gt;Title_RESULTS!$H$8-1+Title_RESULTS!$C$18,0,+E39*(1+$F$7))</f>
        <v>0.13773818821882297</v>
      </c>
      <c r="F40" s="9">
        <f t="shared" si="1"/>
        <v>9.78868248786593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0.3443545971028638</v>
      </c>
      <c r="L40" s="5">
        <f t="shared" si="3"/>
        <v>3.5732360842098303</v>
      </c>
      <c r="N40" s="11">
        <f>IF(+B40&gt;Title_RESULTS!$H$9+Title_RESULTS!$C$19-1,0,+'Value of Defferal'!N39*(1+'Value of Defferal'!$F$7))</f>
        <v>0.14442895844974052</v>
      </c>
      <c r="O40" s="5">
        <f t="shared" si="7"/>
        <v>0.5987391440772398</v>
      </c>
      <c r="P40" s="48">
        <f t="shared" si="4"/>
        <v>6.212887333711477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5.662248924753858</v>
      </c>
      <c r="E41" s="11">
        <f>IF(B41&gt;Title_RESULTS!$H$8-1+Title_RESULTS!$C$18,0,+E40*(1+$F$7))</f>
        <v>0.14104390473607473</v>
      </c>
      <c r="F41" s="9">
        <f t="shared" si="1"/>
        <v>10.023610867574712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0.33029534664420623</v>
      </c>
      <c r="L41" s="5">
        <f t="shared" si="3"/>
        <v>3.427348613914749</v>
      </c>
      <c r="N41" s="11">
        <f>IF(+B41&gt;Title_RESULTS!$H$9+Title_RESULTS!$C$19-1,0,+'Value of Defferal'!N40*(1+'Value of Defferal'!$F$7))</f>
        <v>0.1478952534525343</v>
      </c>
      <c r="O41" s="5">
        <f t="shared" si="7"/>
        <v>0.6131088835350935</v>
      </c>
      <c r="P41" s="48">
        <f t="shared" si="4"/>
        <v>6.3619966297205535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5.471179017443608</v>
      </c>
      <c r="E42" s="11">
        <f>IF(B42&gt;Title_RESULTS!$H$8-1+Title_RESULTS!$C$18,0,+E41*(1+$F$7))</f>
        <v>0.14442895844974052</v>
      </c>
      <c r="F42" s="9">
        <f t="shared" si="1"/>
        <v>10.264177528396505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0.3191496866587511</v>
      </c>
      <c r="L42" s="5">
        <f t="shared" si="3"/>
        <v>3.311694358744561</v>
      </c>
      <c r="N42" s="11">
        <f>IF(+B42&gt;Title_RESULTS!$H$9+Title_RESULTS!$C$19-1,0,+'Value of Defferal'!N41*(1+'Value of Defferal'!$F$7))</f>
        <v>0.1514447395353951</v>
      </c>
      <c r="O42" s="5">
        <f t="shared" si="7"/>
        <v>0.6278234967399358</v>
      </c>
      <c r="P42" s="48">
        <f t="shared" si="4"/>
        <v>6.514684548833847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5.305078703070657</v>
      </c>
      <c r="E43" s="11">
        <f>IF(B43&gt;Title_RESULTS!$H$8-1+Title_RESULTS!$C$18,0,+E42*(1+$F$7))</f>
        <v>0.1478952534525343</v>
      </c>
      <c r="F43" s="9">
        <f t="shared" si="1"/>
        <v>10.510517789078023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0.30946057520452264</v>
      </c>
      <c r="L43" s="5">
        <f t="shared" si="3"/>
        <v>3.2111541511694086</v>
      </c>
      <c r="N43" s="11">
        <f>IF(+B43&gt;Title_RESULTS!$H$9+Title_RESULTS!$C$19-1,0,+'Value of Defferal'!N42*(1+'Value of Defferal'!$F$7))</f>
        <v>0.1550794132842446</v>
      </c>
      <c r="O43" s="5">
        <f t="shared" si="7"/>
        <v>0.6428912606616942</v>
      </c>
      <c r="P43" s="48">
        <f t="shared" si="4"/>
        <v>6.6710369780058585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5.138978388697708</v>
      </c>
      <c r="E44" s="11">
        <f>IF(B44&gt;Title_RESULTS!$H$8-1+Title_RESULTS!$C$18,0,+E43*(1+$F$7))</f>
        <v>0.1514447395353951</v>
      </c>
      <c r="F44" s="9">
        <f t="shared" si="1"/>
        <v>10.762770216015895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0.2997714637502943</v>
      </c>
      <c r="L44" s="5">
        <f t="shared" si="3"/>
        <v>3.1106139435942564</v>
      </c>
      <c r="N44" s="11">
        <f>IF(+B44&gt;Title_RESULTS!$H$9+Title_RESULTS!$C$19-1,0,+'Value of Defferal'!N43*(1+'Value of Defferal'!$F$7))</f>
        <v>0.15880131920306648</v>
      </c>
      <c r="O44" s="5">
        <f t="shared" si="7"/>
        <v>0.658320650917575</v>
      </c>
      <c r="P44" s="48">
        <f t="shared" si="4"/>
        <v>6.831141865478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4.972878074324755</v>
      </c>
      <c r="E45" s="11">
        <f>IF(B45&gt;Title_RESULTS!$H$8-1+Title_RESULTS!$C$18,0,+E44*(1+$F$7))</f>
        <v>0.1550794132842446</v>
      </c>
      <c r="F45" s="9">
        <f t="shared" si="1"/>
        <v>11.021076701200275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0.29008235229606566</v>
      </c>
      <c r="L45" s="5">
        <f t="shared" si="3"/>
        <v>3.0100737360191028</v>
      </c>
      <c r="N45" s="11">
        <f>IF(+B45&gt;Title_RESULTS!$H$9+Title_RESULTS!$C$19-1,0,+'Value of Defferal'!N44*(1+'Value of Defferal'!$F$7))</f>
        <v>0.16261255086394008</v>
      </c>
      <c r="O45" s="5">
        <f t="shared" si="7"/>
        <v>0.6741203465395967</v>
      </c>
      <c r="P45" s="48">
        <f t="shared" si="4"/>
        <v>6.995089270249472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4.806777759951804</v>
      </c>
      <c r="E46" s="11">
        <f>IF(B46&gt;Title_RESULTS!$H$8-1+Title_RESULTS!$C$18,0,+E45*(1+$F$7))</f>
        <v>0.15880131920306648</v>
      </c>
      <c r="F46" s="9">
        <f t="shared" si="1"/>
        <v>11.285582542029083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0.2803932408418372</v>
      </c>
      <c r="L46" s="5">
        <f t="shared" si="3"/>
        <v>2.9095335284439505</v>
      </c>
      <c r="N46" s="11">
        <f>IF(+B46&gt;Title_RESULTS!$H$9+Title_RESULTS!$C$19-1,0,+'Value of Defferal'!N45*(1+'Value of Defferal'!$F$7))</f>
        <v>0.16651525208467466</v>
      </c>
      <c r="O46" s="5">
        <f t="shared" si="7"/>
        <v>0.6902992348565472</v>
      </c>
      <c r="P46" s="48">
        <f t="shared" si="4"/>
        <v>7.16297141273546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4.640677445578854</v>
      </c>
      <c r="E47" s="11">
        <f>IF(B47&gt;Title_RESULTS!$H$8-1+Title_RESULTS!$C$18,0,+E46*(1+$F$7))</f>
        <v>0.16261255086394008</v>
      </c>
      <c r="F47" s="9">
        <f t="shared" si="1"/>
        <v>11.556436523037782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0.27070412938760885</v>
      </c>
      <c r="L47" s="5">
        <f t="shared" si="3"/>
        <v>2.8089933208687987</v>
      </c>
      <c r="N47" s="11">
        <f>IF(+B47&gt;Title_RESULTS!$H$9+Title_RESULTS!$C$19-1,0,+'Value of Defferal'!N46*(1+'Value of Defferal'!$F$7))</f>
        <v>0.17051161813470686</v>
      </c>
      <c r="O47" s="5">
        <f t="shared" si="7"/>
        <v>0.7068664164931043</v>
      </c>
      <c r="P47" s="48">
        <f t="shared" si="4"/>
        <v>7.334882726641112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4.474577131205904</v>
      </c>
      <c r="E48" s="11">
        <f>IF(B48&gt;Title_RESULTS!$H$8-1+Title_RESULTS!$C$18,0,+E47*(1+$F$7))</f>
        <v>0.16651525208467466</v>
      </c>
      <c r="F48" s="9">
        <f t="shared" si="1"/>
        <v>11.83379099959069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0.2610150179333804</v>
      </c>
      <c r="L48" s="5">
        <f t="shared" si="3"/>
        <v>2.708453113293646</v>
      </c>
      <c r="N48" s="11">
        <f>IF(+B48&gt;Title_RESULTS!$H$9+Title_RESULTS!$C$19-1,0,+'Value of Defferal'!N47*(1+'Value of Defferal'!$F$7))</f>
        <v>0.17460389696993983</v>
      </c>
      <c r="O48" s="5">
        <f t="shared" si="7"/>
        <v>0.7238312104889388</v>
      </c>
      <c r="P48" s="48">
        <f t="shared" si="4"/>
        <v>7.510919912080499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4.308476816832951</v>
      </c>
      <c r="E49" s="11">
        <f>IF(B49&gt;Title_RESULTS!$H$8-1+Title_RESULTS!$C$18,0,+E48*(1+$F$7))</f>
        <v>0.17051161813470686</v>
      </c>
      <c r="F49" s="9">
        <f t="shared" si="1"/>
        <v>12.117801983580867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0.2513259064791518</v>
      </c>
      <c r="L49" s="5">
        <f t="shared" si="3"/>
        <v>2.607912905718493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4.14237650246</v>
      </c>
      <c r="E50" s="11">
        <f>IF(B50&gt;Title_RESULTS!$H$8-1+Title_RESULTS!$C$18,0,+E49*(1+$F$7))</f>
        <v>0.17460389696993983</v>
      </c>
      <c r="F50" s="9">
        <f t="shared" si="1"/>
        <v>12.408629231186808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0.24163679502492336</v>
      </c>
      <c r="L50" s="5">
        <f t="shared" si="3"/>
        <v>2.50737269814334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3.9762761880870503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0.23194768357069492</v>
      </c>
      <c r="L51" s="5">
        <f t="shared" si="3"/>
        <v>2.4068324905681884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169.7876311186587</v>
      </c>
      <c r="F63" s="9">
        <f>SUM(F23:F61)</f>
        <v>236.80837811976218</v>
      </c>
      <c r="J63" t="s">
        <v>87</v>
      </c>
      <c r="K63" s="9">
        <f>SUM(K23:K61)</f>
        <v>9.904203298281141</v>
      </c>
      <c r="O63" s="9">
        <f>SUM(O23:O61)</f>
        <v>13.81371719589655</v>
      </c>
    </row>
    <row r="64" spans="3:15" ht="12.75">
      <c r="C64" t="s">
        <v>89</v>
      </c>
      <c r="D64" s="9">
        <f>NPV(+Title_RESULTS!$C$37,'Value of Defferal'!D24:D61)+'Value of Defferal'!D23</f>
        <v>75.81120415253518</v>
      </c>
      <c r="F64" s="9">
        <f>NPV(+Title_RESULTS!$C$37,'Value of Defferal'!F24:F61)+'Value of Defferal'!F23</f>
        <v>88.05614190285712</v>
      </c>
      <c r="J64" t="s">
        <v>89</v>
      </c>
      <c r="K64" s="9">
        <f>NPV(+Title_RESULTS!$C$37,'Value of Defferal'!K24:K61)+'Value of Defferal'!K23</f>
        <v>4.422286672280982</v>
      </c>
      <c r="O64" s="9">
        <f>NPV(+Title_RESULTS!$C$37,'Value of Defferal'!O24:O61)+'Value of Defferal'!O23</f>
        <v>5.8896552690325015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0.03874673081089291</v>
      </c>
      <c r="C25" t="s">
        <v>372</v>
      </c>
    </row>
    <row r="26" spans="2:3" ht="18">
      <c r="B26" s="15">
        <f>+((Input!$C$6*'EUE_Line Losses'!C4)+(Input!$C$7*'EUE_Line Losses'!C3))/'EUE_Line Losses'!C22</f>
        <v>0.03862174135666423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0.17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1495.16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287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134.18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ECM Motors on Furnaces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43599.321142824076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0.17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0.03862174135666423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1577.1729957805908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1495.16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287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134.18</v>
      </c>
      <c r="D39" s="13" t="s">
        <v>189</v>
      </c>
      <c r="G39" s="20" t="s">
        <v>346</v>
      </c>
      <c r="H39" s="79">
        <f>+'Sheet7(F_23)'!H36</f>
        <v>1.4711180066312206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2063.195389629671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0.8691173263635068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2019-05-14T11:42:28Z</dcterms:created>
  <dcterms:modified xsi:type="dcterms:W3CDTF">2019-05-14T11:42:31Z</dcterms:modified>
  <cp:category/>
  <cp:version/>
  <cp:contentType/>
  <cp:contentStatus/>
</cp:coreProperties>
</file>