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<sst xmlns="http://schemas.openxmlformats.org/spreadsheetml/2006/main" count="1258" uniqueCount="468">
  <si>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</si>
  <si>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</si>
  <si>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</si>
  <si>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</si>
  <si>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</si>
  <si>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</si>
  <si>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</si>
  <si>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</si>
  <si>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</si>
  <si>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</si>
  <si>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</si>
  <si>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</si>
  <si>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</si>
  <si>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</si>
  <si>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</si>
  <si>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</si>
  <si>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</si>
  <si>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</si>
  <si>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</si>
  <si>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</si>
  <si>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</si>
  <si>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</si>
  <si>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</si>
  <si>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</si>
  <si>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</si>
  <si>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</si>
  <si>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</si>
  <si>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</si>
  <si>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</si>
  <si>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</si>
  <si>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</si>
  <si>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</si>
  <si>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</si>
  <si>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</si>
  <si>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</si>
  <si>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</si>
  <si>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</si>
  <si>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</si>
  <si>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</si>
  <si>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</si>
  <si>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</si>
  <si>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</si>
  <si>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</si>
  <si>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</si>
  <si>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</si>
  <si>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</si>
  <si>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</si>
  <si>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</si>
  <si>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</si>
  <si>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</si>
  <si>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</si>
  <si>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</si>
  <si>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</si>
  <si>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</si>
  <si>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</si>
  <si>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</si>
  <si>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</si>
  <si>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</si>
  <si>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</si>
  <si>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</si>
  <si>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</si>
  <si>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</si>
  <si>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</si>
  <si>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</si>
  <si>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</si>
  <si>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</si>
  <si>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</si>
  <si>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</si>
  <si>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</si>
  <si>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</si>
  <si>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</si>
  <si>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</si>
  <si>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</si>
  <si>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</si>
  <si>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</si>
  <si>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</si>
  <si>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</si>
  <si>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</si>
  <si>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</si>
  <si>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</si>
  <si>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</si>
  <si>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</si>
  <si>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</si>
  <si>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</si>
  <si>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</si>
  <si>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</si>
  <si>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</si>
  <si>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</si>
  <si>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</si>
  <si>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</si>
  <si>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</si>
  <si>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</si>
  <si>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</si>
  <si>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</si>
  <si>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</si>
  <si>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</si>
  <si>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</si>
  <si>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</si>
  <si>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</si>
  <si>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</si>
  <si>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</si>
  <si>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</si>
  <si>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</si>
  <si>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</si>
  <si>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</si>
  <si>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</si>
  <si>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</si>
  <si>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</si>
  <si>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</si>
  <si>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</si>
  <si>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</si>
  <si>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</si>
  <si>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</si>
  <si>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</si>
  <si>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</si>
  <si>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</si>
  <si>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</si>
  <si>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</si>
  <si>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</si>
  <si>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</si>
  <si>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</si>
  <si>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</si>
  <si>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</si>
  <si>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</si>
  <si>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</si>
  <si>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</si>
  <si>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</si>
  <si>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</si>
  <si>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</si>
  <si>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</si>
  <si>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</si>
  <si>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</si>
  <si>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</si>
  <si>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</si>
  <si>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</si>
  <si>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</si>
  <si>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</si>
  <si>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</si>
  <si>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</si>
  <si>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</si>
  <si>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</si>
  <si>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</si>
  <si>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</si>
  <si>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</si>
  <si>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</si>
  <si>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</si>
  <si>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</si>
  <si>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</si>
  <si>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</si>
  <si>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</si>
  <si>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</si>
  <si>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</si>
  <si>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</si>
  <si>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</si>
  <si>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</si>
  <si>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</si>
  <si>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</si>
  <si>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</si>
  <si>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</si>
  <si>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</si>
  <si>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</si>
  <si>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</si>
  <si>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</si>
  <si>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</si>
  <si>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</si>
  <si>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</si>
  <si>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</si>
  <si>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</si>
  <si>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</si>
  <si>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</si>
  <si>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</si>
  <si>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</si>
  <si>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</si>
  <si>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</si>
  <si>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</si>
  <si>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</si>
  <si>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</si>
  <si>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</si>
  <si>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</si>
  <si>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</si>
  <si>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</si>
  <si>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</si>
  <si>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</si>
  <si>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</si>
  <si>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</si>
  <si>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</si>
  <si>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</si>
  <si>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</si>
  <si>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</si>
  <si>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</si>
  <si>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</si>
  <si>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</si>
  <si>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</si>
  <si>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</si>
  <si>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</si>
  <si>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</si>
  <si>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</si>
  <si>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</si>
  <si>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</si>
  <si>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</si>
  <si>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</si>
  <si>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</si>
  <si>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</si>
  <si>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</si>
  <si>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</si>
  <si>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</si>
  <si>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</si>
  <si>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</si>
  <si>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</si>
  <si>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</si>
  <si>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</si>
  <si>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</si>
  <si>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</si>
  <si>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</si>
  <si>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</si>
  <si>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</si>
  <si>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</si>
  <si>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</si>
  <si>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</si>
  <si>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</si>
  <si>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</si>
  <si>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</si>
  <si>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</si>
  <si>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</si>
  <si>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</si>
  <si>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</si>
  <si>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</si>
  <si>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</si>
  <si>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</si>
  <si>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</si>
  <si>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</si>
  <si>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</si>
  <si>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</si>
  <si>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</si>
  <si>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</si>
  <si>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</si>
  <si>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</si>
  <si>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</si>
  <si>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</si>
  <si>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</si>
  <si>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</si>
  <si>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</si>
  <si>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</si>
  <si>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</si>
  <si>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</si>
  <si>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</si>
  <si>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</si>
  <si>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</si>
  <si>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</si>
  <si>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</si>
  <si>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</si>
  <si>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</si>
  <si>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</si>
  <si>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</si>
  <si>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</si>
  <si>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</si>
  <si>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</si>
  <si>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</si>
  <si>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</si>
  <si>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</si>
  <si>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</si>
  <si>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</si>
  <si>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</si>
  <si>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</si>
  <si>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</si>
  <si>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</si>
  <si>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</si>
  <si>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</si>
  <si>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</si>
  <si>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</si>
  <si>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</si>
  <si>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</si>
  <si>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</si>
  <si>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</si>
  <si>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</si>
  <si>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</si>
  <si>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</si>
  <si>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</si>
  <si>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</si>
  <si>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</si>
  <si>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</si>
  <si>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</si>
  <si>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</si>
  <si>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</si>
  <si>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</si>
  <si>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</si>
  <si>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</si>
  <si>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</si>
  <si>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</si>
  <si>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</si>
  <si>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</si>
  <si>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</si>
  <si>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</si>
  <si>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</si>
  <si>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</si>
  <si>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</si>
  <si>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</si>
  <si>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</si>
  <si>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</si>
  <si>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</si>
  <si>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</si>
  <si>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</si>
  <si>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</si>
  <si>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</si>
  <si>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</si>
  <si>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</si>
  <si>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</si>
  <si>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</si>
  <si>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</si>
  <si>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</si>
  <si>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</si>
  <si>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</si>
  <si>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</si>
  <si>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</si>
  <si>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</si>
  <si>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</si>
  <si>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</si>
  <si>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</si>
  <si>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</si>
  <si>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</si>
  <si>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</si>
  <si>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</si>
  <si>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</si>
  <si>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</si>
  <si>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</si>
  <si>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</si>
  <si>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</si>
  <si>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</si>
  <si>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</si>
  <si>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</si>
  <si>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</si>
  <si>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</si>
  <si>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</si>
  <si>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</si>
  <si>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</si>
  <si>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</si>
  <si>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</si>
  <si>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</si>
  <si>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</si>
  <si>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</si>
  <si>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</si>
  <si>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</si>
  <si>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</si>
  <si>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</si>
  <si>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</si>
  <si>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</si>
  <si>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</si>
  <si>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</si>
  <si>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</si>
  <si>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</si>
  <si>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</si>
  <si>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</si>
  <si>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</si>
  <si>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</si>
  <si>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</si>
  <si>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</si>
  <si>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</si>
  <si>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</si>
  <si>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</si>
  <si>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</si>
  <si>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</si>
  <si>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</si>
  <si>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</si>
  <si>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</si>
  <si>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</si>
  <si>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</si>
  <si>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</si>
  <si>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</si>
  <si>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</si>
  <si>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</si>
  <si>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</si>
  <si>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</si>
  <si>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</si>
  <si>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</si>
  <si>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</si>
  <si>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</si>
  <si>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</si>
  <si>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</si>
  <si>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</si>
  <si>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</si>
  <si>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</si>
  <si>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</si>
  <si>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</si>
  <si>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</si>
  <si>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</si>
  <si>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</si>
  <si>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</si>
  <si>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</si>
  <si>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</si>
  <si>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</si>
  <si>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</si>
  <si>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</si>
  <si>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</si>
  <si>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</si>
  <si>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</si>
  <si>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</si>
  <si>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</si>
  <si>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</si>
  <si>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</si>
  <si>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</si>
  <si>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</si>
  <si>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</si>
  <si>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</si>
  <si>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</si>
  <si>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</si>
  <si>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</si>
  <si>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</si>
  <si>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</si>
  <si>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</si>
  <si>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</si>
  <si>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</si>
  <si>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</si>
  <si>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</si>
  <si>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</si>
  <si>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</si>
  <si>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</si>
  <si>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</si>
  <si>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</si>
  <si>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</si>
  <si>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</si>
  <si>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</si>
  <si>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</si>
  <si>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</si>
  <si>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</si>
  <si>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</si>
  <si>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</si>
  <si>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</si>
  <si>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</si>
  <si>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</si>
  <si>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</si>
  <si>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</si>
  <si>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</si>
  <si>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</si>
  <si>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</si>
  <si>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</si>
  <si>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</si>
  <si>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</si>
  <si>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</si>
  <si>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</si>
  <si>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</si>
  <si>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</si>
  <si>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</si>
  <si>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</si>
  <si>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</si>
  <si>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</si>
  <si>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</si>
  <si>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</si>
  <si>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</si>
  <si>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</si>
  <si>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</si>
  <si>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</si>
  <si>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</si>
  <si>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</si>
  <si>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</si>
  <si>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</si>
  <si>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</si>
  <si>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</si>
  <si>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</si>
  <si>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</si>
  <si>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</si>
  <si>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</si>
  <si>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</si>
  <si>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</si>
  <si>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</si>
  <si>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</si>
  <si>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</si>
  <si>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</si>
  <si>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Water Cooler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</si>
</sst>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43599.321633217594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334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43599.321633217594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Water Cooler</v>
      </c>
      <c r="J2" t="s">
        <v>55</v>
      </c>
    </row>
    <row r="3" ht="12.75">
      <c r="J3" s="35">
        <f>+Title_RESULTS!I4</f>
        <v>43599.321633217594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334</v>
      </c>
      <c r="H5" t="s">
        <v>59</v>
      </c>
    </row>
    <row r="6" spans="3:7" ht="12.75">
      <c r="C6" t="s">
        <v>61</v>
      </c>
      <c r="G6" s="36">
        <f>+'Value of Defferal'!E3</f>
        <v>204.62484016973124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20.22149807004804</v>
      </c>
      <c r="D19" s="5">
        <f>IF((Title_RESULTS!$H$8-Title_RESULTS!$H$7)&lt;=('Sheet3(F_21)'!A19-Title_RESULTS!$H$7),((Title_RESULTS!$C$8*Partcipation!$C$26*8760*Title_RESULTS!$H$21/100000)),0)</f>
        <v>266.1991584852735</v>
      </c>
      <c r="E19" s="5">
        <f>IF($G19=0,0,((Title_RESULTS!$H$14*((1+Title_RESULTS!$H$15/100)^($A19-Title_RESULTS!$H$7))*'EUE_Line Losses'!$B$25*Partcipation!$C$26))/1000)</f>
        <v>2.0971660515521258</v>
      </c>
      <c r="F19" s="5">
        <f>IF($G19=0,0,(Title_RESULTS!$H$19/100*((1+Title_RESULTS!$H$20/100)^($A19-Title_RESULTS!$H$7))*$D19*1000)/1000)</f>
        <v>0.6002412569564095</v>
      </c>
      <c r="G19" s="5">
        <f>(+Title_RESULTS!$H$22/100*((1+Title_RESULTS!$H$23/100)^(+'Sheet4(F_22)'!A19-Title_RESULTS!$H$7)))*'Sheet3(F_21)'!D19</f>
        <v>11.404741165225836</v>
      </c>
      <c r="H19" s="5">
        <f>IF($G19=0,0,(($D19))*(Partcipation!$G19/100))</f>
        <v>8.44550791430506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25.87813862947735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20.70681402372919</v>
      </c>
      <c r="D20" s="5">
        <f>IF((Title_RESULTS!$H$8-Title_RESULTS!$H$7)&lt;=('Sheet3(F_21)'!A20-Title_RESULTS!$H$7),((Title_RESULTS!$C$8*Partcipation!$C$26*8760*Title_RESULTS!$H$21/100000)),0)</f>
        <v>266.1991584852735</v>
      </c>
      <c r="E20" s="5">
        <f>IF($G20=0,0,((Title_RESULTS!$H$14*((1+Title_RESULTS!$H$15/100)^($A20-Title_RESULTS!$H$7))*'EUE_Line Losses'!$B$25*Partcipation!$C$26))/1000)</f>
        <v>2.147498036789376</v>
      </c>
      <c r="F20" s="5">
        <f>IF($G20=0,0,(Title_RESULTS!$H$19/100*((1+Title_RESULTS!$H$20/100)^($A20-Title_RESULTS!$H$7))*$D20*1000)/1000)</f>
        <v>0.6146470471233633</v>
      </c>
      <c r="G20" s="5">
        <f>(+Title_RESULTS!$H$22/100*((1+Title_RESULTS!$H$23/100)^(+'Sheet4(F_22)'!A20-Title_RESULTS!$H$7)))*'Sheet3(F_21)'!D20</f>
        <v>11.92251641412709</v>
      </c>
      <c r="H20" s="5">
        <f>IF($G20=0,0,(($D20))*(Partcipation!$G20/100))</f>
        <v>8.823312666573802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26.568162855195222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21.20377756029869</v>
      </c>
      <c r="D21" s="5">
        <f>IF((Title_RESULTS!$H$8-Title_RESULTS!$H$7)&lt;=('Sheet3(F_21)'!A21-Title_RESULTS!$H$7),((Title_RESULTS!$C$8*Partcipation!$C$26*8760*Title_RESULTS!$H$21/100000)),0)</f>
        <v>266.1991584852735</v>
      </c>
      <c r="E21" s="5">
        <f>IF($G21=0,0,((Title_RESULTS!$H$14*((1+Title_RESULTS!$H$15/100)^($A21-Title_RESULTS!$H$7))*'EUE_Line Losses'!$B$25*Partcipation!$C$26))/1000)</f>
        <v>2.1990379896723216</v>
      </c>
      <c r="F21" s="5">
        <f>IF($G21=0,0,(Title_RESULTS!$H$19/100*((1+Title_RESULTS!$H$20/100)^($A21-Title_RESULTS!$H$7))*$D21*1000)/1000)</f>
        <v>0.629398576254324</v>
      </c>
      <c r="G21" s="5">
        <f>(+Title_RESULTS!$H$22/100*((1+Title_RESULTS!$H$23/100)^(+'Sheet4(F_22)'!A21-Title_RESULTS!$H$7)))*'Sheet3(F_21)'!D21</f>
        <v>12.463798659328463</v>
      </c>
      <c r="H21" s="5">
        <f>IF($G21=0,0,(($D21))*(Partcipation!$G21/100))</f>
        <v>9.172965665434218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27.323047120119575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21.712668221745858</v>
      </c>
      <c r="D22" s="5">
        <f>IF((Title_RESULTS!$H$8-Title_RESULTS!$H$7)&lt;=('Sheet3(F_21)'!A22-Title_RESULTS!$H$7),((Title_RESULTS!$C$8*Partcipation!$C$26*8760*Title_RESULTS!$H$21/100000)),0)</f>
        <v>266.1991584852735</v>
      </c>
      <c r="E22" s="5">
        <f>IF($G22=0,0,((Title_RESULTS!$H$14*((1+Title_RESULTS!$H$15/100)^($A22-Title_RESULTS!$H$7))*'EUE_Line Losses'!$B$25*Partcipation!$C$26))/1000)</f>
        <v>2.2518149014244564</v>
      </c>
      <c r="F22" s="5">
        <f>IF($G22=0,0,(Title_RESULTS!$H$19/100*((1+Title_RESULTS!$H$20/100)^($A22-Title_RESULTS!$H$7))*$D22*1000)/1000)</f>
        <v>0.6445041420844277</v>
      </c>
      <c r="G22" s="5">
        <f>(+Title_RESULTS!$H$22/100*((1+Title_RESULTS!$H$23/100)^(+'Sheet4(F_22)'!A22-Title_RESULTS!$H$7)))*'Sheet3(F_21)'!D22</f>
        <v>13.029655118461974</v>
      </c>
      <c r="H22" s="5">
        <f>IF($G22=0,0,(($D22))*(Partcipation!$G22/100))</f>
        <v>9.470173031723569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28.168469351993146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22.23377225906776</v>
      </c>
      <c r="D23" s="5">
        <f>IF((Title_RESULTS!$H$8-Title_RESULTS!$H$7)&lt;=('Sheet3(F_21)'!A23-Title_RESULTS!$H$7),((Title_RESULTS!$C$8*Partcipation!$C$26*8760*Title_RESULTS!$H$21/100000)),0)</f>
        <v>266.1991584852735</v>
      </c>
      <c r="E23" s="5">
        <f>IF($G23=0,0,((Title_RESULTS!$H$14*((1+Title_RESULTS!$H$15/100)^($A23-Title_RESULTS!$H$7))*'EUE_Line Losses'!$B$25*Partcipation!$C$26))/1000)</f>
        <v>2.305858459058644</v>
      </c>
      <c r="F23" s="5">
        <f>IF($G23=0,0,(Title_RESULTS!$H$19/100*((1+Title_RESULTS!$H$20/100)^($A23-Title_RESULTS!$H$7))*$D23*1000)/1000)</f>
        <v>0.6599722414944541</v>
      </c>
      <c r="G23" s="5">
        <f>(+Title_RESULTS!$H$22/100*((1+Title_RESULTS!$H$23/100)^(+'Sheet4(F_22)'!A23-Title_RESULTS!$H$7)))*'Sheet3(F_21)'!D23</f>
        <v>13.621201460840151</v>
      </c>
      <c r="H23" s="5">
        <f>IF($G23=0,0,(($D23))*(Partcipation!$G23/100))</f>
        <v>9.894054841098045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28.926749579362962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22.76738279328539</v>
      </c>
      <c r="D24" s="5">
        <f>IF((Title_RESULTS!$H$8-Title_RESULTS!$H$7)&lt;=('Sheet3(F_21)'!A24-Title_RESULTS!$H$7),((Title_RESULTS!$C$8*Partcipation!$C$26*8760*Title_RESULTS!$H$21/100000)),0)</f>
        <v>266.1991584852735</v>
      </c>
      <c r="E24" s="5">
        <f>IF($G24=0,0,((Title_RESULTS!$H$14*((1+Title_RESULTS!$H$15/100)^($A24-Title_RESULTS!$H$7))*'EUE_Line Losses'!$B$25*Partcipation!$C$26))/1000)</f>
        <v>2.361199062076051</v>
      </c>
      <c r="F24" s="5">
        <f>IF($G24=0,0,(Title_RESULTS!$H$19/100*((1+Title_RESULTS!$H$20/100)^($A24-Title_RESULTS!$H$7))*$D24*1000)/1000)</f>
        <v>0.6758115752903209</v>
      </c>
      <c r="G24" s="5">
        <f>(+Title_RESULTS!$H$22/100*((1+Title_RESULTS!$H$23/100)^(+'Sheet4(F_22)'!A24-Title_RESULTS!$H$7)))*'Sheet3(F_21)'!D24</f>
        <v>14.239604007162296</v>
      </c>
      <c r="H24" s="5">
        <f>IF($G24=0,0,(($D24))*(Partcipation!$G24/100))</f>
        <v>10.648618899173433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29.39537853864062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23.313799980324237</v>
      </c>
      <c r="D25" s="5">
        <f>IF((Title_RESULTS!$H$8-Title_RESULTS!$H$7)&lt;=('Sheet3(F_21)'!A25-Title_RESULTS!$H$7),((Title_RESULTS!$C$8*Partcipation!$C$26*8760*Title_RESULTS!$H$21/100000)),0)</f>
        <v>266.1991584852735</v>
      </c>
      <c r="E25" s="5">
        <f>IF($G25=0,0,((Title_RESULTS!$H$14*((1+Title_RESULTS!$H$15/100)^($A25-Title_RESULTS!$H$7))*'EUE_Line Losses'!$B$25*Partcipation!$C$26))/1000)</f>
        <v>2.417867839565876</v>
      </c>
      <c r="F25" s="5">
        <f>IF($G25=0,0,(Title_RESULTS!$H$19/100*((1+Title_RESULTS!$H$20/100)^($A25-Title_RESULTS!$H$7))*$D25*1000)/1000)</f>
        <v>0.6920310530972885</v>
      </c>
      <c r="G25" s="5">
        <f>(+Title_RESULTS!$H$22/100*((1+Title_RESULTS!$H$23/100)^(+'Sheet4(F_22)'!A25-Title_RESULTS!$H$7)))*'Sheet3(F_21)'!D25</f>
        <v>14.886082029087465</v>
      </c>
      <c r="H25" s="5">
        <f>IF($G25=0,0,(($D25))*(Partcipation!$G25/100))</f>
        <v>11.115940498947088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30.19384040312778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152.15971290849916</v>
      </c>
      <c r="D27" s="9">
        <f t="shared" si="1"/>
        <v>1863.3941093969145</v>
      </c>
      <c r="E27" s="9">
        <f t="shared" si="1"/>
        <v>15.780442340138851</v>
      </c>
      <c r="F27" s="9">
        <f t="shared" si="1"/>
        <v>4.516605892300587</v>
      </c>
      <c r="G27" s="9">
        <f t="shared" si="1"/>
        <v>91.56759885423327</v>
      </c>
      <c r="H27" s="9">
        <f t="shared" si="1"/>
        <v>67.57057351725521</v>
      </c>
      <c r="I27" s="9">
        <f t="shared" si="1"/>
        <v>0</v>
      </c>
      <c r="J27" s="9">
        <f t="shared" si="1"/>
        <v>196.45378647791665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101.2265240137413</v>
      </c>
      <c r="D29" s="5"/>
      <c r="E29" s="5">
        <f>NPV(Title_RESULTS!$C$37,E17:E26)+'Sheet3(F_21)'!E16</f>
        <v>10.49817520654838</v>
      </c>
      <c r="F29" s="5">
        <f>NPV(Title_RESULTS!$C$37,F17:F26)+'Sheet3(F_21)'!F16</f>
        <v>3.0047395994530244</v>
      </c>
      <c r="G29" s="5">
        <f>NPV(Title_RESULTS!$C$37,G17:G26)+'Sheet3(F_21)'!G16</f>
        <v>60.57330095999311</v>
      </c>
      <c r="H29" s="5">
        <f>NPV(Title_RESULTS!$C$37,H17:H26)+'Sheet3(F_21)'!H16</f>
        <v>44.68354281020358</v>
      </c>
      <c r="I29" s="5">
        <f>NPV(Title_RESULTS!$C$37,I17:I26)+'Sheet3(F_21)'!I16</f>
        <v>0</v>
      </c>
      <c r="J29" s="5">
        <f>NPV(Title_RESULTS!$C$37,J17:J26)+'Sheet3(F_21)'!J16</f>
        <v>130.61919696953223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Water Cooler</v>
      </c>
      <c r="F2" t="s">
        <v>55</v>
      </c>
    </row>
    <row r="3" spans="6:7" ht="12.75">
      <c r="F3" s="35">
        <f>+Title_RESULTS!I4</f>
        <v>43599.321633217594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288.76582278481015</v>
      </c>
      <c r="C16" s="5">
        <f>$B16*'Sheet2(F_12)'!$E16/100</f>
        <v>8.376258011065381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8.376258011065381</v>
      </c>
      <c r="G16" s="5">
        <f>+$F16*'Sheet2(F_12)'!$I16</f>
        <v>8.376258011065381</v>
      </c>
    </row>
    <row r="17" spans="1:7" ht="12.75">
      <c r="A17">
        <f>+A16+1</f>
        <v>2021</v>
      </c>
      <c r="B17" s="5">
        <f>(+Partcipation!$C16+(Partcipation!$C17-Partcipation!$C16)/2)*Title_RESULTS!$C$10/1000</f>
        <v>866.2974683544305</v>
      </c>
      <c r="C17" s="5">
        <f>$B17*'Sheet2(F_12)'!$E17/100</f>
        <v>24.92438027426161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24.92438027426161</v>
      </c>
      <c r="G17" s="5">
        <f>+$F17*'Sheet2(F_12)'!$I17</f>
        <v>24.92438027426161</v>
      </c>
    </row>
    <row r="18" spans="1:7" ht="12.75">
      <c r="A18">
        <f>+A17+1</f>
        <v>2022</v>
      </c>
      <c r="B18" s="5">
        <f>(+Partcipation!$C17+(Partcipation!$C18-Partcipation!$C17)/2)*Title_RESULTS!$C$10/1000</f>
        <v>1443.8291139240507</v>
      </c>
      <c r="C18" s="5">
        <f>$B18*'Sheet2(F_12)'!$E18/100</f>
        <v>42.87271448663854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42.87271448663854</v>
      </c>
      <c r="G18" s="5">
        <f>+$F18*'Sheet2(F_12)'!$I18</f>
        <v>42.87271448663854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1732.594936708861</v>
      </c>
      <c r="C19" s="5">
        <f>$B19*'Sheet2(F_12)'!$E19/100</f>
        <v>53.557819092827025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53.557819092827025</v>
      </c>
      <c r="G19" s="5">
        <f>+$F19*'Sheet2(F_12)'!$I19</f>
        <v>53.557819092827025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1732.594936708861</v>
      </c>
      <c r="C20" s="5">
        <f>$B20*'Sheet2(F_12)'!$E20/100</f>
        <v>55.66243951171291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55.66243951171291</v>
      </c>
      <c r="G20" s="5">
        <f>+$F20*'Sheet2(F_12)'!$I20</f>
        <v>55.66243951171291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1732.594936708861</v>
      </c>
      <c r="C21" s="5">
        <f>$B21*'Sheet2(F_12)'!$E21/100</f>
        <v>59.764702004219416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59.764702004219416</v>
      </c>
      <c r="G21" s="5">
        <f>+$F21*'Sheet2(F_12)'!$I21</f>
        <v>59.764702004219416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1732.594936708861</v>
      </c>
      <c r="C22" s="5">
        <f>$B22*'Sheet2(F_12)'!$E22/100</f>
        <v>61.68163238396625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61.68163238396625</v>
      </c>
      <c r="G22" s="5">
        <f>+$F22*'Sheet2(F_12)'!$I22</f>
        <v>61.68163238396625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1732.594936708861</v>
      </c>
      <c r="C23" s="5">
        <f>$B23*'Sheet2(F_12)'!$E23/100</f>
        <v>65.53645833333334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65.53645833333334</v>
      </c>
      <c r="G23" s="5">
        <f>+$F23*'Sheet2(F_12)'!$I23</f>
        <v>65.53645833333334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1732.594936708861</v>
      </c>
      <c r="C24" s="5">
        <f>$B24*'Sheet2(F_12)'!$E24/100</f>
        <v>72.62197450485348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72.62197450485348</v>
      </c>
      <c r="G24" s="5">
        <f>+$F24*'Sheet2(F_12)'!$I24</f>
        <v>72.62197450485348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1732.594936708861</v>
      </c>
      <c r="C25" s="5">
        <f>$B25*'Sheet2(F_12)'!$E25/100</f>
        <v>77.80458860759494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77.80458860759494</v>
      </c>
      <c r="G25" s="5">
        <f>+$F25*'Sheet2(F_12)'!$I25</f>
        <v>77.80458860759494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14727.05696202532</v>
      </c>
      <c r="C27" s="5">
        <f t="shared" si="2"/>
        <v>522.802967210473</v>
      </c>
      <c r="D27" s="5">
        <f t="shared" si="2"/>
        <v>0</v>
      </c>
      <c r="E27" s="5">
        <f t="shared" si="2"/>
        <v>0</v>
      </c>
      <c r="F27" s="5">
        <f t="shared" si="2"/>
        <v>522.802967210473</v>
      </c>
      <c r="G27" s="5">
        <f t="shared" si="2"/>
        <v>522.802967210473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363.02350811365875</v>
      </c>
      <c r="D29" s="5"/>
      <c r="E29" s="5">
        <f>NPV(+Title_RESULTS!$C$37,E17:E26)+E16</f>
        <v>0</v>
      </c>
      <c r="F29" s="5">
        <f>NPV(+Title_RESULTS!$C$37,F17:F26)+F16</f>
        <v>363.02350811365875</v>
      </c>
      <c r="G29" s="5">
        <f>NPV(+Title_RESULTS!$C$37,G17:G26)+G16</f>
        <v>363.02350811365875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Water Cooler</v>
      </c>
      <c r="J2" t="s">
        <v>42</v>
      </c>
    </row>
    <row r="3" spans="9:10" ht="12.75">
      <c r="I3" s="4"/>
      <c r="J3" s="35">
        <f>+Title_RESULTS!I4</f>
        <v>43599.321633217594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Water Cooler</v>
      </c>
      <c r="H2" t="s">
        <v>108</v>
      </c>
    </row>
    <row r="3" ht="12.75">
      <c r="H3" s="35">
        <f>+Title_RESULTS!I4</f>
        <v>43599.321633217594</v>
      </c>
    </row>
    <row r="5" spans="3:6" ht="12.75">
      <c r="C5" t="s">
        <v>60</v>
      </c>
      <c r="F5" s="38">
        <f>+'Value of Defferal'!L4</f>
        <v>11.936358400000001</v>
      </c>
    </row>
    <row r="6" spans="3:6" ht="12.75">
      <c r="C6" t="s">
        <v>62</v>
      </c>
      <c r="F6" s="38">
        <f>+'Value of Defferal'!L5</f>
        <v>25.304064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8.376258011065381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1.1795784331403283</v>
      </c>
      <c r="C17" s="5">
        <f>IF(+Title_RESULTS!$H$9&lt;='Sheet4(F_22)'!$A17,(+Title_RESULTS!$H$16*((1+Title_RESULTS!$H$18/100)^('Sheet4(F_22)'!$A17-Title_RESULTS!$H$7))*Title_RESULTS!$C$8*Partcipation!$C$26/1000),0)</f>
        <v>0.9506177786682696</v>
      </c>
      <c r="D17" s="5">
        <f>(+B17+C17)*+Partcipation!$H17</f>
        <v>2.130196211808598</v>
      </c>
      <c r="E17" s="5">
        <f>VLOOKUP(A17,'Value of Defferal'!$I24:$P$58,'Value of Defferal'!$K$13)</f>
        <v>2.5006058937709668</v>
      </c>
      <c r="F17" s="5">
        <f>IF(+'Value of Defferal'!P24=0,0,Title_RESULTS!$H$17*Title_RESULTS!$C$7*Partcipation!$C$26*(1+Title_RESULTS!$H$18/100)^('Sheet4(F_22)'!A17-Title_RESULTS!$H$7))/1000</f>
        <v>3.4836480000000005</v>
      </c>
      <c r="G17" s="5">
        <f>(+E17+F17)*Partcipation!$H17</f>
        <v>5.984253893770967</v>
      </c>
      <c r="H17" s="5">
        <f>+'Sheet5(p_5)'!$F17*'Sheet2(F_12)'!$I17</f>
        <v>24.92438027426161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1.2078883155356963</v>
      </c>
      <c r="C18" s="5">
        <f>IF(+Title_RESULTS!$H$9&lt;='Sheet4(F_22)'!$A18,(+Title_RESULTS!$H$16*((1+Title_RESULTS!$H$18/100)^('Sheet4(F_22)'!$A18-Title_RESULTS!$H$7))*Title_RESULTS!$C$8*Partcipation!$C$26/1000),0)</f>
        <v>0.9734326053563079</v>
      </c>
      <c r="D18" s="5">
        <f>(+B18+C18)*+Partcipation!$H18</f>
        <v>2.1813209208920044</v>
      </c>
      <c r="E18" s="5">
        <f>VLOOKUP(A18,'Value of Defferal'!$I25:$P$58,'Value of Defferal'!$K$13)</f>
        <v>2.56062043522147</v>
      </c>
      <c r="F18" s="5">
        <f>IF(+'Value of Defferal'!P25=0,0,Title_RESULTS!$H$17*Title_RESULTS!$C$7*Partcipation!$C$26*(1+Title_RESULTS!$H$18/100)^('Sheet4(F_22)'!A18-Title_RESULTS!$H$7))/1000</f>
        <v>3.5672555520000007</v>
      </c>
      <c r="G18" s="5">
        <f>(+E18+F18)*Partcipation!$H18</f>
        <v>6.12787598722147</v>
      </c>
      <c r="H18" s="5">
        <f>+'Sheet5(p_5)'!$F18*'Sheet2(F_12)'!$I18</f>
        <v>42.87271448663854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1.236877635108553</v>
      </c>
      <c r="C19" s="5">
        <f>IF(+Title_RESULTS!$H$9&lt;='Sheet4(F_22)'!$A19,(+Title_RESULTS!$H$16*((1+Title_RESULTS!$H$18/100)^('Sheet4(F_22)'!$A19-Title_RESULTS!$H$7))*Title_RESULTS!$C$8*Partcipation!$C$26/1000),0)</f>
        <v>0.9967949878848595</v>
      </c>
      <c r="D19" s="5">
        <f>(+B19+C19)*+Partcipation!$H19</f>
        <v>2.2336726229934127</v>
      </c>
      <c r="E19" s="5">
        <f>VLOOKUP(A19,'Value of Defferal'!$I26:$P$58,'Value of Defferal'!$K$13)</f>
        <v>2.6220753256667853</v>
      </c>
      <c r="F19" s="5">
        <f>IF(+'Value of Defferal'!P26=0,0,Title_RESULTS!$H$17*Title_RESULTS!$C$7*Partcipation!$C$26*(1+Title_RESULTS!$H$18/100)^('Sheet4(F_22)'!A19-Title_RESULTS!$H$7))/1000</f>
        <v>3.6528696852480005</v>
      </c>
      <c r="G19" s="5">
        <f>(+E19+F19)*Partcipation!$H19</f>
        <v>6.274945010914786</v>
      </c>
      <c r="H19" s="5">
        <f>+'Sheet5(p_5)'!$F19*'Sheet2(F_12)'!$I19</f>
        <v>53.557819092827025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1.2665626983511582</v>
      </c>
      <c r="C20" s="5">
        <f>IF(+Title_RESULTS!$H$9&lt;='Sheet4(F_22)'!$A20,(+Title_RESULTS!$H$16*((1+Title_RESULTS!$H$18/100)^('Sheet4(F_22)'!$A20-Title_RESULTS!$H$7))*Title_RESULTS!$C$8*Partcipation!$C$26/1000),0)</f>
        <v>1.0207180675940961</v>
      </c>
      <c r="D20" s="5">
        <f>(+B20+C20)*+Partcipation!$H20</f>
        <v>2.2872807659452543</v>
      </c>
      <c r="E20" s="5">
        <f>VLOOKUP(A20,'Value of Defferal'!$I27:$P$58,'Value of Defferal'!$K$13)</f>
        <v>2.6850051334827882</v>
      </c>
      <c r="F20" s="5">
        <f>IF(+'Value of Defferal'!P27=0,0,Title_RESULTS!$H$17*Title_RESULTS!$C$7*Partcipation!$C$26*(1+Title_RESULTS!$H$18/100)^('Sheet4(F_22)'!A20-Title_RESULTS!$H$7))/1000</f>
        <v>3.7405385576939527</v>
      </c>
      <c r="G20" s="5">
        <f>(+E20+F20)*Partcipation!$H20</f>
        <v>6.425543691176741</v>
      </c>
      <c r="H20" s="5">
        <f>+'Sheet5(p_5)'!$F20*'Sheet2(F_12)'!$I20</f>
        <v>55.66243951171291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1.296960203111586</v>
      </c>
      <c r="C21" s="5">
        <f>IF(+Title_RESULTS!$H$9&lt;='Sheet4(F_22)'!$A21,(+Title_RESULTS!$H$16*((1+Title_RESULTS!$H$18/100)^('Sheet4(F_22)'!$A21-Title_RESULTS!$H$7))*Title_RESULTS!$C$8*Partcipation!$C$26/1000),0)</f>
        <v>1.0452153012163548</v>
      </c>
      <c r="D21" s="5">
        <f>(+B21+C21)*+Partcipation!$H21</f>
        <v>2.342175504327941</v>
      </c>
      <c r="E21" s="5">
        <f>VLOOKUP(A21,'Value of Defferal'!$I28:$P$58,'Value of Defferal'!$K$13)</f>
        <v>2.749445256686375</v>
      </c>
      <c r="F21" s="5">
        <f>IF(+'Value of Defferal'!P28=0,0,Title_RESULTS!$H$17*Title_RESULTS!$C$7*Partcipation!$C$26*(1+Title_RESULTS!$H$18/100)^('Sheet4(F_22)'!A21-Title_RESULTS!$H$7))/1000</f>
        <v>3.8303114830786074</v>
      </c>
      <c r="G21" s="5">
        <f>(+E21+F21)*Partcipation!$H21</f>
        <v>6.579756739764982</v>
      </c>
      <c r="H21" s="5">
        <f>+'Sheet5(p_5)'!$F21*'Sheet2(F_12)'!$I21</f>
        <v>59.764702004219416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1.3280872479862642</v>
      </c>
      <c r="C22" s="5">
        <f>IF(+Title_RESULTS!$H$9&lt;='Sheet4(F_22)'!$A22,(+Title_RESULTS!$H$16*((1+Title_RESULTS!$H$18/100)^('Sheet4(F_22)'!$A22-Title_RESULTS!$H$7))*Title_RESULTS!$C$8*Partcipation!$C$26/1000),0)</f>
        <v>1.0703004684455468</v>
      </c>
      <c r="D22" s="5">
        <f>(+B22+C22)*+Partcipation!$H22</f>
        <v>2.3983877164318113</v>
      </c>
      <c r="E22" s="5">
        <f>VLOOKUP(A22,'Value of Defferal'!$I29:$P$58,'Value of Defferal'!$K$13)</f>
        <v>2.8154319428468484</v>
      </c>
      <c r="F22" s="5">
        <f>IF(+'Value of Defferal'!P29=0,0,Title_RESULTS!$H$17*Title_RESULTS!$C$7*Partcipation!$C$26*(1+Title_RESULTS!$H$18/100)^('Sheet4(F_22)'!A22-Title_RESULTS!$H$7))/1000</f>
        <v>3.9222389586724935</v>
      </c>
      <c r="G22" s="5">
        <f>(+E22+F22)*Partcipation!$H22</f>
        <v>6.737670901519342</v>
      </c>
      <c r="H22" s="5">
        <f>+'Sheet5(p_5)'!$F22*'Sheet2(F_12)'!$I22</f>
        <v>61.68163238396625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1.3599613419379344</v>
      </c>
      <c r="C23" s="5">
        <f>IF(+Title_RESULTS!$H$9&lt;='Sheet4(F_22)'!$A23,(+Title_RESULTS!$H$16*((1+Title_RESULTS!$H$18/100)^('Sheet4(F_22)'!$A23-Title_RESULTS!$H$7))*Title_RESULTS!$C$8*Partcipation!$C$26/1000),0)</f>
        <v>1.0959876796882402</v>
      </c>
      <c r="D23" s="5">
        <f>(+B23+C23)*+Partcipation!$H23</f>
        <v>2.4559490216261746</v>
      </c>
      <c r="E23" s="5">
        <f>VLOOKUP(A23,'Value of Defferal'!$I30:$P$58,'Value of Defferal'!$K$13)</f>
        <v>2.8830023094751724</v>
      </c>
      <c r="F23" s="5">
        <f>IF(+'Value of Defferal'!P30=0,0,Title_RESULTS!$H$17*Title_RESULTS!$C$7*Partcipation!$C$26*(1+Title_RESULTS!$H$18/100)^('Sheet4(F_22)'!A23-Title_RESULTS!$H$7))/1000</f>
        <v>4.016372693680634</v>
      </c>
      <c r="G23" s="5">
        <f>(+E23+F23)*Partcipation!$H23</f>
        <v>6.899375003155807</v>
      </c>
      <c r="H23" s="5">
        <f>+'Sheet5(p_5)'!$F23*'Sheet2(F_12)'!$I23</f>
        <v>65.53645833333334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1.3926004141444448</v>
      </c>
      <c r="C24" s="5">
        <f>IF(+Title_RESULTS!$H$9&lt;='Sheet4(F_22)'!$A24,(+Title_RESULTS!$H$16*((1+Title_RESULTS!$H$18/100)^('Sheet4(F_22)'!$A24-Title_RESULTS!$H$7))*Title_RESULTS!$C$8*Partcipation!$C$26/1000),0)</f>
        <v>1.1222913840007576</v>
      </c>
      <c r="D24" s="5">
        <f>(+B24+C24)*+Partcipation!$H24</f>
        <v>2.5148917981452024</v>
      </c>
      <c r="E24" s="5">
        <f>VLOOKUP(A24,'Value of Defferal'!$I31:$P$58,'Value of Defferal'!$K$13)</f>
        <v>2.9521943649025766</v>
      </c>
      <c r="F24" s="5">
        <f>IF(+'Value of Defferal'!P31=0,0,Title_RESULTS!$H$17*Title_RESULTS!$C$7*Partcipation!$C$26*(1+Title_RESULTS!$H$18/100)^('Sheet4(F_22)'!A24-Title_RESULTS!$H$7))/1000</f>
        <v>4.112765638328969</v>
      </c>
      <c r="G24" s="5">
        <f>(+E24+F24)*Partcipation!$H24</f>
        <v>7.064960003231546</v>
      </c>
      <c r="H24" s="5">
        <f>+'Sheet5(p_5)'!$F24*'Sheet2(F_12)'!$I24</f>
        <v>72.62197450485348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1.4260228240839117</v>
      </c>
      <c r="C25" s="5">
        <f>IF(+Title_RESULTS!$H$9&lt;='Sheet4(F_22)'!$A25,(+Title_RESULTS!$H$16*((1+Title_RESULTS!$H$18/100)^('Sheet4(F_22)'!$A25-Title_RESULTS!$H$7))*Title_RESULTS!$C$8*Partcipation!$C$26/1000),0)</f>
        <v>1.1492263772167757</v>
      </c>
      <c r="D25" s="5">
        <f>(+B25+C25)*+Partcipation!$H25</f>
        <v>2.5752492013006876</v>
      </c>
      <c r="E25" s="5">
        <f>VLOOKUP(A25,'Value of Defferal'!$I32:$P$58,'Value of Defferal'!$K$13)</f>
        <v>3.0230470296602387</v>
      </c>
      <c r="F25" s="5">
        <f>IF(+'Value of Defferal'!P32=0,0,Title_RESULTS!$H$17*Title_RESULTS!$C$7*Partcipation!$C$26*(1+Title_RESULTS!$H$18/100)^('Sheet4(F_22)'!A25-Title_RESULTS!$H$7))/1000</f>
        <v>4.211472013648864</v>
      </c>
      <c r="G25" s="5">
        <f>(+E25+F25)*Partcipation!$H25</f>
        <v>7.234519043309103</v>
      </c>
      <c r="H25" s="5">
        <f>+'Sheet5(p_5)'!$F25*'Sheet2(F_12)'!$I25</f>
        <v>77.80458860759494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11.694539113399877</v>
      </c>
      <c r="C27" s="5">
        <f t="shared" si="1"/>
        <v>9.424584650071209</v>
      </c>
      <c r="D27" s="5">
        <f t="shared" si="1"/>
        <v>21.119123763471087</v>
      </c>
      <c r="E27" s="5">
        <f t="shared" si="1"/>
        <v>24.791427691713224</v>
      </c>
      <c r="F27" s="5">
        <f t="shared" si="1"/>
        <v>34.53747258235152</v>
      </c>
      <c r="G27" s="5">
        <f t="shared" si="1"/>
        <v>59.32890027406475</v>
      </c>
      <c r="H27" s="5">
        <f t="shared" si="1"/>
        <v>522.802967210473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8.346695786282115</v>
      </c>
      <c r="C29" s="5">
        <f>NPV(Title_RESULTS!$C$37,'Sheet4(F_22)'!C17:C26)+'Sheet4(F_22)'!C16</f>
        <v>6.726570429447128</v>
      </c>
      <c r="D29" s="5">
        <f>NPV(Title_RESULTS!$C$37,'Sheet4(F_22)'!D17:D26)+'Sheet4(F_22)'!D16</f>
        <v>15.073266215729241</v>
      </c>
      <c r="E29" s="5">
        <f>NPV(Title_RESULTS!$C$37,'Sheet4(F_22)'!E17:E26)+'Sheet4(F_22)'!E16</f>
        <v>17.694284746394086</v>
      </c>
      <c r="F29" s="5">
        <f>NPV(Title_RESULTS!$C$37,'Sheet4(F_22)'!F17:F26)+'Sheet4(F_22)'!F16</f>
        <v>24.65028968449357</v>
      </c>
      <c r="G29" s="5">
        <f>NPV(Title_RESULTS!$C$37,'Sheet4(F_22)'!G17:G26)+'Sheet4(F_22)'!G16</f>
        <v>42.344574430887654</v>
      </c>
      <c r="H29" s="5">
        <f>NPV(Title_RESULTS!$C$37,'Sheet4(F_22)'!H17:H26)+'Sheet4(F_22)'!H16</f>
        <v>363.02350811365875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Water Cooler</v>
      </c>
      <c r="P2" t="s">
        <v>121</v>
      </c>
    </row>
    <row r="3" ht="12.75">
      <c r="P3" s="35">
        <f>+Title_RESULTS!I4</f>
        <v>43599.321633217594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12.26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12.26</v>
      </c>
      <c r="H16" s="5">
        <f>IF(Partcipation!$B17&lt;Partcipation!$B16,0,IF(Partcipation!$B16=0,0,(Partcipation!$B16-Partcipation!$B15)*(+Title_RESULTS!$C$29*(1+Title_RESULTS!$C$30/100)^(+'Sheet8(F_24)'!$A16-Title_RESULTS!$H$7))/1000))</f>
        <v>85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85</v>
      </c>
      <c r="K16" s="5">
        <f>(+Partcipation!$B15+(Partcipation!$B16-Partcipation!$B15)/2)*(+Title_RESULTS!$C$14)/1000</f>
        <v>273.75</v>
      </c>
      <c r="L16" s="5">
        <f>($K16)*Partcipation!$E73*Title_RESULTS!$C$12/100</f>
        <v>6.664751832525099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11.030475</v>
      </c>
      <c r="N16" s="5">
        <f>'Sheet2(F_12)'!$I16*('Sheet6(p_6)'!$L16+'Sheet6(p_6)'!$M16)</f>
        <v>17.695226832525098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12.26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12.26</v>
      </c>
      <c r="H17" s="5">
        <f>IF(Partcipation!$B18&lt;Partcipation!$B17,0,IF(Partcipation!$B17=0,0,(Partcipation!$B17-Partcipation!$B16)*(+Title_RESULTS!$C$29*(1+Title_RESULTS!$C$30/100)^(+'Sheet8(F_24)'!$A17-Title_RESULTS!$H$7))/1000))</f>
        <v>86.955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86.955</v>
      </c>
      <c r="K17" s="5">
        <f>(+Partcipation!$B16+(Partcipation!$B17-Partcipation!$B16)/2)*(+Title_RESULTS!$C$14)/1000</f>
        <v>821.25</v>
      </c>
      <c r="L17" s="5">
        <f>($K17)*Partcipation!$E74*Title_RESULTS!$C$12/100</f>
        <v>20.94585177268584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33.42233925</v>
      </c>
      <c r="N17" s="5">
        <f>'Sheet2(F_12)'!$I17*('Sheet6(p_6)'!$L17+'Sheet6(p_6)'!$M17)</f>
        <v>54.36819102268584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12.26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12.26</v>
      </c>
      <c r="H18" s="5">
        <f>IF(Partcipation!$B19&lt;Partcipation!$B18,0,IF(Partcipation!$B18=0,0,(Partcipation!$B18-Partcipation!$B17)*(+Title_RESULTS!$C$29*(1+Title_RESULTS!$C$30/100)^(+'Sheet8(F_24)'!$A18-Title_RESULTS!$H$7))/1000))</f>
        <v>88.95496499999999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88.95496499999999</v>
      </c>
      <c r="K18" s="5">
        <f>(+Partcipation!$B17+(Partcipation!$B18-Partcipation!$B17)/2)*(+Title_RESULTS!$C$14)/1000</f>
        <v>1368.75</v>
      </c>
      <c r="L18" s="5">
        <f>($K18)*Partcipation!$E75*Title_RESULTS!$C$12/100</f>
        <v>36.195667252324455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56.2609377375</v>
      </c>
      <c r="N18" s="5">
        <f>'Sheet2(F_12)'!$I18*('Sheet6(p_6)'!$L18+'Sheet6(p_6)'!$M18)</f>
        <v>92.45660498982446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1642.5</v>
      </c>
      <c r="L19" s="5">
        <f>($K19)*Partcipation!$E76*Title_RESULTS!$C$12/100</f>
        <v>43.07874876796615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68.18825653785</v>
      </c>
      <c r="N19" s="5">
        <f>'Sheet2(F_12)'!$I19*('Sheet6(p_6)'!$L19+'Sheet6(p_6)'!$M19)</f>
        <v>111.26700530581614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1642.5</v>
      </c>
      <c r="L20" s="5">
        <f>($K20)*Partcipation!$E77*Title_RESULTS!$C$12/100</f>
        <v>45.52216391954719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68.8701391032285</v>
      </c>
      <c r="N20" s="5">
        <f>'Sheet2(F_12)'!$I20*('Sheet6(p_6)'!$L20+'Sheet6(p_6)'!$M20)</f>
        <v>114.39230302277568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1642.5</v>
      </c>
      <c r="L21" s="5">
        <f>($K21)*Partcipation!$E78*Title_RESULTS!$C$12/100</f>
        <v>48.13507589974067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69.55884049426078</v>
      </c>
      <c r="N21" s="5">
        <f>'Sheet2(F_12)'!$I21*('Sheet6(p_6)'!$L21+'Sheet6(p_6)'!$M21)</f>
        <v>117.69391639400145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1642.5</v>
      </c>
      <c r="L22" s="5">
        <f>($K22)*Partcipation!$E79*Title_RESULTS!$C$12/100</f>
        <v>50.311463234119984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70.2544288992034</v>
      </c>
      <c r="N22" s="5">
        <f>'Sheet2(F_12)'!$I22*('Sheet6(p_6)'!$L22+'Sheet6(p_6)'!$M22)</f>
        <v>120.56589213332339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1642.5</v>
      </c>
      <c r="L23" s="5">
        <f>($K23)*Partcipation!$E80*Title_RESULTS!$C$12/100</f>
        <v>53.27385088714025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70.95697318819542</v>
      </c>
      <c r="N23" s="5">
        <f>'Sheet2(F_12)'!$I23*('Sheet6(p_6)'!$L23+'Sheet6(p_6)'!$M23)</f>
        <v>124.23082407533568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1642.5</v>
      </c>
      <c r="L24" s="5">
        <f>($K24)*Partcipation!$E81*Title_RESULTS!$C$12/100</f>
        <v>58.318624133889955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71.66654292007738</v>
      </c>
      <c r="N24" s="5">
        <f>'Sheet2(F_12)'!$I24*('Sheet6(p_6)'!$L24+'Sheet6(p_6)'!$M24)</f>
        <v>129.98516705396733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1642.5</v>
      </c>
      <c r="L25" s="5">
        <f>($K25)*Partcipation!$E82*Title_RESULTS!$C$12/100</f>
        <v>61.28982671527235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72.38320834927816</v>
      </c>
      <c r="N25" s="5">
        <f>'Sheet2(F_12)'!$I25*('Sheet6(p_6)'!$L25+'Sheet6(p_6)'!$M25)</f>
        <v>133.6730350645505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122.90304</v>
      </c>
      <c r="C27" s="5">
        <f t="shared" si="4"/>
        <v>0</v>
      </c>
      <c r="D27" s="5">
        <f t="shared" si="4"/>
        <v>122.90304</v>
      </c>
      <c r="E27" s="5">
        <f t="shared" si="4"/>
        <v>36.78</v>
      </c>
      <c r="F27" s="5">
        <f t="shared" si="4"/>
        <v>0</v>
      </c>
      <c r="G27" s="5">
        <f t="shared" si="4"/>
        <v>36.78</v>
      </c>
      <c r="H27" s="5">
        <f t="shared" si="4"/>
        <v>260.90996499999994</v>
      </c>
      <c r="I27" s="5">
        <f t="shared" si="4"/>
        <v>0</v>
      </c>
      <c r="J27" s="5">
        <f t="shared" si="4"/>
        <v>260.90996499999994</v>
      </c>
      <c r="K27" s="5">
        <f t="shared" si="4"/>
        <v>13961.25</v>
      </c>
      <c r="L27" s="5">
        <f t="shared" si="4"/>
        <v>423.73602441521194</v>
      </c>
      <c r="M27" s="5">
        <f t="shared" si="4"/>
        <v>592.5921414795937</v>
      </c>
      <c r="N27" s="5">
        <f t="shared" si="4"/>
        <v>1016.3281658948056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114.83173044385765</v>
      </c>
      <c r="C29" s="5">
        <f>NPV(Title_RESULTS!$C$37,'Sheet6(p_6)'!C17:C26)+'Sheet6(p_6)'!C16</f>
        <v>0</v>
      </c>
      <c r="D29" s="5">
        <f>NPV(Title_RESULTS!$C$37,'Sheet6(p_6)'!D17:D26)+'Sheet6(p_6)'!D16</f>
        <v>114.83173044385765</v>
      </c>
      <c r="E29" s="5">
        <f>NPV(Title_RESULTS!$C$37,'Sheet6(p_6)'!E17:E26)+'Sheet6(p_6)'!E16</f>
        <v>34.40174788793537</v>
      </c>
      <c r="F29" s="5">
        <f>NPV(Title_RESULTS!$C$37,'Sheet6(p_6)'!F17:F26)+'Sheet6(p_6)'!F16</f>
        <v>0</v>
      </c>
      <c r="G29" s="5">
        <f>NPV(Title_RESULTS!$C$37,'Sheet6(p_6)'!G17:G26)+'Sheet6(p_6)'!G16</f>
        <v>34.40174788793537</v>
      </c>
      <c r="H29" s="5">
        <f>NPV(Title_RESULTS!$C$37,'Sheet6(p_6)'!H17:H26)+'Sheet6(p_6)'!H16</f>
        <v>243.78630031498693</v>
      </c>
      <c r="I29" s="5">
        <f>NPV(Title_RESULTS!$C$37,'Sheet6(p_6)'!I17:I26)+'Sheet6(p_6)'!I16</f>
        <v>0</v>
      </c>
      <c r="J29" s="5">
        <f>NPV(Title_RESULTS!$C$37,'Sheet6(p_6)'!J17:J26)+'Sheet6(p_6)'!J16</f>
        <v>243.78630031498693</v>
      </c>
      <c r="K29" s="5"/>
      <c r="L29" s="5">
        <f>NPV(Title_RESULTS!$C$37,'Sheet6(p_6)'!L17:L26)+'Sheet6(p_6)'!L16</f>
        <v>294.92766998054833</v>
      </c>
      <c r="M29" s="5">
        <f>NPV(Title_RESULTS!$C$37,'Sheet6(p_6)'!M17:M26)+'Sheet6(p_6)'!M16</f>
        <v>419.77224454427926</v>
      </c>
      <c r="N29" s="5">
        <f>NPV(Title_RESULTS!$C$37,'Sheet6(p_6)'!N17:N26)+'Sheet6(p_6)'!N16</f>
        <v>714.6999145248275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Water Cooler</v>
      </c>
      <c r="M2" t="s">
        <v>55</v>
      </c>
    </row>
    <row r="3" ht="12.75">
      <c r="M3" s="35">
        <f>+Title_RESULTS!I4</f>
        <v>43599.321633217594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85</v>
      </c>
      <c r="E16" s="5">
        <f>IF(A16&gt;=(Title_RESULTS!$H$7+Title_RESULTS!$C$17),0,(+'f-11B'!$N15))</f>
        <v>0</v>
      </c>
      <c r="F16" s="5">
        <f>IF(A16&gt;=(Title_RESULTS!$H$7+Title_RESULTS!$C$17),0,(SUM(B16:E16)))</f>
        <v>125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8.376258011065381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8.376258011065381</v>
      </c>
      <c r="L16" s="23">
        <f>IF(A16&gt;=(Title_RESULTS!$H$7+Title_RESULTS!$C$17),0,(+$K16-$F16))</f>
        <v>-116.62374198893463</v>
      </c>
      <c r="M16" s="23">
        <f>IF(A16&gt;=(Title_RESULTS!$H$7+Title_RESULTS!$C$17),0,(+$L16/(1+Title_RESULTS!$C$37)^('Sheet7(F_23)'!$A16-Title_RESULTS!$H$7)))</f>
        <v>-116.62374198893463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86.955</v>
      </c>
      <c r="E17" s="5">
        <f>IF(A17&gt;=(Title_RESULTS!$H$7+Title_RESULTS!$C$17),0,(+'f-11B'!$N16))</f>
        <v>0</v>
      </c>
      <c r="F17" s="5">
        <f>IF(A17&gt;=(Title_RESULTS!$H$7+Title_RESULTS!$C$17),0,(SUM(B17:E17)))</f>
        <v>127.91499999999999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8.114450105579564</v>
      </c>
      <c r="I17" s="5">
        <f>IF(A17&gt;=(Title_RESULTS!$H$7+Title_RESULTS!$C$17),0,(+'Sheet4(F_22)'!$H17))</f>
        <v>24.92438027426161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33.03883037984117</v>
      </c>
      <c r="L17" s="23">
        <f>IF(A17&gt;=(Title_RESULTS!$H$7+Title_RESULTS!$C$17),0,(+$K17-$F17))</f>
        <v>-94.87616962015882</v>
      </c>
      <c r="M17" s="23">
        <f>IF(A17&gt;=(Title_RESULTS!$H$7+Title_RESULTS!$C$17),0,(+M16+$L17/(1+Title_RESULTS!$C$37)^('Sheet7(F_23)'!$A17-Title_RESULTS!$H$7)))</f>
        <v>-205.22681410339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88.95496499999999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130.89800499999998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8.309196908113474</v>
      </c>
      <c r="I18" s="5">
        <f>IF(A18&gt;=(Title_RESULTS!$H$7+Title_RESULTS!$C$17),0,(+'Sheet4(F_22)'!$H18))</f>
        <v>42.87271448663854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51.18191139475202</v>
      </c>
      <c r="L18" s="23">
        <f>IF(A18&gt;=(Title_RESULTS!$H$7+Title_RESULTS!$C$17),0,(+$K18-$F18))</f>
        <v>-79.71609360524796</v>
      </c>
      <c r="M18" s="23">
        <f>IF(A18&gt;=(Title_RESULTS!$H$7+Title_RESULTS!$C$17),0,(+M17+$L18/(1+Title_RESULTS!$C$37)^('Sheet7(F_23)'!$A18-Title_RESULTS!$H$7)))</f>
        <v>-274.7499388486815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25.87813862947735</v>
      </c>
      <c r="H19" s="5">
        <f>IF(A19&gt;=(Title_RESULTS!$H$7+Title_RESULTS!$C$17),0,(+'Sheet4(F_22)'!$D19+'Sheet4(F_22)'!$G19))</f>
        <v>8.508617633908198</v>
      </c>
      <c r="I19" s="5">
        <f>IF(A19&gt;=(Title_RESULTS!$H$7+Title_RESULTS!$C$17),0,(+'Sheet4(F_22)'!$H19))</f>
        <v>53.557819092827025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87.94457535621257</v>
      </c>
      <c r="L19" s="23">
        <f>IF(A19&gt;=(Title_RESULTS!$H$7+Title_RESULTS!$C$17),0,(+$K19-$F19))</f>
        <v>87.94457535621257</v>
      </c>
      <c r="M19" s="23">
        <f>IF(A19&gt;=(Title_RESULTS!$H$7+Title_RESULTS!$C$17),0,(+M18+$L19/(1+Title_RESULTS!$C$37)^('Sheet7(F_23)'!$A19-Title_RESULTS!$H$7)))</f>
        <v>-203.1217502096106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26.568162855195222</v>
      </c>
      <c r="H20" s="5">
        <f>IF(A20&gt;=(Title_RESULTS!$H$7+Title_RESULTS!$C$17),0,(+'Sheet4(F_22)'!$D20+'Sheet4(F_22)'!$G20))</f>
        <v>8.712824457121995</v>
      </c>
      <c r="I20" s="5">
        <f>IF(A20&gt;=(Title_RESULTS!$H$7+Title_RESULTS!$C$17),0,(+'Sheet4(F_22)'!$H20))</f>
        <v>55.66243951171291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90.94342682403013</v>
      </c>
      <c r="L20" s="23">
        <f>IF(A20&gt;=(Title_RESULTS!$H$7+Title_RESULTS!$C$17),0,(+$K20-$F20))</f>
        <v>90.94342682403013</v>
      </c>
      <c r="M20" s="23">
        <f>IF(A20&gt;=(Title_RESULTS!$H$7+Title_RESULTS!$C$17),0,(+M19+$L20/(1+Title_RESULTS!$C$37)^('Sheet7(F_23)'!$A20-Title_RESULTS!$H$7)))</f>
        <v>-133.94855056170758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27.323047120119575</v>
      </c>
      <c r="H21" s="5">
        <f>IF(A21&gt;=(Title_RESULTS!$H$7+Title_RESULTS!$C$17),0,(+'Sheet4(F_22)'!$D21+'Sheet4(F_22)'!$G21))</f>
        <v>8.921932244092924</v>
      </c>
      <c r="I21" s="5">
        <f>IF(A21&gt;=(Title_RESULTS!$H$7+Title_RESULTS!$C$17),0,(+'Sheet4(F_22)'!$H21))</f>
        <v>59.764702004219416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96.00968136843191</v>
      </c>
      <c r="L21" s="23">
        <f>IF(A21&gt;=(Title_RESULTS!$H$7+Title_RESULTS!$C$17),0,(+$K21-$F21))</f>
        <v>96.00968136843191</v>
      </c>
      <c r="M21" s="23">
        <f>IF(A21&gt;=(Title_RESULTS!$H$7+Title_RESULTS!$C$17),0,(+M20+$L21/(1+Title_RESULTS!$C$37)^('Sheet7(F_23)'!$A21-Title_RESULTS!$H$7)))</f>
        <v>-65.75030288355514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28.168469351993146</v>
      </c>
      <c r="H22" s="5">
        <f>IF(A22&gt;=(Title_RESULTS!$H$7+Title_RESULTS!$C$17),0,(+'Sheet4(F_22)'!$D22+'Sheet4(F_22)'!$G22))</f>
        <v>9.136058617951154</v>
      </c>
      <c r="I22" s="5">
        <f>IF(A22&gt;=(Title_RESULTS!$H$7+Title_RESULTS!$C$17),0,(+'Sheet4(F_22)'!$H22))</f>
        <v>61.68163238396625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98.98616035391055</v>
      </c>
      <c r="L22" s="23">
        <f>IF(A22&gt;=(Title_RESULTS!$H$7+Title_RESULTS!$C$17),0,(+$K22-$F22))</f>
        <v>98.98616035391055</v>
      </c>
      <c r="M22" s="23">
        <f>IF(A22&gt;=(Title_RESULTS!$H$7+Title_RESULTS!$C$17),0,(+M21+$L22/(1+Title_RESULTS!$C$37)^('Sheet7(F_23)'!$A22-Title_RESULTS!$H$7)))</f>
        <v>-0.0867612255476331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28.926749579362962</v>
      </c>
      <c r="H23" s="5">
        <f>IF(A23&gt;=(Title_RESULTS!$H$7+Title_RESULTS!$C$17),0,(+'Sheet4(F_22)'!$D23+'Sheet4(F_22)'!$G23))</f>
        <v>9.355324024781982</v>
      </c>
      <c r="I23" s="5">
        <f>IF(A23&gt;=(Title_RESULTS!$H$7+Title_RESULTS!$C$17),0,(+'Sheet4(F_22)'!$H23))</f>
        <v>65.53645833333334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103.81853193747828</v>
      </c>
      <c r="L23" s="23">
        <f>IF(A23&gt;=(Title_RESULTS!$H$7+Title_RESULTS!$C$17),0,(+$K23-$F23))</f>
        <v>103.81853193747828</v>
      </c>
      <c r="M23" s="23">
        <f>IF(A23&gt;=(Title_RESULTS!$H$7+Title_RESULTS!$C$17),0,(+M22+$L23/(1+Title_RESULTS!$C$37)^('Sheet7(F_23)'!$A23-Title_RESULTS!$H$7)))</f>
        <v>64.22884177287429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29.39537853864062</v>
      </c>
      <c r="H24" s="5">
        <f>IF(A24&gt;=(Title_RESULTS!$H$7+Title_RESULTS!$C$17),0,(+'Sheet4(F_22)'!$D24+'Sheet4(F_22)'!$G24))</f>
        <v>9.579851801376748</v>
      </c>
      <c r="I24" s="5">
        <f>IF(A24&gt;=(Title_RESULTS!$H$7+Title_RESULTS!$C$17),0,(+'Sheet4(F_22)'!$H24))</f>
        <v>72.62197450485348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111.59720484487084</v>
      </c>
      <c r="L24" s="23">
        <f>IF(A24&gt;=(Title_RESULTS!$H$7+Title_RESULTS!$C$17),0,(+$K24-$F24))</f>
        <v>111.59720484487084</v>
      </c>
      <c r="M24" s="23">
        <f>IF(A24&gt;=(Title_RESULTS!$H$7+Title_RESULTS!$C$17),0,(+M23+$L24/(1+Title_RESULTS!$C$37)^('Sheet7(F_23)'!$A24-Title_RESULTS!$H$7)))</f>
        <v>128.79224534741525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30.19384040312778</v>
      </c>
      <c r="H25" s="5">
        <f>IF(A25&gt;=(Title_RESULTS!$H$7+Title_RESULTS!$C$17),0,(+'Sheet4(F_22)'!$D25+'Sheet4(F_22)'!$G25))</f>
        <v>9.80976824460979</v>
      </c>
      <c r="I25" s="5">
        <f>IF(A25&gt;=(Title_RESULTS!$H$7+Title_RESULTS!$C$17),0,(+'Sheet4(F_22)'!$H25))</f>
        <v>77.80458860759494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117.80819725533252</v>
      </c>
      <c r="L25" s="23">
        <f>IF(A25&gt;=(Title_RESULTS!$H$7+Title_RESULTS!$C$17),0,(+$K25-$F25))</f>
        <v>117.80819725533252</v>
      </c>
      <c r="M25" s="23">
        <f>IF(A25&gt;=(Title_RESULTS!$H$7+Title_RESULTS!$C$17),0,(+M24+$L25/(1+Title_RESULTS!$C$37)^('Sheet7(F_23)'!$A25-Title_RESULTS!$H$7)))</f>
        <v>192.44251497096326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122.90304</v>
      </c>
      <c r="D27" s="5">
        <f t="shared" si="1"/>
        <v>260.90996499999994</v>
      </c>
      <c r="E27" s="5">
        <f t="shared" si="1"/>
        <v>0</v>
      </c>
      <c r="F27" s="5">
        <f t="shared" si="1"/>
        <v>383.813005</v>
      </c>
      <c r="G27" s="5">
        <f t="shared" si="1"/>
        <v>196.45378647791665</v>
      </c>
      <c r="H27" s="5">
        <f t="shared" si="1"/>
        <v>80.44802403753582</v>
      </c>
      <c r="I27" s="5">
        <f t="shared" si="1"/>
        <v>522.802967210473</v>
      </c>
      <c r="J27" s="5">
        <f t="shared" si="1"/>
        <v>0</v>
      </c>
      <c r="K27" s="5">
        <f t="shared" si="1"/>
        <v>799.7047777259253</v>
      </c>
      <c r="L27" s="5">
        <f t="shared" si="1"/>
        <v>415.8917727259254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114.83173044385765</v>
      </c>
      <c r="D29" s="5">
        <f>NPV(Title_RESULTS!$C$37,'Sheet7(F_23)'!D17:D26)+'Sheet7(F_23)'!D16</f>
        <v>243.78630031498693</v>
      </c>
      <c r="E29" s="5">
        <f>NPV(Title_RESULTS!$C$37,'Sheet7(F_23)'!E17:E26)+'Sheet7(F_23)'!E16</f>
        <v>0</v>
      </c>
      <c r="F29" s="5">
        <f>NPV(Title_RESULTS!$C$37,'Sheet7(F_23)'!F17:F26)+'Sheet7(F_23)'!F16</f>
        <v>358.6180307588446</v>
      </c>
      <c r="G29" s="5">
        <f>NPV(Title_RESULTS!$C$37,'Sheet7(F_23)'!G17:G26)+'Sheet7(F_23)'!G16</f>
        <v>130.61919696953223</v>
      </c>
      <c r="H29" s="5">
        <f>NPV(Title_RESULTS!$C$37,'Sheet7(F_23)'!H17:H26)+'Sheet7(F_23)'!H16</f>
        <v>57.417840646616895</v>
      </c>
      <c r="I29" s="5">
        <f>NPV(Title_RESULTS!$C$37,'Sheet7(F_23)'!I17:I26)+'Sheet7(F_23)'!I16</f>
        <v>363.02350811365875</v>
      </c>
      <c r="J29" s="5">
        <f>NPV(Title_RESULTS!$C$37,'Sheet7(F_23)'!J17:J26)+'Sheet7(F_23)'!J16</f>
        <v>0</v>
      </c>
      <c r="K29" s="5">
        <f>NPV(Title_RESULTS!$C$37,'Sheet7(F_23)'!K17:K26)+'Sheet7(F_23)'!K16</f>
        <v>551.0605457298079</v>
      </c>
      <c r="L29" s="5">
        <f>NPV(Title_RESULTS!$C$37,'Sheet7(F_23)'!L17:L26)+'Sheet7(F_23)'!L16</f>
        <v>192.4425149709632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1.5366225300042784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Water Cooler</v>
      </c>
      <c r="L2" t="s">
        <v>55</v>
      </c>
    </row>
    <row r="3" ht="12.75">
      <c r="L3" s="35">
        <f>+Title_RESULTS!I4</f>
        <v>43599.321633217594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17.695226832525098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12.26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29.9552268325251</v>
      </c>
      <c r="G16" s="5">
        <f>IF(A16&gt;=(Title_RESULTS!$H$7+Title_RESULTS!$C$17),0,(+'Sheet6(p_6)'!$H16))</f>
        <v>85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85</v>
      </c>
      <c r="K16" s="23">
        <f>IF(A16&gt;=(Title_RESULTS!$H$7+Title_RESULTS!$C$17),0,(+F16-J16))</f>
        <v>-55.0447731674749</v>
      </c>
      <c r="L16" s="23">
        <f>IF(A16&gt;=(Title_RESULTS!$H$7+Title_RESULTS!$C$17),0,(+$K16/((1+Title_RESULTS!$C$37)^('Sheet8(F_24)'!$A16-Title_RESULTS!$H$7))))</f>
        <v>-55.0447731674749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54.36819102268584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12.26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66.62819102268584</v>
      </c>
      <c r="G17" s="5">
        <f>IF(A17&gt;=(Title_RESULTS!$H$7+Title_RESULTS!$C$17),0,(+'Sheet6(p_6)'!$H17))</f>
        <v>86.955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86.955</v>
      </c>
      <c r="K17" s="23">
        <f>IF(A17&gt;=(Title_RESULTS!$H$7+Title_RESULTS!$C$17),0,(+F17-J17))</f>
        <v>-20.32680897731416</v>
      </c>
      <c r="L17" s="23">
        <f>IF(A16&gt;=(Title_RESULTS!$H$7+Title_RESULTS!$C$17),0,(+$K17/((1+Title_RESULTS!$C$37)^('Sheet8(F_24)'!$A17-Title_RESULTS!$H$7))+L16))</f>
        <v>-74.0275981369502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92.45660498982446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12.26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104.71660498982446</v>
      </c>
      <c r="G18" s="5">
        <f>IF(A18&gt;=(Title_RESULTS!$H$7+Title_RESULTS!$C$17),0,(+'Sheet6(p_6)'!$H18))</f>
        <v>88.95496499999999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88.95496499999999</v>
      </c>
      <c r="K18" s="23">
        <f>IF(A18&gt;=(Title_RESULTS!$H$7+Title_RESULTS!$C$17),0,(+F18-J18))</f>
        <v>15.761639989824474</v>
      </c>
      <c r="L18" s="23">
        <f>IF(A17&gt;=(Title_RESULTS!$H$7+Title_RESULTS!$C$17),0,(+$K18/((1+Title_RESULTS!$C$37)^('Sheet8(F_24)'!$A18-Title_RESULTS!$H$7))+L17))</f>
        <v>-60.281334193946336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111.26700530581614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111.26700530581614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111.26700530581614</v>
      </c>
      <c r="L19" s="23">
        <f>IF(A18&gt;=(Title_RESULTS!$H$7+Title_RESULTS!$C$17),0,(+$K19/((1+Title_RESULTS!$C$37)^('Sheet8(F_24)'!$A19-Title_RESULTS!$H$7))+L18))</f>
        <v>30.342266102811408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114.39230302277568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114.39230302277568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114.39230302277568</v>
      </c>
      <c r="L20" s="23">
        <f>IF(A19&gt;=(Title_RESULTS!$H$7+Title_RESULTS!$C$17),0,(+$K20/((1+Title_RESULTS!$C$37)^('Sheet8(F_24)'!$A20-Title_RESULTS!$H$7))+L19))</f>
        <v>117.35110106225069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117.69391639400145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117.69391639400145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117.69391639400145</v>
      </c>
      <c r="L21" s="23">
        <f>IF(A20&gt;=(Title_RESULTS!$H$7+Title_RESULTS!$C$17),0,(+$K21/((1+Title_RESULTS!$C$37)^('Sheet8(F_24)'!$A21-Title_RESULTS!$H$7))+L20))</f>
        <v>200.9522415519118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120.56589213332339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120.56589213332339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120.56589213332339</v>
      </c>
      <c r="L22" s="23">
        <f>IF(A21&gt;=(Title_RESULTS!$H$7+Title_RESULTS!$C$17),0,(+$K22/((1+Title_RESULTS!$C$37)^('Sheet8(F_24)'!$A22-Title_RESULTS!$H$7))+L21))</f>
        <v>280.9309320307224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124.23082407533568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124.23082407533568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124.23082407533568</v>
      </c>
      <c r="L23" s="23">
        <f>IF(A22&gt;=(Title_RESULTS!$H$7+Title_RESULTS!$C$17),0,(+$K23/((1+Title_RESULTS!$C$37)^('Sheet8(F_24)'!$A23-Title_RESULTS!$H$7))+L22))</f>
        <v>357.8919544251425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129.98516705396733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129.98516705396733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129.98516705396733</v>
      </c>
      <c r="L24" s="23">
        <f>IF(A23&gt;=(Title_RESULTS!$H$7+Title_RESULTS!$C$17),0,(+$K24/((1+Title_RESULTS!$C$37)^('Sheet8(F_24)'!$A24-Title_RESULTS!$H$7))+L23))</f>
        <v>433.09352251885394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133.6730350645505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133.6730350645505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133.6730350645505</v>
      </c>
      <c r="L25" s="23">
        <f>IF(A24&gt;=(Title_RESULTS!$H$7+Title_RESULTS!$C$17),0,(+$K25/((1+Title_RESULTS!$C$37)^('Sheet8(F_24)'!$A25-Title_RESULTS!$H$7))+L24))</f>
        <v>505.31536209777596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1016.3281658948056</v>
      </c>
      <c r="C27" s="5">
        <f t="shared" si="1"/>
        <v>0</v>
      </c>
      <c r="D27" s="5">
        <f t="shared" si="1"/>
        <v>36.78</v>
      </c>
      <c r="E27" s="5">
        <f t="shared" si="1"/>
        <v>0</v>
      </c>
      <c r="F27" s="5">
        <f t="shared" si="1"/>
        <v>1053.1081658948056</v>
      </c>
      <c r="G27" s="5">
        <f t="shared" si="1"/>
        <v>260.90996499999994</v>
      </c>
      <c r="H27" s="5">
        <f t="shared" si="1"/>
        <v>0</v>
      </c>
      <c r="I27" s="5">
        <f t="shared" si="1"/>
        <v>0</v>
      </c>
      <c r="J27" s="5">
        <f t="shared" si="1"/>
        <v>260.90996499999994</v>
      </c>
      <c r="K27" s="5">
        <f t="shared" si="1"/>
        <v>792.1982008948056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714.6999145248275</v>
      </c>
      <c r="C29" s="5">
        <f>NPV(Title_RESULTS!$C$37,'Sheet8(F_24)'!C17:C26)+'Sheet8(F_24)'!C16</f>
        <v>0</v>
      </c>
      <c r="D29" s="5">
        <f>NPV(Title_RESULTS!$C$37,'Sheet8(F_24)'!D17:D26)+'Sheet8(F_24)'!D16</f>
        <v>34.40174788793537</v>
      </c>
      <c r="E29" s="5">
        <f>NPV(Title_RESULTS!$C$37,'Sheet8(F_24)'!E17:E26)+'Sheet8(F_24)'!E16</f>
        <v>0</v>
      </c>
      <c r="F29" s="5">
        <f>NPV(Title_RESULTS!$C$37,'Sheet8(F_24)'!F17:F26)+'Sheet8(F_24)'!F16</f>
        <v>749.1016624127628</v>
      </c>
      <c r="G29" s="5">
        <f>NPV(Title_RESULTS!$C$37,'Sheet8(F_24)'!G17:G26)+'Sheet8(F_24)'!G16</f>
        <v>243.78630031498693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243.78630031498693</v>
      </c>
      <c r="K29" s="5">
        <f>NPV(Title_RESULTS!$C$37,'Sheet8(F_24)'!K17:K26)+'Sheet8(F_24)'!K16</f>
        <v>505.31536209777596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3.0727799775659146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Water Cooler</v>
      </c>
      <c r="N2" t="s">
        <v>55</v>
      </c>
    </row>
    <row r="3" ht="12.75">
      <c r="N3" s="35">
        <f>+Title_RESULTS!I4</f>
        <v>43599.321633217594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12.26</v>
      </c>
      <c r="E16" s="5">
        <f>+'Sheet6(p_6)'!M16</f>
        <v>11.030475</v>
      </c>
      <c r="F16">
        <f>IF(A16&gt;=(Title_RESULTS!$H$7+Title_RESULTS!$C$17),0,(+'f-11B'!$R15))</f>
        <v>0</v>
      </c>
      <c r="G16" s="5">
        <f>IF(A16&gt;=(Title_RESULTS!$H$7+Title_RESULTS!$C$17),0,(SUM(B16:F16)))</f>
        <v>63.290475</v>
      </c>
      <c r="H16" s="5">
        <f>IF(A16&gt;=(Title_RESULTS!$H$7+Title_RESULTS!$C$17),0,(+'Sheet3(F_21)'!$J16+'Sheet4(F_22)'!$H16))</f>
        <v>8.376258011065381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8.376258011065381</v>
      </c>
      <c r="M16" s="23">
        <f>IF(A16&gt;=(Title_RESULTS!$H$7+Title_RESULTS!$C$17),0,(+L16-G16))</f>
        <v>-54.91421698893462</v>
      </c>
      <c r="N16" s="24">
        <f>IF(A16&gt;=(Title_RESULTS!$H$7+Title_RESULTS!$C$17),0,(+$M16/((1+Title_RESULTS!$C$37)^('Sheet9(F_25)'!$A16-Title_RESULTS!$H$7))))</f>
        <v>-54.91421698893462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12.26</v>
      </c>
      <c r="E17" s="5">
        <f>+'Sheet6(p_6)'!M17</f>
        <v>33.42233925</v>
      </c>
      <c r="F17">
        <f>IF(A17&gt;=(Title_RESULTS!$H$7+Title_RESULTS!$C$17),0,(+'f-11B'!$R16))</f>
        <v>0</v>
      </c>
      <c r="G17" s="5">
        <f>IF(A17&gt;=(Title_RESULTS!$H$7+Title_RESULTS!$C$17),0,(SUM(B17:F17)))</f>
        <v>86.64233924999999</v>
      </c>
      <c r="H17" s="5">
        <f>IF(A17&gt;=(Title_RESULTS!$H$7+Title_RESULTS!$C$17),0,(+'Sheet3(F_21)'!$J17+'Sheet4(F_22)'!$H17))</f>
        <v>24.92438027426161</v>
      </c>
      <c r="I17" s="5">
        <f>IF(A17&gt;=(Title_RESULTS!$H$7+Title_RESULTS!$C$17),0,(+'Sheet4(F_22)'!$D17+'Sheet4(F_22)'!$G17))</f>
        <v>8.114450105579564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33.03883037984117</v>
      </c>
      <c r="M17" s="23">
        <f>IF(A17&gt;=(Title_RESULTS!$H$7+Title_RESULTS!$C$17),0,(+L17-G17))</f>
        <v>-53.60350887015882</v>
      </c>
      <c r="N17" s="24">
        <f>(IF(A16&gt;=(Title_RESULTS!$H$7+Title_RESULTS!$C$17),0,(+$M17/((1+Title_RESULTS!$C$37)^('Sheet9(F_25)'!$A17-Title_RESULTS!$H$7))+N16)))</f>
        <v>-104.97352672946397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12.26</v>
      </c>
      <c r="E18" s="5">
        <f>+'Sheet6(p_6)'!M18</f>
        <v>56.2609377375</v>
      </c>
      <c r="F18">
        <f>IF(A18&gt;=(Title_RESULTS!$H$7+Title_RESULTS!$C$17),0,(+'f-11B'!$R17))</f>
        <v>0</v>
      </c>
      <c r="G18" s="5">
        <f>IF(A18&gt;=(Title_RESULTS!$H$7+Title_RESULTS!$C$17),0,(SUM(B18:F18)))</f>
        <v>110.46397773749999</v>
      </c>
      <c r="H18" s="5">
        <f>IF(A18&gt;=(Title_RESULTS!$H$7+Title_RESULTS!$C$17),0,(+'Sheet3(F_21)'!$J18+'Sheet4(F_22)'!$H18))</f>
        <v>42.87271448663854</v>
      </c>
      <c r="I18" s="5">
        <f>IF(A18&gt;=(Title_RESULTS!$H$7+Title_RESULTS!$C$17),0,(+'Sheet4(F_22)'!$D18+'Sheet4(F_22)'!$G18))</f>
        <v>8.309196908113474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51.18191139475202</v>
      </c>
      <c r="M18" s="23">
        <f>IF(A18&gt;=(Title_RESULTS!$H$7+Title_RESULTS!$C$17),0,(+L18-G18))</f>
        <v>-59.28206634274797</v>
      </c>
      <c r="N18" s="24">
        <f>(IF(A17&gt;=(Title_RESULTS!$H$7+Title_RESULTS!$C$17),0,(+$M18/((1+Title_RESULTS!$C$37)^('Sheet9(F_25)'!$A18-Title_RESULTS!$H$7))+N17)))</f>
        <v>-156.67543919289886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68.18825653785</v>
      </c>
      <c r="F19">
        <f>IF(A19&gt;=(Title_RESULTS!$H$7+Title_RESULTS!$C$17),0,(+'f-11B'!$R18))</f>
        <v>0</v>
      </c>
      <c r="G19" s="5">
        <f>IF(A19&gt;=(Title_RESULTS!$H$7+Title_RESULTS!$C$17),0,(SUM(B19:F19)))</f>
        <v>68.18825653785</v>
      </c>
      <c r="H19" s="5">
        <f>IF(A19&gt;=(Title_RESULTS!$H$7+Title_RESULTS!$C$17),0,(+'Sheet3(F_21)'!$J19+'Sheet4(F_22)'!$H19))</f>
        <v>79.43595772230438</v>
      </c>
      <c r="I19" s="5">
        <f>IF(A19&gt;=(Title_RESULTS!$H$7+Title_RESULTS!$C$17),0,(+'Sheet4(F_22)'!$D19+'Sheet4(F_22)'!$G19))</f>
        <v>8.508617633908198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87.94457535621258</v>
      </c>
      <c r="M19" s="23">
        <f>IF(A19&gt;=(Title_RESULTS!$H$7+Title_RESULTS!$C$17),0,(+L19-G19))</f>
        <v>19.756318818362587</v>
      </c>
      <c r="N19" s="24">
        <f>(IF(A18&gt;=(Title_RESULTS!$H$7+Title_RESULTS!$C$17),0,(+$M19/((1+Title_RESULTS!$C$37)^('Sheet9(F_25)'!$A19-Title_RESULTS!$H$7))+N18)))</f>
        <v>-140.58451686592744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68.8701391032285</v>
      </c>
      <c r="F20">
        <f>IF(A20&gt;=(Title_RESULTS!$H$7+Title_RESULTS!$C$17),0,(+'f-11B'!$R19))</f>
        <v>0</v>
      </c>
      <c r="G20" s="5">
        <f>IF(A20&gt;=(Title_RESULTS!$H$7+Title_RESULTS!$C$17),0,(SUM(B20:F20)))</f>
        <v>68.8701391032285</v>
      </c>
      <c r="H20" s="5">
        <f>IF(A20&gt;=(Title_RESULTS!$H$7+Title_RESULTS!$C$17),0,(+'Sheet3(F_21)'!$J20+'Sheet4(F_22)'!$H20))</f>
        <v>82.23060236690813</v>
      </c>
      <c r="I20" s="5">
        <f>IF(A20&gt;=(Title_RESULTS!$H$7+Title_RESULTS!$C$17),0,(+'Sheet4(F_22)'!$D20+'Sheet4(F_22)'!$G20))</f>
        <v>8.712824457121995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90.94342682403013</v>
      </c>
      <c r="M20" s="23">
        <f>IF(A20&gt;=(Title_RESULTS!$H$7+Title_RESULTS!$C$17),0,(+L20-G20))</f>
        <v>22.07328772080163</v>
      </c>
      <c r="N20" s="24">
        <f>(IF(A19&gt;=(Title_RESULTS!$H$7+Title_RESULTS!$C$17),0,(+$M20/((1+Title_RESULTS!$C$37)^('Sheet9(F_25)'!$A20-Title_RESULTS!$H$7))+N19)))</f>
        <v>-123.79517879368792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69.55884049426078</v>
      </c>
      <c r="F21">
        <f>IF(A21&gt;=(Title_RESULTS!$H$7+Title_RESULTS!$C$17),0,(+'f-11B'!$R20))</f>
        <v>0</v>
      </c>
      <c r="G21" s="5">
        <f>IF(A21&gt;=(Title_RESULTS!$H$7+Title_RESULTS!$C$17),0,(SUM(B21:F21)))</f>
        <v>69.55884049426078</v>
      </c>
      <c r="H21" s="5">
        <f>IF(A21&gt;=(Title_RESULTS!$H$7+Title_RESULTS!$C$17),0,(+'Sheet3(F_21)'!$J21+'Sheet4(F_22)'!$H21))</f>
        <v>87.08774912433898</v>
      </c>
      <c r="I21" s="5">
        <f>IF(A21&gt;=(Title_RESULTS!$H$7+Title_RESULTS!$C$17),0,(+'Sheet4(F_22)'!$D21+'Sheet4(F_22)'!$G21))</f>
        <v>8.921932244092924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96.00968136843191</v>
      </c>
      <c r="M21" s="23">
        <f>IF(A21&gt;=(Title_RESULTS!$H$7+Title_RESULTS!$C$17),0,(+L21-G21))</f>
        <v>26.450840874171135</v>
      </c>
      <c r="N21" s="24">
        <f>(IF(A20&gt;=(Title_RESULTS!$H$7+Title_RESULTS!$C$17),0,(+$M21/((1+Title_RESULTS!$C$37)^('Sheet9(F_25)'!$A21-Title_RESULTS!$H$7))+N20)))</f>
        <v>-105.0064382050201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70.2544288992034</v>
      </c>
      <c r="F22">
        <f>IF(A22&gt;=(Title_RESULTS!$H$7+Title_RESULTS!$C$17),0,(+'f-11B'!$R21))</f>
        <v>0</v>
      </c>
      <c r="G22" s="5">
        <f>IF(A22&gt;=(Title_RESULTS!$H$7+Title_RESULTS!$C$17),0,(SUM(B22:F22)))</f>
        <v>70.2544288992034</v>
      </c>
      <c r="H22" s="5">
        <f>IF(A22&gt;=(Title_RESULTS!$H$7+Title_RESULTS!$C$17),0,(+'Sheet3(F_21)'!$J22+'Sheet4(F_22)'!$H22))</f>
        <v>89.8501017359594</v>
      </c>
      <c r="I22" s="5">
        <f>IF(A22&gt;=(Title_RESULTS!$H$7+Title_RESULTS!$C$17),0,(+'Sheet4(F_22)'!$D22+'Sheet4(F_22)'!$G22))</f>
        <v>9.136058617951154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98.98616035391055</v>
      </c>
      <c r="M22" s="23">
        <f>IF(A22&gt;=(Title_RESULTS!$H$7+Title_RESULTS!$C$17),0,(+L22-G22))</f>
        <v>28.731731454707145</v>
      </c>
      <c r="N22" s="24">
        <f>(IF(A21&gt;=(Title_RESULTS!$H$7+Title_RESULTS!$C$17),0,(+$M22/((1+Title_RESULTS!$C$37)^('Sheet9(F_25)'!$A22-Title_RESULTS!$H$7))+N21)))</f>
        <v>-85.94693293137895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70.95697318819542</v>
      </c>
      <c r="F23">
        <f>IF(A23&gt;=(Title_RESULTS!$H$7+Title_RESULTS!$C$17),0,(+'f-11B'!$R22))</f>
        <v>0</v>
      </c>
      <c r="G23" s="5">
        <f>IF(A23&gt;=(Title_RESULTS!$H$7+Title_RESULTS!$C$17),0,(SUM(B23:F23)))</f>
        <v>70.95697318819542</v>
      </c>
      <c r="H23" s="5">
        <f>IF(A23&gt;=(Title_RESULTS!$H$7+Title_RESULTS!$C$17),0,(+'Sheet3(F_21)'!$J23+'Sheet4(F_22)'!$H23))</f>
        <v>94.4632079126963</v>
      </c>
      <c r="I23" s="5">
        <f>IF(A23&gt;=(Title_RESULTS!$H$7+Title_RESULTS!$C$17),0,(+'Sheet4(F_22)'!$D23+'Sheet4(F_22)'!$G23))</f>
        <v>9.355324024781982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103.81853193747828</v>
      </c>
      <c r="M23" s="23">
        <f>IF(A23&gt;=(Title_RESULTS!$H$7+Title_RESULTS!$C$17),0,(+L23-G23))</f>
        <v>32.861558749282864</v>
      </c>
      <c r="N23" s="24">
        <f>(IF(A22&gt;=(Title_RESULTS!$H$7+Title_RESULTS!$C$17),0,(+$M23/((1+Title_RESULTS!$C$37)^('Sheet9(F_25)'!$A23-Title_RESULTS!$H$7))+N22)))</f>
        <v>-65.58919017596226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71.66654292007738</v>
      </c>
      <c r="F24">
        <f>IF(A24&gt;=(Title_RESULTS!$H$7+Title_RESULTS!$C$17),0,(+'f-11B'!$R23))</f>
        <v>0</v>
      </c>
      <c r="G24" s="5">
        <f>IF(A24&gt;=(Title_RESULTS!$H$7+Title_RESULTS!$C$17),0,(SUM(B24:F24)))</f>
        <v>71.66654292007738</v>
      </c>
      <c r="H24" s="5">
        <f>IF(A24&gt;=(Title_RESULTS!$H$7+Title_RESULTS!$C$17),0,(+'Sheet3(F_21)'!$J24+'Sheet4(F_22)'!$H24))</f>
        <v>102.0173530434941</v>
      </c>
      <c r="I24" s="5">
        <f>IF(A24&gt;=(Title_RESULTS!$H$7+Title_RESULTS!$C$17),0,(+'Sheet4(F_22)'!$D24+'Sheet4(F_22)'!$G24))</f>
        <v>9.579851801376748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111.59720484487084</v>
      </c>
      <c r="M24" s="23">
        <f>IF(A24&gt;=(Title_RESULTS!$H$7+Title_RESULTS!$C$17),0,(+L24-G24))</f>
        <v>39.93066192479347</v>
      </c>
      <c r="N24" s="24">
        <f>(IF(A23&gt;=(Title_RESULTS!$H$7+Title_RESULTS!$C$17),0,(+$M24/((1+Title_RESULTS!$C$37)^('Sheet9(F_25)'!$A24-Title_RESULTS!$H$7))+N23)))</f>
        <v>-42.48772052506277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72.38320834927816</v>
      </c>
      <c r="F25">
        <f>IF(A25&gt;=(Title_RESULTS!$H$7+Title_RESULTS!$C$17),0,(+'f-11B'!$R24))</f>
        <v>0</v>
      </c>
      <c r="G25" s="5">
        <f>IF(A25&gt;=(Title_RESULTS!$H$7+Title_RESULTS!$C$17),0,(SUM(B25:F25)))</f>
        <v>72.38320834927816</v>
      </c>
      <c r="H25" s="5">
        <f>IF(A25&gt;=(Title_RESULTS!$H$7+Title_RESULTS!$C$17),0,(+'Sheet3(F_21)'!$J25+'Sheet4(F_22)'!$H25))</f>
        <v>107.99842901072272</v>
      </c>
      <c r="I25" s="5">
        <f>IF(A25&gt;=(Title_RESULTS!$H$7+Title_RESULTS!$C$17),0,(+'Sheet4(F_22)'!$D25+'Sheet4(F_22)'!$G25))</f>
        <v>9.80976824460979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117.8081972553325</v>
      </c>
      <c r="M25" s="23">
        <f>IF(A25&gt;=(Title_RESULTS!$H$7+Title_RESULTS!$C$17),0,(+L25-G25))</f>
        <v>45.42498890605434</v>
      </c>
      <c r="N25" s="24">
        <f>(IF(A24&gt;=(Title_RESULTS!$H$7+Title_RESULTS!$C$17),0,(+$M25/((1+Title_RESULTS!$C$37)^('Sheet9(F_25)'!$A25-Title_RESULTS!$H$7))+N24)))</f>
        <v>-17.945177146264374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122.90304</v>
      </c>
      <c r="D27" s="5">
        <f t="shared" si="1"/>
        <v>36.78</v>
      </c>
      <c r="E27" s="5">
        <f t="shared" si="1"/>
        <v>592.5921414795937</v>
      </c>
      <c r="F27" s="5">
        <f t="shared" si="1"/>
        <v>0</v>
      </c>
      <c r="G27" s="5">
        <f t="shared" si="1"/>
        <v>752.2751814795936</v>
      </c>
      <c r="H27" s="5">
        <f t="shared" si="1"/>
        <v>719.2567536883896</v>
      </c>
      <c r="I27" s="5">
        <f t="shared" si="1"/>
        <v>80.44802403753582</v>
      </c>
      <c r="J27" s="5">
        <f t="shared" si="1"/>
        <v>0</v>
      </c>
      <c r="K27" s="9">
        <f t="shared" si="1"/>
        <v>0</v>
      </c>
      <c r="L27" s="5">
        <f t="shared" si="1"/>
        <v>799.7047777259253</v>
      </c>
      <c r="M27" s="5">
        <f t="shared" si="1"/>
        <v>47.42959624633177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114.83173044385765</v>
      </c>
      <c r="D29" s="5">
        <f>NPV(Title_RESULTS!$C$37,'Sheet9(F_25)'!D17:D26)+'Sheet9(F_25)'!D16</f>
        <v>34.40174788793537</v>
      </c>
      <c r="E29" s="5">
        <f>NPV(Title_RESULTS!$C$37,'Sheet9(F_25)'!E17:E26)+'Sheet9(F_25)'!E16</f>
        <v>419.77224454427926</v>
      </c>
      <c r="F29" s="5">
        <f>NPV(Title_RESULTS!$C$37,'Sheet9(F_25)'!F17:F26)+'Sheet9(F_25)'!F16</f>
        <v>0</v>
      </c>
      <c r="G29" s="5">
        <f>NPV(Title_RESULTS!$C$37,'Sheet9(F_25)'!G17:G26)+'Sheet9(F_25)'!G16</f>
        <v>569.0057228760722</v>
      </c>
      <c r="H29" s="5">
        <f>NPV(Title_RESULTS!$C$37,'Sheet9(F_25)'!H17:H26)+'Sheet9(F_25)'!H16</f>
        <v>493.64270508319095</v>
      </c>
      <c r="I29" s="5">
        <f>NPV(Title_RESULTS!$C$37,'Sheet9(F_25)'!I17:I26)+'Sheet9(F_25)'!I16</f>
        <v>57.417840646616895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551.0605457298079</v>
      </c>
      <c r="M29" s="5">
        <f>NPV(Title_RESULTS!$C$37,'Sheet9(F_25)'!M17:M26)+'Sheet9(F_25)'!M16</f>
        <v>-17.945177146264356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0.9684622202821451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204.62484016973124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11.936358400000001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25.304064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1.1795784331403283</v>
      </c>
      <c r="P24" s="48">
        <f aca="true" t="shared" si="4" ref="P24:P61">N24*$L$5</f>
        <v>2.5006058937709668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1.2078883155356963</v>
      </c>
      <c r="P25" s="48">
        <f t="shared" si="4"/>
        <v>2.56062043522147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28.15446727427299</v>
      </c>
      <c r="E26" s="11">
        <f>IF(B26=Title_RESULTS!$H$8,$F$16,+E25*(1+$F$7))</f>
        <v>0.09882230355451863</v>
      </c>
      <c r="F26" s="9">
        <f t="shared" si="1"/>
        <v>20.22149807004804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1.6423314572563066</v>
      </c>
      <c r="L26" s="5">
        <f t="shared" si="3"/>
        <v>3.4816029236879182</v>
      </c>
      <c r="N26" s="11">
        <f>IF(+B26=Title_RESULTS!$H$9,'Value of Defferal'!$O$16,+'Value of Defferal'!N25*(1+'Value of Defferal'!$F$7))</f>
        <v>0.10362269577198292</v>
      </c>
      <c r="O26" s="5">
        <f t="shared" si="7"/>
        <v>1.236877635108553</v>
      </c>
      <c r="P26" s="48">
        <f t="shared" si="4"/>
        <v>2.6220753256667853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27.323069118268265</v>
      </c>
      <c r="E27" s="11">
        <f>IF(B27=Title_RESULTS!$H$8,$F$16,+E26*(1+$F$7))</f>
        <v>0.10119403883982707</v>
      </c>
      <c r="F27" s="9">
        <f t="shared" si="1"/>
        <v>20.70681402372919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1.5938335996406823</v>
      </c>
      <c r="L27" s="5">
        <f t="shared" si="3"/>
        <v>3.378791592807585</v>
      </c>
      <c r="N27" s="11">
        <f>IF(+B27=Title_RESULTS!$H$9,'Value of Defferal'!$O$16,+'Value of Defferal'!N26*(1+'Value of Defferal'!$F$7))</f>
        <v>0.10610964047051051</v>
      </c>
      <c r="O27" s="5">
        <f t="shared" si="7"/>
        <v>1.2665626983511582</v>
      </c>
      <c r="P27" s="48">
        <f t="shared" si="4"/>
        <v>2.6850051334827882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26.405211617500914</v>
      </c>
      <c r="E28" s="11">
        <f>IF(B28=Title_RESULTS!$H$8,$F$16,+E27*(1+$F$7))</f>
        <v>0.10362269577198292</v>
      </c>
      <c r="F28" s="9">
        <f t="shared" si="1"/>
        <v>21.20377756029869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1.5402923185322903</v>
      </c>
      <c r="L28" s="5">
        <f t="shared" si="3"/>
        <v>3.265288633328022</v>
      </c>
      <c r="N28" s="11">
        <f>IF(+B28=Title_RESULTS!$H$9,'Value of Defferal'!$O$16,+'Value of Defferal'!N27*(1+'Value of Defferal'!$F$7))</f>
        <v>0.10865627184180277</v>
      </c>
      <c r="O28" s="5">
        <f t="shared" si="7"/>
        <v>1.296960203111586</v>
      </c>
      <c r="P28" s="48">
        <f t="shared" si="4"/>
        <v>2.749445256686375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25.53131443146499</v>
      </c>
      <c r="E29" s="11">
        <f>IF(B29=Title_RESULTS!$H$8,$F$16,+E28*(1+$F$7))</f>
        <v>0.10610964047051051</v>
      </c>
      <c r="F29" s="9">
        <f t="shared" si="1"/>
        <v>21.712668221745858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1.4893153696505028</v>
      </c>
      <c r="L29" s="5">
        <f t="shared" si="3"/>
        <v>3.1572218399390537</v>
      </c>
      <c r="N29" s="11">
        <f>IF(+B29=Title_RESULTS!$H$9,'Value of Defferal'!$O$16,+'Value of Defferal'!N28*(1+'Value of Defferal'!$F$7))</f>
        <v>0.11126402236600604</v>
      </c>
      <c r="O29" s="5">
        <f t="shared" si="7"/>
        <v>1.3280872479862642</v>
      </c>
      <c r="P29" s="48">
        <f t="shared" si="4"/>
        <v>2.8154319428468484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24.696969351314834</v>
      </c>
      <c r="E30" s="11">
        <f>IF(B30=Title_RESULTS!$H$8,$F$16,+E29*(1+$F$7))</f>
        <v>0.10865627184180277</v>
      </c>
      <c r="F30" s="9">
        <f t="shared" si="1"/>
        <v>22.23377225906776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1.4406456094313222</v>
      </c>
      <c r="L30" s="5">
        <f t="shared" si="3"/>
        <v>3.0540460901684368</v>
      </c>
      <c r="N30" s="11">
        <f>IF(+B30=Title_RESULTS!$H$9,'Value of Defferal'!$O$16,+'Value of Defferal'!N29*(1+'Value of Defferal'!$F$7))</f>
        <v>0.11393435890279018</v>
      </c>
      <c r="O30" s="5">
        <f t="shared" si="7"/>
        <v>1.3599613419379344</v>
      </c>
      <c r="P30" s="48">
        <f t="shared" si="4"/>
        <v>2.8830023094751724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23.89825526310488</v>
      </c>
      <c r="E31" s="11">
        <f>IF(B31=Title_RESULTS!$H$8,$F$16,+E30*(1+$F$7))</f>
        <v>0.11126402236600604</v>
      </c>
      <c r="F31" s="9">
        <f t="shared" si="1"/>
        <v>22.76738279328539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1.3940543079642314</v>
      </c>
      <c r="L31" s="5">
        <f t="shared" si="3"/>
        <v>2.955276496071249</v>
      </c>
      <c r="N31" s="11">
        <f>IF(+B31=Title_RESULTS!$H$9,'Value of Defferal'!$O$16,+'Value of Defferal'!N30*(1+'Value of Defferal'!$F$7))</f>
        <v>0.11666878351645714</v>
      </c>
      <c r="O31" s="5">
        <f t="shared" si="7"/>
        <v>1.3926004141444448</v>
      </c>
      <c r="P31" s="48">
        <f t="shared" si="4"/>
        <v>2.9521943649025766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23.124407369543558</v>
      </c>
      <c r="E32" s="11">
        <f>IF(B32=Title_RESULTS!$H$8,$F$16,+E31*(1+$F$7))</f>
        <v>0.11393435890279018</v>
      </c>
      <c r="F32" s="9">
        <f t="shared" si="1"/>
        <v>23.313799980324237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1.3489135235073144</v>
      </c>
      <c r="L32" s="5">
        <f t="shared" si="3"/>
        <v>2.859581874593727</v>
      </c>
      <c r="N32" s="11">
        <f>IF(+B32=Title_RESULTS!$H$9,'Value of Defferal'!$O$16,+'Value of Defferal'!N31*(1+'Value of Defferal'!$F$7))</f>
        <v>0.11946883432085212</v>
      </c>
      <c r="O32" s="5">
        <f t="shared" si="7"/>
        <v>1.4260228240839117</v>
      </c>
      <c r="P32" s="48">
        <f t="shared" si="4"/>
        <v>3.0230470296602387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22.358523477598407</v>
      </c>
      <c r="E33" s="11">
        <f>IF(B33=Title_RESULTS!$H$8,$F$16,+E32*(1+$F$7))</f>
        <v>0.11666878351645714</v>
      </c>
      <c r="F33" s="9">
        <f t="shared" si="1"/>
        <v>23.873331179852016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1.3042373022848017</v>
      </c>
      <c r="L33" s="5">
        <f t="shared" si="3"/>
        <v>2.7648720876378814</v>
      </c>
      <c r="N33" s="11">
        <f>IF(+B33=Title_RESULTS!$H$9,'Value of Defferal'!$O$16,+'Value of Defferal'!N32*(1+'Value of Defferal'!$F$7))</f>
        <v>0.12233608634455258</v>
      </c>
      <c r="O33" s="5">
        <f t="shared" si="7"/>
        <v>1.4602473718619255</v>
      </c>
      <c r="P33" s="48">
        <f t="shared" si="4"/>
        <v>3.0956001583720845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21.59263958565325</v>
      </c>
      <c r="E34" s="11">
        <f>IF(B34=Title_RESULTS!$H$8,$F$16,+E33*(1+$F$7))</f>
        <v>0.11946883432085212</v>
      </c>
      <c r="F34" s="9">
        <f t="shared" si="1"/>
        <v>24.44629112816847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1.2595610810622886</v>
      </c>
      <c r="L34" s="5">
        <f t="shared" si="3"/>
        <v>2.670162300682035</v>
      </c>
      <c r="N34" s="11">
        <f>IF(+B34=Title_RESULTS!$H$9,'Value of Defferal'!$O$16,+'Value of Defferal'!N33*(1+'Value of Defferal'!$F$7))</f>
        <v>0.12527215241682185</v>
      </c>
      <c r="O34" s="5">
        <f t="shared" si="7"/>
        <v>1.495293308786612</v>
      </c>
      <c r="P34" s="48">
        <f t="shared" si="4"/>
        <v>3.169894562173015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20.826755693708094</v>
      </c>
      <c r="E35" s="11">
        <f>IF(B35=Title_RESULTS!$H$8,$F$16,+E34*(1+$F$7))</f>
        <v>0.12233608634455258</v>
      </c>
      <c r="F35" s="9">
        <f t="shared" si="1"/>
        <v>25.03300211524451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1.2148848598397757</v>
      </c>
      <c r="L35" s="5">
        <f t="shared" si="3"/>
        <v>2.575452513726189</v>
      </c>
      <c r="N35" s="11">
        <f>IF(+B35=Title_RESULTS!$H$9,'Value of Defferal'!$O$16,+'Value of Defferal'!N34*(1+'Value of Defferal'!$F$7))</f>
        <v>0.12827868407482557</v>
      </c>
      <c r="O35" s="5">
        <f t="shared" si="7"/>
        <v>1.5311803481974906</v>
      </c>
      <c r="P35" s="48">
        <f t="shared" si="4"/>
        <v>3.245972031665167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20.060871801762943</v>
      </c>
      <c r="E36" s="11">
        <f>IF(B36=Title_RESULTS!$H$8,$F$16,+E35*(1+$F$7))</f>
        <v>0.12527215241682185</v>
      </c>
      <c r="F36" s="9">
        <f t="shared" si="1"/>
        <v>25.633794166010382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1.170208638617263</v>
      </c>
      <c r="L36" s="5">
        <f t="shared" si="3"/>
        <v>2.4807427267703432</v>
      </c>
      <c r="N36" s="11">
        <f>IF(+B36=Title_RESULTS!$H$9,'Value of Defferal'!$O$16,+'Value of Defferal'!N35*(1+'Value of Defferal'!$F$7))</f>
        <v>0.1313573724926214</v>
      </c>
      <c r="O36" s="5">
        <f t="shared" si="7"/>
        <v>1.5679286765542304</v>
      </c>
      <c r="P36" s="48">
        <f t="shared" si="4"/>
        <v>3.323875360425131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19.294987909817785</v>
      </c>
      <c r="E37" s="11">
        <f>IF(B37&gt;Title_RESULTS!$H$8-1+Title_RESULTS!$C$18,0,+E36*(1+$F$7))</f>
        <v>0.12827868407482557</v>
      </c>
      <c r="F37" s="9">
        <f t="shared" si="1"/>
        <v>26.24900522599463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1.12553241739475</v>
      </c>
      <c r="L37" s="5">
        <f t="shared" si="3"/>
        <v>2.386032939814497</v>
      </c>
      <c r="N37" s="11">
        <f>IF(+B37=Title_RESULTS!$H$9,'Value of Defferal'!$O$16,+'Value of Defferal'!N36*(1+'Value of Defferal'!$F$7))</f>
        <v>0.1345099494324443</v>
      </c>
      <c r="O37" s="5">
        <f t="shared" si="7"/>
        <v>1.6055589647915318</v>
      </c>
      <c r="P37" s="48">
        <f t="shared" si="4"/>
        <v>3.4036483690753343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18.529104017872626</v>
      </c>
      <c r="E38" s="11">
        <f>IF(B38&gt;Title_RESULTS!$H$8-1+Title_RESULTS!$C$18,0,+E37*(1+$F$7))</f>
        <v>0.1313573724926214</v>
      </c>
      <c r="F38" s="9">
        <f t="shared" si="1"/>
        <v>26.878981351418503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1.0808561961722372</v>
      </c>
      <c r="L38" s="5">
        <f t="shared" si="3"/>
        <v>2.291323152858651</v>
      </c>
      <c r="N38" s="11">
        <f>IF(+B38=Title_RESULTS!$H$9,'Value of Defferal'!$O$16,+'Value of Defferal'!N37*(1+'Value of Defferal'!$F$7))</f>
        <v>0.13773818821882297</v>
      </c>
      <c r="O38" s="5">
        <f t="shared" si="7"/>
        <v>1.6440923799465288</v>
      </c>
      <c r="P38" s="48">
        <f t="shared" si="4"/>
        <v>3.4853359299331426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17.763220125927468</v>
      </c>
      <c r="E39" s="11">
        <f>IF(B39&gt;Title_RESULTS!$H$8-1+Title_RESULTS!$C$18,0,+E38*(1+$F$7))</f>
        <v>0.1345099494324443</v>
      </c>
      <c r="F39" s="9">
        <f t="shared" si="1"/>
        <v>27.524076903852546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1.036179974949724</v>
      </c>
      <c r="L39" s="5">
        <f t="shared" si="3"/>
        <v>2.196613365902804</v>
      </c>
      <c r="N39" s="11">
        <f>IF(+B39&gt;Title_RESULTS!$H$9+Title_RESULTS!$C$19-1,0,+'Value of Defferal'!N38*(1+'Value of Defferal'!$F$7))</f>
        <v>0.14104390473607473</v>
      </c>
      <c r="O39" s="5">
        <f t="shared" si="7"/>
        <v>1.6835505970652456</v>
      </c>
      <c r="P39" s="48">
        <f t="shared" si="4"/>
        <v>3.568983992251538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16.997336233982317</v>
      </c>
      <c r="E40" s="11">
        <f>IF(B40&gt;Title_RESULTS!$H$8-1+Title_RESULTS!$C$18,0,+E39*(1+$F$7))</f>
        <v>0.13773818821882297</v>
      </c>
      <c r="F40" s="9">
        <f t="shared" si="1"/>
        <v>28.18465474954501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0.9915037537272116</v>
      </c>
      <c r="L40" s="5">
        <f t="shared" si="3"/>
        <v>2.101903578946959</v>
      </c>
      <c r="N40" s="11">
        <f>IF(+B40&gt;Title_RESULTS!$H$9+Title_RESULTS!$C$19-1,0,+'Value of Defferal'!N39*(1+'Value of Defferal'!$F$7))</f>
        <v>0.14442895844974052</v>
      </c>
      <c r="O40" s="5">
        <f t="shared" si="7"/>
        <v>1.7239558113948115</v>
      </c>
      <c r="P40" s="48">
        <f t="shared" si="4"/>
        <v>3.6546396080655748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16.303371904032662</v>
      </c>
      <c r="E41" s="11">
        <f>IF(B41&gt;Title_RESULTS!$H$8-1+Title_RESULTS!$C$18,0,+E40*(1+$F$7))</f>
        <v>0.14104390473607473</v>
      </c>
      <c r="F41" s="9">
        <f t="shared" si="1"/>
        <v>28.86108646353409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0.9510228084410768</v>
      </c>
      <c r="L41" s="5">
        <f t="shared" si="3"/>
        <v>2.016087419949852</v>
      </c>
      <c r="N41" s="11">
        <f>IF(+B41&gt;Title_RESULTS!$H$9+Title_RESULTS!$C$19-1,0,+'Value of Defferal'!N40*(1+'Value of Defferal'!$F$7))</f>
        <v>0.1478952534525343</v>
      </c>
      <c r="O41" s="5">
        <f t="shared" si="7"/>
        <v>1.765330750868287</v>
      </c>
      <c r="P41" s="48">
        <f t="shared" si="4"/>
        <v>3.7423509586591486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15.75322234332901</v>
      </c>
      <c r="E42" s="11">
        <f>IF(B42&gt;Title_RESULTS!$H$8-1+Title_RESULTS!$C$18,0,+E41*(1+$F$7))</f>
        <v>0.14442895844974052</v>
      </c>
      <c r="F42" s="9">
        <f t="shared" si="1"/>
        <v>29.55375253865891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0.9189309943450249</v>
      </c>
      <c r="L42" s="5">
        <f t="shared" si="3"/>
        <v>1.9480555051438593</v>
      </c>
      <c r="N42" s="11">
        <f>IF(+B42&gt;Title_RESULTS!$H$9+Title_RESULTS!$C$19-1,0,+'Value of Defferal'!N41*(1+'Value of Defferal'!$F$7))</f>
        <v>0.1514447395353951</v>
      </c>
      <c r="O42" s="5">
        <f t="shared" si="7"/>
        <v>1.8076986888891258</v>
      </c>
      <c r="P42" s="48">
        <f t="shared" si="4"/>
        <v>3.8321673816669684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15.27496798987586</v>
      </c>
      <c r="E43" s="11">
        <f>IF(B43&gt;Title_RESULTS!$H$8-1+Title_RESULTS!$C$18,0,+E42*(1+$F$7))</f>
        <v>0.1478952534525343</v>
      </c>
      <c r="F43" s="9">
        <f t="shared" si="1"/>
        <v>30.263042599586722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0.8910330355026775</v>
      </c>
      <c r="L43" s="5">
        <f t="shared" si="3"/>
        <v>1.8889142065702402</v>
      </c>
      <c r="N43" s="11">
        <f>IF(+B43&gt;Title_RESULTS!$H$9+Title_RESULTS!$C$19-1,0,+'Value of Defferal'!N42*(1+'Value of Defferal'!$F$7))</f>
        <v>0.1550794132842446</v>
      </c>
      <c r="O43" s="5">
        <f t="shared" si="7"/>
        <v>1.8510834574224648</v>
      </c>
      <c r="P43" s="48">
        <f t="shared" si="4"/>
        <v>3.9241393988269757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14.79671363642271</v>
      </c>
      <c r="E44" s="11">
        <f>IF(B44&gt;Title_RESULTS!$H$8-1+Title_RESULTS!$C$18,0,+E43*(1+$F$7))</f>
        <v>0.1514447395353951</v>
      </c>
      <c r="F44" s="9">
        <f t="shared" si="1"/>
        <v>30.989355621976802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0.8631350766603302</v>
      </c>
      <c r="L44" s="5">
        <f t="shared" si="3"/>
        <v>1.8297729079966214</v>
      </c>
      <c r="N44" s="11">
        <f>IF(+B44&gt;Title_RESULTS!$H$9+Title_RESULTS!$C$19-1,0,+'Value of Defferal'!N43*(1+'Value of Defferal'!$F$7))</f>
        <v>0.15880131920306648</v>
      </c>
      <c r="O44" s="5">
        <f t="shared" si="7"/>
        <v>1.895509460400604</v>
      </c>
      <c r="P44" s="48">
        <f t="shared" si="4"/>
        <v>4.018318744398823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14.318459282969554</v>
      </c>
      <c r="E45" s="11">
        <f>IF(B45&gt;Title_RESULTS!$H$8-1+Title_RESULTS!$C$18,0,+E44*(1+$F$7))</f>
        <v>0.1550794132842446</v>
      </c>
      <c r="F45" s="9">
        <f t="shared" si="1"/>
        <v>31.733100156904246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0.8352371178179824</v>
      </c>
      <c r="L45" s="5">
        <f t="shared" si="3"/>
        <v>1.7706316094230017</v>
      </c>
      <c r="N45" s="11">
        <f>IF(+B45&gt;Title_RESULTS!$H$9+Title_RESULTS!$C$19-1,0,+'Value of Defferal'!N44*(1+'Value of Defferal'!$F$7))</f>
        <v>0.16261255086394008</v>
      </c>
      <c r="O45" s="5">
        <f t="shared" si="7"/>
        <v>1.9410016874502187</v>
      </c>
      <c r="P45" s="48">
        <f t="shared" si="4"/>
        <v>4.1147583942643955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13.840204929516402</v>
      </c>
      <c r="E46" s="11">
        <f>IF(B46&gt;Title_RESULTS!$H$8-1+Title_RESULTS!$C$18,0,+E45*(1+$F$7))</f>
        <v>0.15880131920306648</v>
      </c>
      <c r="F46" s="9">
        <f t="shared" si="1"/>
        <v>32.49469456066995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0.8073391589756349</v>
      </c>
      <c r="L46" s="5">
        <f t="shared" si="3"/>
        <v>1.7114903108493826</v>
      </c>
      <c r="N46" s="11">
        <f>IF(+B46&gt;Title_RESULTS!$H$9+Title_RESULTS!$C$19-1,0,+'Value of Defferal'!N45*(1+'Value of Defferal'!$F$7))</f>
        <v>0.16651525208467466</v>
      </c>
      <c r="O46" s="5">
        <f t="shared" si="7"/>
        <v>1.987585727949024</v>
      </c>
      <c r="P46" s="48">
        <f t="shared" si="4"/>
        <v>4.213512595726741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13.361950576063254</v>
      </c>
      <c r="E47" s="11">
        <f>IF(B47&gt;Title_RESULTS!$H$8-1+Title_RESULTS!$C$18,0,+E46*(1+$F$7))</f>
        <v>0.16261255086394008</v>
      </c>
      <c r="F47" s="9">
        <f t="shared" si="1"/>
        <v>33.27456723012603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0.7794412001332877</v>
      </c>
      <c r="L47" s="5">
        <f t="shared" si="3"/>
        <v>1.6523490122757638</v>
      </c>
      <c r="N47" s="11">
        <f>IF(+B47&gt;Title_RESULTS!$H$9+Title_RESULTS!$C$19-1,0,+'Value of Defferal'!N46*(1+'Value of Defferal'!$F$7))</f>
        <v>0.17051161813470686</v>
      </c>
      <c r="O47" s="5">
        <f t="shared" si="7"/>
        <v>2.0352877854198006</v>
      </c>
      <c r="P47" s="48">
        <f t="shared" si="4"/>
        <v>4.314636898024183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12.883696222610103</v>
      </c>
      <c r="E48" s="11">
        <f>IF(B48&gt;Title_RESULTS!$H$8-1+Title_RESULTS!$C$18,0,+E47*(1+$F$7))</f>
        <v>0.16651525208467466</v>
      </c>
      <c r="F48" s="9">
        <f t="shared" si="1"/>
        <v>34.07315684364906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0.7515432412909402</v>
      </c>
      <c r="L48" s="5">
        <f t="shared" si="3"/>
        <v>1.5932077137021448</v>
      </c>
      <c r="N48" s="11">
        <f>IF(+B48&gt;Title_RESULTS!$H$9+Title_RESULTS!$C$19-1,0,+'Value of Defferal'!N47*(1+'Value of Defferal'!$F$7))</f>
        <v>0.17460389696993983</v>
      </c>
      <c r="O48" s="5">
        <f t="shared" si="7"/>
        <v>2.0841346922698762</v>
      </c>
      <c r="P48" s="48">
        <f t="shared" si="4"/>
        <v>4.418188183576763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12.405441869156947</v>
      </c>
      <c r="E49" s="11">
        <f>IF(B49&gt;Title_RESULTS!$H$8-1+Title_RESULTS!$C$18,0,+E48*(1+$F$7))</f>
        <v>0.17051161813470686</v>
      </c>
      <c r="F49" s="9">
        <f t="shared" si="1"/>
        <v>34.89091260789664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0.7236452824485924</v>
      </c>
      <c r="L49" s="5">
        <f t="shared" si="3"/>
        <v>1.534066415128525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11.927187515703796</v>
      </c>
      <c r="E50" s="11">
        <f>IF(B50&gt;Title_RESULTS!$H$8-1+Title_RESULTS!$C$18,0,+E49*(1+$F$7))</f>
        <v>0.17460389696993983</v>
      </c>
      <c r="F50" s="9">
        <f t="shared" si="1"/>
        <v>35.72829451048616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0.6957473236062449</v>
      </c>
      <c r="L50" s="5">
        <f t="shared" si="3"/>
        <v>1.474925116554906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11.448933162250647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0.6678493647638976</v>
      </c>
      <c r="L51" s="5">
        <f t="shared" si="3"/>
        <v>1.4157838179812872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488.87128270372426</v>
      </c>
      <c r="F63" s="9">
        <f>SUM(F23:F61)</f>
        <v>681.8448128620739</v>
      </c>
      <c r="J63" t="s">
        <v>87</v>
      </c>
      <c r="K63" s="9">
        <f>SUM(K23:K61)</f>
        <v>28.517275014016395</v>
      </c>
      <c r="O63" s="9">
        <f>SUM(O23:O61)</f>
        <v>39.77397882266765</v>
      </c>
    </row>
    <row r="64" spans="3:15" ht="12.75">
      <c r="C64" t="s">
        <v>89</v>
      </c>
      <c r="D64" s="9">
        <f>NPV(+Title_RESULTS!$C$37,'Value of Defferal'!D24:D61)+'Value of Defferal'!D23</f>
        <v>218.2839843702306</v>
      </c>
      <c r="F64" s="9">
        <f>NPV(+Title_RESULTS!$C$37,'Value of Defferal'!F24:F61)+'Value of Defferal'!F23</f>
        <v>253.54096030650246</v>
      </c>
      <c r="J64" t="s">
        <v>89</v>
      </c>
      <c r="K64" s="9">
        <f>NPV(+Title_RESULTS!$C$37,'Value of Defferal'!K24:K61)+'Value of Defferal'!K23</f>
        <v>12.733135763291788</v>
      </c>
      <c r="O64" s="9">
        <f>NPV(+Title_RESULTS!$C$37,'Value of Defferal'!O24:O61)+'Value of Defferal'!O23</f>
        <v>16.958145343593586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0.1116717030604747</v>
      </c>
      <c r="C25" t="s">
        <v>372</v>
      </c>
    </row>
    <row r="26" spans="2:3" ht="18">
      <c r="B26" s="15">
        <f>+((Input!$C$6*'EUE_Line Losses'!C4)+(Input!$C$7*'EUE_Line Losses'!C3))/'EUE_Line Losses'!C22</f>
        <v>0.11131147176027963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547.5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85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12.26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Water Cooler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43599.321633217594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0.11131147176027963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577.5316455696203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547.5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85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12.26</v>
      </c>
      <c r="D39" s="13" t="s">
        <v>189</v>
      </c>
      <c r="G39" s="20" t="s">
        <v>346</v>
      </c>
      <c r="H39" s="79">
        <f>+'Sheet7(F_23)'!H31</f>
        <v>1.5366225300042784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505.31536209777596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0.9684622202821451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2019-05-14T11:43:10Z</dcterms:created>
  <dcterms:modified xsi:type="dcterms:W3CDTF">2019-05-14T11:43:14Z</dcterms:modified>
  <cp:category/>
  <cp:version/>
  <cp:contentType/>
  <cp:contentStatus/>
</cp:coreProperties>
</file>