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<sst xmlns="http://schemas.openxmlformats.org/spreadsheetml/2006/main" count="1258" uniqueCount="468">
  <si>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</si>
  <si>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</si>
  <si>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</si>
  <si>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</si>
  <si>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</si>
  <si>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</si>
  <si>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</si>
  <si>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</si>
  <si>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</si>
  <si>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</si>
  <si>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</si>
  <si>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</si>
  <si>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</si>
  <si>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</si>
  <si>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</si>
  <si>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</si>
  <si>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</si>
  <si>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</si>
  <si>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</si>
  <si>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</si>
  <si>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</si>
  <si>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</si>
  <si>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</si>
  <si>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</si>
  <si>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</si>
  <si>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</si>
  <si>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</si>
  <si>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</si>
  <si>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</si>
  <si>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</si>
  <si>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</si>
  <si>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</si>
  <si>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</si>
  <si>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</si>
  <si>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</si>
  <si>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</si>
  <si>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</si>
  <si>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</si>
  <si>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</si>
  <si>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</si>
  <si>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</si>
  <si>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</si>
  <si>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</si>
  <si>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</si>
  <si>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</si>
  <si>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</si>
  <si>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</si>
  <si>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</si>
  <si>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</si>
  <si>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</si>
  <si>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</si>
  <si>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</si>
  <si>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</si>
  <si>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</si>
  <si>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</si>
  <si>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</si>
  <si>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</si>
  <si>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</si>
  <si>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</si>
  <si>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</si>
  <si>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</si>
  <si>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</si>
  <si>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</si>
  <si>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</si>
  <si>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</si>
  <si>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</si>
  <si>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</si>
  <si>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</si>
  <si>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</si>
  <si>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</si>
  <si>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</si>
  <si>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</si>
  <si>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</si>
  <si>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</si>
  <si>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</si>
  <si>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</si>
  <si>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</si>
  <si>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</si>
  <si>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</si>
  <si>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</si>
  <si>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</si>
  <si>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</si>
  <si>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</si>
  <si>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</si>
  <si>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</si>
  <si>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</si>
  <si>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</si>
  <si>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</si>
  <si>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</si>
  <si>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</si>
  <si>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</si>
  <si>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</si>
  <si>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</si>
  <si>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</si>
  <si>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</si>
  <si>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</si>
  <si>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</si>
  <si>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</si>
  <si>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</si>
  <si>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</si>
  <si>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</si>
  <si>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</si>
  <si>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</si>
  <si>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</si>
  <si>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</si>
  <si>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</si>
  <si>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</si>
  <si>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</si>
  <si>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</si>
  <si>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</si>
  <si>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</si>
  <si>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</si>
  <si>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</si>
  <si>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</si>
  <si>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</si>
  <si>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</si>
  <si>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</si>
  <si>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</si>
  <si>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</si>
  <si>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</si>
  <si>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</si>
  <si>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</si>
  <si>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</si>
  <si>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</si>
  <si>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</si>
  <si>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</si>
  <si>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</si>
  <si>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</si>
  <si>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</si>
  <si>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</si>
  <si>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</si>
  <si>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</si>
  <si>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</si>
  <si>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</si>
  <si>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</si>
  <si>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</si>
  <si>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</si>
  <si>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</si>
  <si>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</si>
  <si>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</si>
  <si>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</si>
  <si>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</si>
  <si>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</si>
  <si>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</si>
  <si>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</si>
  <si>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</si>
  <si>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</si>
  <si>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</si>
  <si>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</si>
  <si>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</si>
  <si>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</si>
  <si>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</si>
  <si>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</si>
  <si>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</si>
  <si>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</si>
  <si>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</si>
  <si>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</si>
  <si>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</si>
  <si>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</si>
  <si>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</si>
  <si>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</si>
  <si>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</si>
  <si>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</si>
  <si>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</si>
  <si>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</si>
  <si>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</si>
  <si>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</si>
  <si>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</si>
  <si>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</si>
  <si>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</si>
  <si>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</si>
  <si>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</si>
  <si>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</si>
  <si>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</si>
  <si>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</si>
  <si>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</si>
  <si>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</si>
  <si>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</si>
  <si>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</si>
  <si>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</si>
  <si>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</si>
  <si>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</si>
  <si>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</si>
  <si>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</si>
  <si>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</si>
  <si>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</si>
  <si>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</si>
  <si>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</si>
  <si>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</si>
  <si>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</si>
  <si>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</si>
  <si>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</si>
  <si>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</si>
  <si>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</si>
  <si>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</si>
  <si>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</si>
  <si>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</si>
  <si>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</si>
  <si>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</si>
  <si>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</si>
  <si>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</si>
  <si>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</si>
  <si>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</si>
  <si>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</si>
  <si>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</si>
  <si>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</si>
  <si>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</si>
  <si>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</si>
  <si>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</si>
  <si>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</si>
  <si>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</si>
  <si>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</si>
  <si>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</si>
  <si>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</si>
  <si>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</si>
  <si>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</si>
  <si>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</si>
  <si>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</si>
  <si>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</si>
  <si>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</si>
  <si>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</si>
  <si>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</si>
  <si>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</si>
  <si>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</si>
  <si>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</si>
  <si>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</si>
  <si>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</si>
  <si>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</si>
  <si>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</si>
  <si>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</si>
  <si>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</si>
  <si>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</si>
  <si>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</si>
  <si>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</si>
  <si>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</si>
  <si>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</si>
  <si>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</si>
  <si>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</si>
  <si>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</si>
  <si>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</si>
  <si>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</si>
  <si>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</si>
  <si>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</si>
  <si>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</si>
  <si>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</si>
  <si>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</si>
  <si>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</si>
  <si>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</si>
  <si>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</si>
  <si>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</si>
  <si>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</si>
  <si>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</si>
  <si>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</si>
  <si>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</si>
  <si>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</si>
  <si>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</si>
  <si>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</si>
  <si>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</si>
  <si>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</si>
  <si>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</si>
  <si>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</si>
  <si>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</si>
  <si>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</si>
  <si>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</si>
  <si>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</si>
  <si>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</si>
  <si>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</si>
  <si>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</si>
  <si>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</si>
  <si>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</si>
  <si>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</si>
  <si>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</si>
  <si>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</si>
  <si>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</si>
  <si>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</si>
  <si>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</si>
  <si>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</si>
  <si>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</si>
  <si>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</si>
  <si>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</si>
  <si>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</si>
  <si>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</si>
  <si>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</si>
  <si>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</si>
  <si>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</si>
  <si>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</si>
  <si>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</si>
  <si>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</si>
  <si>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</si>
  <si>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</si>
  <si>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</si>
  <si>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</si>
  <si>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</si>
  <si>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</si>
  <si>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</si>
  <si>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</si>
  <si>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</si>
  <si>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</si>
  <si>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</si>
  <si>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</si>
  <si>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</si>
  <si>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</si>
  <si>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</si>
  <si>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</si>
  <si>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</si>
  <si>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</si>
  <si>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</si>
  <si>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</si>
  <si>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</si>
  <si>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</si>
  <si>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</si>
  <si>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</si>
  <si>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</si>
  <si>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</si>
  <si>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</si>
  <si>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</si>
  <si>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</si>
  <si>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</si>
  <si>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</si>
  <si>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</si>
  <si>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</si>
  <si>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</si>
  <si>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</si>
  <si>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</si>
  <si>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</si>
  <si>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</si>
  <si>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</si>
  <si>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</si>
  <si>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</si>
  <si>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</si>
  <si>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</si>
  <si>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</si>
  <si>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</si>
  <si>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</si>
  <si>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</si>
  <si>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</si>
  <si>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</si>
  <si>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</si>
  <si>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</si>
  <si>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</si>
  <si>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</si>
  <si>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</si>
  <si>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</si>
  <si>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</si>
  <si>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</si>
  <si>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</si>
  <si>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</si>
  <si>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</si>
  <si>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</si>
  <si>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</si>
  <si>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</si>
  <si>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</si>
  <si>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</si>
  <si>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</si>
  <si>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</si>
  <si>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</si>
  <si>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</si>
  <si>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</si>
  <si>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</si>
  <si>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</si>
  <si>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</si>
  <si>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</si>
  <si>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</si>
  <si>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</si>
  <si>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</si>
  <si>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</si>
  <si>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</si>
  <si>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</si>
  <si>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</si>
  <si>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</si>
  <si>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</si>
  <si>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</si>
  <si>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</si>
  <si>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</si>
  <si>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</si>
  <si>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</si>
  <si>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</si>
  <si>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</si>
  <si>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</si>
  <si>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</si>
  <si>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</si>
  <si>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</si>
  <si>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</si>
  <si>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</si>
  <si>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</si>
  <si>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</si>
  <si>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</si>
  <si>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</si>
  <si>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</si>
  <si>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</si>
  <si>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</si>
  <si>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</si>
  <si>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</si>
  <si>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</si>
  <si>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</si>
  <si>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</si>
  <si>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</si>
  <si>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</si>
  <si>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</si>
  <si>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</si>
  <si>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</si>
  <si>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</si>
  <si>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</si>
  <si>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</si>
  <si>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</si>
  <si>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</si>
  <si>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</si>
  <si>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</si>
  <si>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</si>
  <si>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</si>
  <si>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</si>
  <si>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</si>
  <si>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</si>
  <si>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</si>
  <si>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</si>
  <si>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</si>
  <si>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</si>
  <si>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</si>
  <si>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</si>
  <si>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</si>
  <si>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</si>
  <si>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</si>
  <si>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</si>
  <si>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</si>
  <si>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</si>
  <si>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</si>
  <si>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</si>
  <si>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</si>
  <si>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</si>
  <si>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</si>
  <si>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</si>
  <si>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</si>
  <si>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</si>
  <si>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</si>
  <si>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</si>
  <si>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</si>
  <si>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</si>
  <si>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</si>
  <si>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</si>
  <si>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</si>
  <si>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</si>
  <si>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</si>
  <si>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</si>
  <si>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</si>
  <si>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</si>
  <si>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</si>
  <si>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</si>
  <si>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</si>
  <si>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</si>
  <si>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</si>
  <si>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</si>
  <si>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</si>
  <si>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</si>
  <si>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</si>
  <si>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</si>
  <si>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</si>
  <si>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</si>
  <si>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</si>
  <si>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</si>
  <si>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</si>
  <si>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</si>
  <si>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</si>
  <si>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</si>
  <si>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</si>
  <si>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</si>
  <si>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</si>
  <si>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</si>
  <si>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Facility EMS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</si>
</sst>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43599.321723726855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113859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43599.321723726855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Facility EMS</v>
      </c>
      <c r="J2" t="s">
        <v>55</v>
      </c>
    </row>
    <row r="3" ht="12.75">
      <c r="J3" s="35">
        <f>+Title_RESULTS!I4</f>
        <v>43599.321723726855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113859</v>
      </c>
      <c r="H5" t="s">
        <v>59</v>
      </c>
    </row>
    <row r="6" spans="3:7" ht="12.75">
      <c r="C6" t="s">
        <v>61</v>
      </c>
      <c r="G6" s="36">
        <f>+'Value of Defferal'!E3</f>
        <v>69755.62777510607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6893.411822627542</v>
      </c>
      <c r="D19" s="5">
        <f>IF((Title_RESULTS!$H$8-Title_RESULTS!$H$7)&lt;=('Sheet3(F_21)'!A19-Title_RESULTS!$H$7),((Title_RESULTS!$C$8*Partcipation!$C$26*8760*Title_RESULTS!$H$21/100000)),0)</f>
        <v>90764.02640673213</v>
      </c>
      <c r="E19" s="5">
        <f>IF($G19=0,0,((Title_RESULTS!$H$14*((1+Title_RESULTS!$H$15/100)^($A19-Title_RESULTS!$H$7))*'EUE_Line Losses'!$B$25*Partcipation!$C$26))/1000)</f>
        <v>715.0557348321202</v>
      </c>
      <c r="F19" s="5">
        <f>IF($G19=0,0,(Title_RESULTS!$H$19/100*((1+Title_RESULTS!$H$20/100)^($A19-Title_RESULTS!$H$7))*$D19*1000)/1000)</f>
        <v>204.65997566185231</v>
      </c>
      <c r="G19" s="5">
        <f>(+Title_RESULTS!$H$22/100*((1+Title_RESULTS!$H$23/100)^(+'Sheet4(F_22)'!A19-Title_RESULTS!$H$7)))*'Sheet3(F_21)'!D19</f>
        <v>3888.5931652551344</v>
      </c>
      <c r="H19" s="5">
        <f>IF($G19=0,0,(($D19))*(Partcipation!$G19/100))</f>
        <v>2879.6045326140884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8822.11616576256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7058.8537063706035</v>
      </c>
      <c r="D20" s="5">
        <f>IF((Title_RESULTS!$H$8-Title_RESULTS!$H$7)&lt;=('Sheet3(F_21)'!A20-Title_RESULTS!$H$7),((Title_RESULTS!$C$8*Partcipation!$C$26*8760*Title_RESULTS!$H$21/100000)),0)</f>
        <v>90764.02640673213</v>
      </c>
      <c r="E20" s="5">
        <f>IF($G20=0,0,((Title_RESULTS!$H$14*((1+Title_RESULTS!$H$15/100)^($A20-Title_RESULTS!$H$7))*'EUE_Line Losses'!$B$25*Partcipation!$C$26))/1000)</f>
        <v>732.2170724680909</v>
      </c>
      <c r="F20" s="5">
        <f>IF($G20=0,0,(Title_RESULTS!$H$19/100*((1+Title_RESULTS!$H$20/100)^($A20-Title_RESULTS!$H$7))*$D20*1000)/1000)</f>
        <v>209.57181507773674</v>
      </c>
      <c r="G20" s="5">
        <f>(+Title_RESULTS!$H$22/100*((1+Title_RESULTS!$H$23/100)^(+'Sheet4(F_22)'!A20-Title_RESULTS!$H$7)))*'Sheet3(F_21)'!D20</f>
        <v>4065.1352949577176</v>
      </c>
      <c r="H20" s="5">
        <f>IF($G20=0,0,(($D20))*(Partcipation!$G20/100))</f>
        <v>3008.4219214692307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9057.35596740492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7228.266195323498</v>
      </c>
      <c r="D21" s="5">
        <f>IF((Title_RESULTS!$H$8-Title_RESULTS!$H$7)&lt;=('Sheet3(F_21)'!A21-Title_RESULTS!$H$7),((Title_RESULTS!$C$8*Partcipation!$C$26*8760*Title_RESULTS!$H$21/100000)),0)</f>
        <v>90764.02640673213</v>
      </c>
      <c r="E21" s="5">
        <f>IF($G21=0,0,((Title_RESULTS!$H$14*((1+Title_RESULTS!$H$15/100)^($A21-Title_RESULTS!$H$7))*'EUE_Line Losses'!$B$25*Partcipation!$C$26))/1000)</f>
        <v>749.790282207325</v>
      </c>
      <c r="F21" s="5">
        <f>IF($G21=0,0,(Title_RESULTS!$H$19/100*((1+Title_RESULTS!$H$20/100)^($A21-Title_RESULTS!$H$7))*$D21*1000)/1000)</f>
        <v>214.60153863960244</v>
      </c>
      <c r="G21" s="5">
        <f>(+Title_RESULTS!$H$22/100*((1+Title_RESULTS!$H$23/100)^(+'Sheet4(F_22)'!A21-Title_RESULTS!$H$7)))*'Sheet3(F_21)'!D21</f>
        <v>4249.692437348799</v>
      </c>
      <c r="H21" s="5">
        <f>IF($G21=0,0,(($D21))*(Partcipation!$G21/100))</f>
        <v>3127.6406079682542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9314.70984555097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7401.744584011262</v>
      </c>
      <c r="D22" s="5">
        <f>IF((Title_RESULTS!$H$8-Title_RESULTS!$H$7)&lt;=('Sheet3(F_21)'!A22-Title_RESULTS!$H$7),((Title_RESULTS!$C$8*Partcipation!$C$26*8760*Title_RESULTS!$H$21/100000)),0)</f>
        <v>90764.02640673213</v>
      </c>
      <c r="E22" s="5">
        <f>IF($G22=0,0,((Title_RESULTS!$H$14*((1+Title_RESULTS!$H$15/100)^($A22-Title_RESULTS!$H$7))*'EUE_Line Losses'!$B$25*Partcipation!$C$26))/1000)</f>
        <v>767.7852489803007</v>
      </c>
      <c r="F22" s="5">
        <f>IF($G22=0,0,(Title_RESULTS!$H$19/100*((1+Title_RESULTS!$H$20/100)^($A22-Title_RESULTS!$H$7))*$D22*1000)/1000)</f>
        <v>219.7519755669529</v>
      </c>
      <c r="G22" s="5">
        <f>(+Title_RESULTS!$H$22/100*((1+Title_RESULTS!$H$23/100)^(+'Sheet4(F_22)'!A22-Title_RESULTS!$H$7)))*'Sheet3(F_21)'!D22</f>
        <v>4442.628474004435</v>
      </c>
      <c r="H22" s="5">
        <f>IF($G22=0,0,(($D22))*(Partcipation!$G22/100))</f>
        <v>3228.977281591339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9602.933000971612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7579.386454027533</v>
      </c>
      <c r="D23" s="5">
        <f>IF((Title_RESULTS!$H$8-Title_RESULTS!$H$7)&lt;=('Sheet3(F_21)'!A23-Title_RESULTS!$H$7),((Title_RESULTS!$C$8*Partcipation!$C$26*8760*Title_RESULTS!$H$21/100000)),0)</f>
        <v>90764.02640673213</v>
      </c>
      <c r="E23" s="5">
        <f>IF($G23=0,0,((Title_RESULTS!$H$14*((1+Title_RESULTS!$H$15/100)^($A23-Title_RESULTS!$H$7))*'EUE_Line Losses'!$B$25*Partcipation!$C$26))/1000)</f>
        <v>786.2120949558282</v>
      </c>
      <c r="F23" s="5">
        <f>IF($G23=0,0,(Title_RESULTS!$H$19/100*((1+Title_RESULTS!$H$20/100)^($A23-Title_RESULTS!$H$7))*$D23*1000)/1000)</f>
        <v>225.02602298055976</v>
      </c>
      <c r="G23" s="5">
        <f>(+Title_RESULTS!$H$22/100*((1+Title_RESULTS!$H$23/100)^(+'Sheet4(F_22)'!A23-Title_RESULTS!$H$7)))*'Sheet3(F_21)'!D23</f>
        <v>4644.323806724236</v>
      </c>
      <c r="H23" s="5">
        <f>IF($G23=0,0,(($D23))*(Partcipation!$G23/100))</f>
        <v>3373.5052356176357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9861.443143070523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7761.291728924193</v>
      </c>
      <c r="D24" s="5">
        <f>IF((Title_RESULTS!$H$8-Title_RESULTS!$H$7)&lt;=('Sheet3(F_21)'!A24-Title_RESULTS!$H$7),((Title_RESULTS!$C$8*Partcipation!$C$26*8760*Title_RESULTS!$H$21/100000)),0)</f>
        <v>90764.02640673213</v>
      </c>
      <c r="E24" s="5">
        <f>IF($G24=0,0,((Title_RESULTS!$H$14*((1+Title_RESULTS!$H$15/100)^($A24-Title_RESULTS!$H$7))*'EUE_Line Losses'!$B$25*Partcipation!$C$26))/1000)</f>
        <v>805.081185234768</v>
      </c>
      <c r="F24" s="5">
        <f>IF($G24=0,0,(Title_RESULTS!$H$19/100*((1+Title_RESULTS!$H$20/100)^($A24-Title_RESULTS!$H$7))*$D24*1000)/1000)</f>
        <v>230.4266475320932</v>
      </c>
      <c r="G24" s="5">
        <f>(+Title_RESULTS!$H$22/100*((1+Title_RESULTS!$H$23/100)^(+'Sheet4(F_22)'!A24-Title_RESULTS!$H$7)))*'Sheet3(F_21)'!D24</f>
        <v>4855.176107549518</v>
      </c>
      <c r="H24" s="5">
        <f>IF($G24=0,0,(($D24))*(Partcipation!$G24/100))</f>
        <v>3630.783554912226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10021.192114328347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7947.562730418374</v>
      </c>
      <c r="D25" s="5">
        <f>IF((Title_RESULTS!$H$8-Title_RESULTS!$H$7)&lt;=('Sheet3(F_21)'!A25-Title_RESULTS!$H$7),((Title_RESULTS!$C$8*Partcipation!$C$26*8760*Title_RESULTS!$H$21/100000)),0)</f>
        <v>90764.02640673213</v>
      </c>
      <c r="E25" s="5">
        <f>IF($G25=0,0,((Title_RESULTS!$H$14*((1+Title_RESULTS!$H$15/100)^($A25-Title_RESULTS!$H$7))*'EUE_Line Losses'!$B$25*Partcipation!$C$26))/1000)</f>
        <v>824.4031336804024</v>
      </c>
      <c r="F25" s="5">
        <f>IF($G25=0,0,(Title_RESULTS!$H$19/100*((1+Title_RESULTS!$H$20/100)^($A25-Title_RESULTS!$H$7))*$D25*1000)/1000)</f>
        <v>235.9568870728634</v>
      </c>
      <c r="G25" s="5">
        <f>(+Title_RESULTS!$H$22/100*((1+Title_RESULTS!$H$23/100)^(+'Sheet4(F_22)'!A25-Title_RESULTS!$H$7)))*'Sheet3(F_21)'!D25</f>
        <v>5075.601102832266</v>
      </c>
      <c r="H25" s="5">
        <f>IF($G25=0,0,(($D25))*(Partcipation!$G25/100))</f>
        <v>3790.122864110827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10293.40098989308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8138.304235948415</v>
      </c>
      <c r="D26" s="5">
        <f>IF((Title_RESULTS!$H$8-Title_RESULTS!$H$7)&lt;=('Sheet3(F_21)'!A26-Title_RESULTS!$H$7),((Title_RESULTS!$C$8*Partcipation!$C$26*8760*Title_RESULTS!$H$21/100000)),0)</f>
        <v>90764.02640673213</v>
      </c>
      <c r="E26" s="5">
        <f>IF($G26=0,0,((Title_RESULTS!$H$14*((1+Title_RESULTS!$H$15/100)^($A26-Title_RESULTS!$H$7))*'EUE_Line Losses'!$B$25*Partcipation!$C$26))/1000)</f>
        <v>844.188808888732</v>
      </c>
      <c r="F26" s="5">
        <f>IF($G26=0,0,(Title_RESULTS!$H$19/100*((1+Title_RESULTS!$H$20/100)^($A26-Title_RESULTS!$H$7))*$D26*1000)/1000)</f>
        <v>241.6198523626121</v>
      </c>
      <c r="G26" s="5">
        <f>(+Title_RESULTS!$H$22/100*((1+Title_RESULTS!$H$23/100)^(+'Sheet4(F_22)'!A26-Title_RESULTS!$H$7)))*'Sheet3(F_21)'!D26</f>
        <v>5306.033392900851</v>
      </c>
      <c r="H26" s="5">
        <f>IF($G26=0,0,(($D26))*(Partcipation!$G26/100))</f>
        <v>4071.9295157688025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10458.216774331806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8333.623537611178</v>
      </c>
      <c r="D27" s="5">
        <f>IF((Title_RESULTS!$H$8-Title_RESULTS!$H$7)&lt;=('Sheet3(F_21)'!A27-Title_RESULTS!$H$7),((Title_RESULTS!$C$8*Partcipation!$C$26*8760*Title_RESULTS!$H$21/100000)),0)</f>
        <v>90764.02640673213</v>
      </c>
      <c r="E27" s="5">
        <f>IF($G27=0,0,((Title_RESULTS!$H$14*((1+Title_RESULTS!$H$15/100)^($A27-Title_RESULTS!$H$7))*'EUE_Line Losses'!$B$25*Partcipation!$C$26))/1000)</f>
        <v>864.4493403020616</v>
      </c>
      <c r="F27" s="5">
        <f>IF($G27=0,0,(Title_RESULTS!$H$19/100*((1+Title_RESULTS!$H$20/100)^($A27-Title_RESULTS!$H$7))*$D27*1000)/1000)</f>
        <v>247.41872881931485</v>
      </c>
      <c r="G27" s="5">
        <f>(+Title_RESULTS!$H$22/100*((1+Title_RESULTS!$H$23/100)^(+'Sheet4(F_22)'!A27-Title_RESULTS!$H$7)))*'Sheet3(F_21)'!D27</f>
        <v>5546.927308938551</v>
      </c>
      <c r="H27" s="5">
        <f>IF($G27=0,0,(($D27))*(Partcipation!$G27/100))</f>
        <v>4173.186417850479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10819.232497820627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8533.630502513846</v>
      </c>
      <c r="D28" s="5">
        <f>IF((Title_RESULTS!$H$8-Title_RESULTS!$H$7)&lt;=('Sheet3(F_21)'!A28-Title_RESULTS!$H$7),((Title_RESULTS!$C$8*Partcipation!$C$26*8760*Title_RESULTS!$H$21/100000)),0)</f>
        <v>90764.02640673213</v>
      </c>
      <c r="E28" s="5">
        <f>IF($G28=0,0,((Title_RESULTS!$H$14*((1+Title_RESULTS!$H$15/100)^($A28-Title_RESULTS!$H$7))*'EUE_Line Losses'!$B$25*Partcipation!$C$26))/1000)</f>
        <v>885.1961244693111</v>
      </c>
      <c r="F28" s="5">
        <f>IF($G28=0,0,(Title_RESULTS!$H$19/100*((1+Title_RESULTS!$H$20/100)^($A28-Title_RESULTS!$H$7))*$D28*1000)/1000)</f>
        <v>253.35677831097837</v>
      </c>
      <c r="G28" s="5">
        <f>(+Title_RESULTS!$H$22/100*((1+Title_RESULTS!$H$23/100)^(+'Sheet4(F_22)'!A28-Title_RESULTS!$H$7)))*'Sheet3(F_21)'!D28</f>
        <v>5798.7578087643615</v>
      </c>
      <c r="H28" s="5">
        <f>IF($G28=0,0,(($D28))*(Partcipation!$G28/100))</f>
        <v>4423.618965402733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11047.322248655764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8738.43763457418</v>
      </c>
      <c r="D29" s="5">
        <f>IF((Title_RESULTS!$H$8-Title_RESULTS!$H$7)&lt;=('Sheet3(F_21)'!A29-Title_RESULTS!$H$7),((Title_RESULTS!$C$8*Partcipation!$C$26*8760*Title_RESULTS!$H$21/100000)),0)</f>
        <v>90764.02640673213</v>
      </c>
      <c r="E29" s="5">
        <f>IF($G29=0,0,((Title_RESULTS!$H$14*((1+Title_RESULTS!$H$15/100)^($A29-Title_RESULTS!$H$7))*'EUE_Line Losses'!$B$25*Partcipation!$C$26))/1000)</f>
        <v>906.4408314565745</v>
      </c>
      <c r="F29" s="5">
        <f>IF($G29=0,0,(Title_RESULTS!$H$19/100*((1+Title_RESULTS!$H$20/100)^($A29-Title_RESULTS!$H$7))*$D29*1000)/1000)</f>
        <v>259.4373409904419</v>
      </c>
      <c r="G29" s="5">
        <f>(+Title_RESULTS!$H$22/100*((1+Title_RESULTS!$H$23/100)^(+'Sheet4(F_22)'!A29-Title_RESULTS!$H$7)))*'Sheet3(F_21)'!D29</f>
        <v>6062.021413282263</v>
      </c>
      <c r="H29" s="5">
        <f>IF($G29=0,0,(($D29))*(Partcipation!$G29/100))</f>
        <v>4524.510472867062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11441.826747436397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8948.16013780396</v>
      </c>
      <c r="D30" s="5">
        <f>IF((Title_RESULTS!$H$8-Title_RESULTS!$H$7)&lt;=('Sheet3(F_21)'!A30-Title_RESULTS!$H$7),((Title_RESULTS!$C$8*Partcipation!$C$26*8760*Title_RESULTS!$H$21/100000)),0)</f>
        <v>90764.02640673213</v>
      </c>
      <c r="E30" s="5">
        <f>IF($G30=0,0,((Title_RESULTS!$H$14*((1+Title_RESULTS!$H$15/100)^($A30-Title_RESULTS!$H$7))*'EUE_Line Losses'!$B$25*Partcipation!$C$26))/1000)</f>
        <v>928.1954114115322</v>
      </c>
      <c r="F30" s="5">
        <f>IF($G30=0,0,(Title_RESULTS!$H$19/100*((1+Title_RESULTS!$H$20/100)^($A30-Title_RESULTS!$H$7))*$D30*1000)/1000)</f>
        <v>265.66383717421246</v>
      </c>
      <c r="G30" s="5">
        <f>(+Title_RESULTS!$H$22/100*((1+Title_RESULTS!$H$23/100)^(+'Sheet4(F_22)'!A30-Title_RESULTS!$H$7)))*'Sheet3(F_21)'!D30</f>
        <v>6337.237185445279</v>
      </c>
      <c r="H30" s="5">
        <f>IF($G30=0,0,(($D30))*(Partcipation!$G30/100))</f>
        <v>4816.464003861746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11662.792567973236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94562.67327015458</v>
      </c>
      <c r="D32" s="9">
        <f t="shared" si="1"/>
        <v>1089168.3168807856</v>
      </c>
      <c r="E32" s="9">
        <f t="shared" si="1"/>
        <v>9809.015268887048</v>
      </c>
      <c r="F32" s="9">
        <f t="shared" si="1"/>
        <v>2807.4914001892207</v>
      </c>
      <c r="G32" s="9">
        <f t="shared" si="1"/>
        <v>60272.127498003414</v>
      </c>
      <c r="H32" s="9">
        <f t="shared" si="1"/>
        <v>45048.765374034425</v>
      </c>
      <c r="I32" s="9">
        <f t="shared" si="1"/>
        <v>0</v>
      </c>
      <c r="J32" s="9">
        <f t="shared" si="1"/>
        <v>122402.54206319986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53321.174715422596</v>
      </c>
      <c r="D34" s="5"/>
      <c r="E34" s="5">
        <f>NPV(Title_RESULTS!$C$37,E17:E31)+'Sheet3(F_21)'!E16</f>
        <v>5531.021901679357</v>
      </c>
      <c r="F34" s="5">
        <f>NPV(Title_RESULTS!$C$37,F17:F31)+'Sheet3(F_21)'!F16</f>
        <v>1583.0637426446683</v>
      </c>
      <c r="G34" s="5">
        <f>NPV(Title_RESULTS!$C$37,G17:G31)+'Sheet3(F_21)'!G16</f>
        <v>33419.24714539296</v>
      </c>
      <c r="H34" s="5">
        <f>NPV(Title_RESULTS!$C$37,H17:H31)+'Sheet3(F_21)'!H16</f>
        <v>24910.8213037647</v>
      </c>
      <c r="I34" s="5">
        <f>NPV(Title_RESULTS!$C$37,I17:I31)+'Sheet3(F_21)'!I16</f>
        <v>0</v>
      </c>
      <c r="J34" s="5">
        <f>NPV(Title_RESULTS!$C$37,J17:J31)+'Sheet3(F_21)'!J16</f>
        <v>68943.68620137488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Facility EMS</v>
      </c>
      <c r="F2" t="s">
        <v>55</v>
      </c>
    </row>
    <row r="3" spans="6:7" ht="12.75">
      <c r="F3" s="35">
        <f>+Title_RESULTS!I4</f>
        <v>43599.321723726855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101067.36814345993</v>
      </c>
      <c r="C16" s="5">
        <f>$B16*'Sheet2(F_12)'!$E16/100</f>
        <v>2931.6708740141185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2931.6708740141185</v>
      </c>
      <c r="G16" s="5">
        <f>+$F16*'Sheet2(F_12)'!$I16</f>
        <v>2931.6708740141185</v>
      </c>
    </row>
    <row r="17" spans="1:7" ht="12.75">
      <c r="A17">
        <f>+A16+1</f>
        <v>2021</v>
      </c>
      <c r="B17" s="5">
        <f>(+Partcipation!$C16+(Partcipation!$C17-Partcipation!$C16)/2)*Title_RESULTS!$C$10/1000</f>
        <v>303202.1044303798</v>
      </c>
      <c r="C17" s="5">
        <f>$B17*'Sheet2(F_12)'!$E17/100</f>
        <v>8723.475280534123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8723.475280534123</v>
      </c>
      <c r="G17" s="5">
        <f>+$F17*'Sheet2(F_12)'!$I17</f>
        <v>8723.475280534123</v>
      </c>
    </row>
    <row r="18" spans="1:7" ht="12.75">
      <c r="A18">
        <f>+A17+1</f>
        <v>2022</v>
      </c>
      <c r="B18" s="5">
        <f>(+Partcipation!$C17+(Partcipation!$C18-Partcipation!$C17)/2)*Title_RESULTS!$C$10/1000</f>
        <v>505336.84071729967</v>
      </c>
      <c r="C18" s="5">
        <f>$B18*'Sheet2(F_12)'!$E18/100</f>
        <v>15005.350621287147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15005.350621287147</v>
      </c>
      <c r="G18" s="5">
        <f>+$F18*'Sheet2(F_12)'!$I18</f>
        <v>15005.350621287147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606404.2088607596</v>
      </c>
      <c r="C19" s="5">
        <f>$B19*'Sheet2(F_12)'!$E19/100</f>
        <v>18745.112447913663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18745.112447913663</v>
      </c>
      <c r="G19" s="5">
        <f>+$F19*'Sheet2(F_12)'!$I19</f>
        <v>18745.112447913663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606404.2088607596</v>
      </c>
      <c r="C20" s="5">
        <f>$B20*'Sheet2(F_12)'!$E20/100</f>
        <v>19481.724712573163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19481.724712573163</v>
      </c>
      <c r="G20" s="5">
        <f>+$F20*'Sheet2(F_12)'!$I20</f>
        <v>19481.724712573163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606404.2088607596</v>
      </c>
      <c r="C21" s="5">
        <f>$B21*'Sheet2(F_12)'!$E21/100</f>
        <v>20917.5070692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20917.5070692</v>
      </c>
      <c r="G21" s="5">
        <f>+$F21*'Sheet2(F_12)'!$I21</f>
        <v>20917.5070692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606404.2088607596</v>
      </c>
      <c r="C22" s="5">
        <f>$B22*'Sheet2(F_12)'!$E22/100</f>
        <v>21588.428255533163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21588.428255533163</v>
      </c>
      <c r="G22" s="5">
        <f>+$F22*'Sheet2(F_12)'!$I22</f>
        <v>21588.428255533163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606404.2088607596</v>
      </c>
      <c r="C23" s="5">
        <f>$B23*'Sheet2(F_12)'!$E23/100</f>
        <v>22937.608396023596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22937.608396023596</v>
      </c>
      <c r="G23" s="5">
        <f>+$F23*'Sheet2(F_12)'!$I23</f>
        <v>22937.608396023596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606404.2088607596</v>
      </c>
      <c r="C24" s="5">
        <f>$B24*'Sheet2(F_12)'!$E24/100</f>
        <v>25417.522620246444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25417.522620246444</v>
      </c>
      <c r="G24" s="5">
        <f>+$F24*'Sheet2(F_12)'!$I24</f>
        <v>25417.522620246444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606404.2088607596</v>
      </c>
      <c r="C25" s="5">
        <f>$B25*'Sheet2(F_12)'!$E25/100</f>
        <v>27231.42553443443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27231.42553443443</v>
      </c>
      <c r="G25" s="5">
        <f>+$F25*'Sheet2(F_12)'!$I25</f>
        <v>27231.42553443443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606404.2088607596</v>
      </c>
      <c r="C26" s="5">
        <f>$B26*'Sheet2(F_12)'!$E26/100</f>
        <v>30415.99369535843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30415.99369535843</v>
      </c>
      <c r="G26" s="5">
        <f>+$F26*'Sheet2(F_12)'!$I26</f>
        <v>30415.99369535843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606404.2088607596</v>
      </c>
      <c r="C27" s="5">
        <f>$B27*'Sheet2(F_12)'!$E27/100</f>
        <v>30302.88131210745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30302.88131210745</v>
      </c>
      <c r="G27" s="5">
        <f>+$F27*'Sheet2(F_12)'!$I27</f>
        <v>30302.88131210745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606404.2088607596</v>
      </c>
      <c r="C28" s="5">
        <f>$B28*'Sheet2(F_12)'!$E28/100</f>
        <v>33118.248564007816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33118.248564007816</v>
      </c>
      <c r="G28" s="5">
        <f>+$F28*'Sheet2(F_12)'!$I28</f>
        <v>33118.248564007816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606404.2088607596</v>
      </c>
      <c r="C29" s="5">
        <f>$B29*'Sheet2(F_12)'!$E29/100</f>
        <v>35317.59952712512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35317.59952712512</v>
      </c>
      <c r="G29" s="5">
        <f>+$F29*'Sheet2(F_12)'!$I29</f>
        <v>35317.59952712512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606404.2088607596</v>
      </c>
      <c r="C30" s="5">
        <f>$B30*'Sheet2(F_12)'!$E30/100</f>
        <v>36962.06713568219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36962.06713568219</v>
      </c>
      <c r="G30" s="5">
        <f>+$F30*'Sheet2(F_12)'!$I30</f>
        <v>36962.06713568219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8186456.819620255</v>
      </c>
      <c r="C32" s="5">
        <f t="shared" si="2"/>
        <v>349096.6160460409</v>
      </c>
      <c r="D32" s="5">
        <f t="shared" si="2"/>
        <v>0</v>
      </c>
      <c r="E32" s="5">
        <f t="shared" si="2"/>
        <v>0</v>
      </c>
      <c r="F32" s="5">
        <f t="shared" si="2"/>
        <v>349096.6160460409</v>
      </c>
      <c r="G32" s="5">
        <f t="shared" si="2"/>
        <v>349096.6160460409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199955.7839907986</v>
      </c>
      <c r="D34" s="5"/>
      <c r="E34" s="5">
        <f>NPV(+Title_RESULTS!$C$37,E17:E31)+E16</f>
        <v>0</v>
      </c>
      <c r="F34" s="5">
        <f>NPV(+Title_RESULTS!$C$37,F17:F31)+F16</f>
        <v>199955.7839907986</v>
      </c>
      <c r="G34" s="5">
        <f>NPV(+Title_RESULTS!$C$37,G17:G31)+G16</f>
        <v>199955.7839907986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Facility EMS</v>
      </c>
      <c r="J2" t="s">
        <v>42</v>
      </c>
    </row>
    <row r="3" spans="9:10" ht="12.75">
      <c r="I3" s="4"/>
      <c r="J3" s="35">
        <f>+Title_RESULTS!I4</f>
        <v>43599.321723726855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Facility EMS</v>
      </c>
      <c r="H2" t="s">
        <v>108</v>
      </c>
    </row>
    <row r="3" ht="12.75">
      <c r="H3" s="35">
        <f>+Title_RESULTS!I4</f>
        <v>43599.321723726855</v>
      </c>
    </row>
    <row r="5" spans="3:6" ht="12.75">
      <c r="C5" t="s">
        <v>60</v>
      </c>
      <c r="F5" s="38">
        <f>+'Value of Defferal'!L4</f>
        <v>4069.0473984</v>
      </c>
    </row>
    <row r="6" spans="3:6" ht="12.75">
      <c r="C6" t="s">
        <v>62</v>
      </c>
      <c r="F6" s="38">
        <f>+'Value of Defferal'!L5</f>
        <v>10463.230464000002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2931.6708740141185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402.1126371824091</v>
      </c>
      <c r="C17" s="5">
        <f>IF(+Title_RESULTS!$H$9&lt;='Sheet4(F_22)'!$A17,(+Title_RESULTS!$H$16*((1+Title_RESULTS!$H$18/100)^('Sheet4(F_22)'!$A17-Title_RESULTS!$H$7))*Title_RESULTS!$C$8*Partcipation!$C$26/1000),0)</f>
        <v>324.12535658158015</v>
      </c>
      <c r="D17" s="5">
        <f>(+B17+C17)*+Partcipation!$H17</f>
        <v>726.2379937639893</v>
      </c>
      <c r="E17" s="5">
        <f>VLOOKUP(A17,'Value of Defferal'!$I24:$P$58,'Value of Defferal'!$K$13)</f>
        <v>1034.000537074295</v>
      </c>
      <c r="F17" s="5">
        <f>IF(+'Value of Defferal'!P24=0,0,Title_RESULTS!$H$17*Title_RESULTS!$C$7*Partcipation!$C$26*(1+Title_RESULTS!$H$18/100)^('Sheet4(F_22)'!A17-Title_RESULTS!$H$7))/1000</f>
        <v>1440.488448</v>
      </c>
      <c r="G17" s="5">
        <f>(+E17+F17)*Partcipation!$H17</f>
        <v>2474.4889850742948</v>
      </c>
      <c r="H17" s="5">
        <f>+'Sheet5(p_5)'!$F17*'Sheet2(F_12)'!$I17</f>
        <v>8723.475280534123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411.7633404747869</v>
      </c>
      <c r="C18" s="5">
        <f>IF(+Title_RESULTS!$H$9&lt;='Sheet4(F_22)'!$A18,(+Title_RESULTS!$H$16*((1+Title_RESULTS!$H$18/100)^('Sheet4(F_22)'!$A18-Title_RESULTS!$H$7))*Title_RESULTS!$C$8*Partcipation!$C$26/1000),0)</f>
        <v>331.904365139538</v>
      </c>
      <c r="D18" s="5">
        <f>(+B18+C18)*+Partcipation!$H18</f>
        <v>743.6677056143249</v>
      </c>
      <c r="E18" s="5">
        <f>VLOOKUP(A18,'Value of Defferal'!$I25:$P$58,'Value of Defferal'!$K$13)</f>
        <v>1058.816549964078</v>
      </c>
      <c r="F18" s="5">
        <f>IF(+'Value of Defferal'!P25=0,0,Title_RESULTS!$H$17*Title_RESULTS!$C$7*Partcipation!$C$26*(1+Title_RESULTS!$H$18/100)^('Sheet4(F_22)'!A18-Title_RESULTS!$H$7))/1000</f>
        <v>1475.0601707519997</v>
      </c>
      <c r="G18" s="5">
        <f>(+E18+F18)*Partcipation!$H18</f>
        <v>2533.8767207160777</v>
      </c>
      <c r="H18" s="5">
        <f>+'Sheet5(p_5)'!$F18*'Sheet2(F_12)'!$I18</f>
        <v>15005.350621287147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421.6456606461818</v>
      </c>
      <c r="C19" s="5">
        <f>IF(+Title_RESULTS!$H$9&lt;='Sheet4(F_22)'!$A19,(+Title_RESULTS!$H$16*((1+Title_RESULTS!$H$18/100)^('Sheet4(F_22)'!$A19-Title_RESULTS!$H$7))*Title_RESULTS!$C$8*Partcipation!$C$26/1000),0)</f>
        <v>339.870069902887</v>
      </c>
      <c r="D19" s="5">
        <f>(+B19+C19)*+Partcipation!$H19</f>
        <v>761.5157305490688</v>
      </c>
      <c r="E19" s="5">
        <f>VLOOKUP(A19,'Value of Defferal'!$I26:$P$58,'Value of Defferal'!$K$13)</f>
        <v>1084.228147163216</v>
      </c>
      <c r="F19" s="5">
        <f>IF(+'Value of Defferal'!P26=0,0,Title_RESULTS!$H$17*Title_RESULTS!$C$7*Partcipation!$C$26*(1+Title_RESULTS!$H$18/100)^('Sheet4(F_22)'!A19-Title_RESULTS!$H$7))/1000</f>
        <v>1510.4616148500481</v>
      </c>
      <c r="G19" s="5">
        <f>(+E19+F19)*Partcipation!$H19</f>
        <v>2594.689762013264</v>
      </c>
      <c r="H19" s="5">
        <f>+'Sheet5(p_5)'!$F19*'Sheet2(F_12)'!$I19</f>
        <v>18745.112447913663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431.76515650169017</v>
      </c>
      <c r="C20" s="5">
        <f>IF(+Title_RESULTS!$H$9&lt;='Sheet4(F_22)'!$A20,(+Title_RESULTS!$H$16*((1+Title_RESULTS!$H$18/100)^('Sheet4(F_22)'!$A20-Title_RESULTS!$H$7))*Title_RESULTS!$C$8*Partcipation!$C$26/1000),0)</f>
        <v>348.0269515805563</v>
      </c>
      <c r="D20" s="5">
        <f>(+B20+C20)*+Partcipation!$H20</f>
        <v>779.7921080822464</v>
      </c>
      <c r="E20" s="5">
        <f>VLOOKUP(A20,'Value of Defferal'!$I27:$P$58,'Value of Defferal'!$K$13)</f>
        <v>1110.249622695133</v>
      </c>
      <c r="F20" s="5">
        <f>IF(+'Value of Defferal'!P27=0,0,Title_RESULTS!$H$17*Title_RESULTS!$C$7*Partcipation!$C$26*(1+Title_RESULTS!$H$18/100)^('Sheet4(F_22)'!A20-Title_RESULTS!$H$7))/1000</f>
        <v>1546.712693606449</v>
      </c>
      <c r="G20" s="5">
        <f>(+E20+F20)*Partcipation!$H20</f>
        <v>2656.962316301582</v>
      </c>
      <c r="H20" s="5">
        <f>+'Sheet5(p_5)'!$F20*'Sheet2(F_12)'!$I20</f>
        <v>19481.724712573163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442.12752025773074</v>
      </c>
      <c r="C21" s="5">
        <f>IF(+Title_RESULTS!$H$9&lt;='Sheet4(F_22)'!$A21,(+Title_RESULTS!$H$16*((1+Title_RESULTS!$H$18/100)^('Sheet4(F_22)'!$A21-Title_RESULTS!$H$7))*Title_RESULTS!$C$8*Partcipation!$C$26/1000),0)</f>
        <v>356.37959841848965</v>
      </c>
      <c r="D21" s="5">
        <f>(+B21+C21)*+Partcipation!$H21</f>
        <v>798.5071186762204</v>
      </c>
      <c r="E21" s="5">
        <f>VLOOKUP(A21,'Value of Defferal'!$I28:$P$58,'Value of Defferal'!$K$13)</f>
        <v>1136.8956136398162</v>
      </c>
      <c r="F21" s="5">
        <f>IF(+'Value of Defferal'!P28=0,0,Title_RESULTS!$H$17*Title_RESULTS!$C$7*Partcipation!$C$26*(1+Title_RESULTS!$H$18/100)^('Sheet4(F_22)'!A21-Title_RESULTS!$H$7))/1000</f>
        <v>1583.833798253004</v>
      </c>
      <c r="G21" s="5">
        <f>(+E21+F21)*Partcipation!$H21</f>
        <v>2720.7294118928203</v>
      </c>
      <c r="H21" s="5">
        <f>+'Sheet5(p_5)'!$F21*'Sheet2(F_12)'!$I21</f>
        <v>20917.5070692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452.73858074391626</v>
      </c>
      <c r="C22" s="5">
        <f>IF(+Title_RESULTS!$H$9&lt;='Sheet4(F_22)'!$A22,(+Title_RESULTS!$H$16*((1+Title_RESULTS!$H$18/100)^('Sheet4(F_22)'!$A22-Title_RESULTS!$H$7))*Title_RESULTS!$C$8*Partcipation!$C$26/1000),0)</f>
        <v>364.93270878053335</v>
      </c>
      <c r="D22" s="5">
        <f>(+B22+C22)*+Partcipation!$H22</f>
        <v>817.6712895244495</v>
      </c>
      <c r="E22" s="5">
        <f>VLOOKUP(A22,'Value of Defferal'!$I29:$P$58,'Value of Defferal'!$K$13)</f>
        <v>1164.1811083671719</v>
      </c>
      <c r="F22" s="5">
        <f>IF(+'Value of Defferal'!P29=0,0,Title_RESULTS!$H$17*Title_RESULTS!$C$7*Partcipation!$C$26*(1+Title_RESULTS!$H$18/100)^('Sheet4(F_22)'!A22-Title_RESULTS!$H$7))/1000</f>
        <v>1621.8458094110758</v>
      </c>
      <c r="G22" s="5">
        <f>(+E22+F22)*Partcipation!$H22</f>
        <v>2786.0269177782475</v>
      </c>
      <c r="H22" s="5">
        <f>+'Sheet5(p_5)'!$F22*'Sheet2(F_12)'!$I22</f>
        <v>21588.428255533163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463.60430668177025</v>
      </c>
      <c r="C23" s="5">
        <f>IF(+Title_RESULTS!$H$9&lt;='Sheet4(F_22)'!$A23,(+Title_RESULTS!$H$16*((1+Title_RESULTS!$H$18/100)^('Sheet4(F_22)'!$A23-Title_RESULTS!$H$7))*Title_RESULTS!$C$8*Partcipation!$C$26/1000),0)</f>
        <v>373.69109379126616</v>
      </c>
      <c r="D23" s="5">
        <f>(+B23+C23)*+Partcipation!$H23</f>
        <v>837.2954004730364</v>
      </c>
      <c r="E23" s="5">
        <f>VLOOKUP(A23,'Value of Defferal'!$I30:$P$58,'Value of Defferal'!$K$13)</f>
        <v>1192.121454967984</v>
      </c>
      <c r="F23" s="5">
        <f>IF(+'Value of Defferal'!P30=0,0,Title_RESULTS!$H$17*Title_RESULTS!$C$7*Partcipation!$C$26*(1+Title_RESULTS!$H$18/100)^('Sheet4(F_22)'!A23-Title_RESULTS!$H$7))/1000</f>
        <v>1660.7701088369422</v>
      </c>
      <c r="G23" s="5">
        <f>(+E23+F23)*Partcipation!$H23</f>
        <v>2852.891563804926</v>
      </c>
      <c r="H23" s="5">
        <f>+'Sheet5(p_5)'!$F23*'Sheet2(F_12)'!$I23</f>
        <v>22937.608396023596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474.7308100421327</v>
      </c>
      <c r="C24" s="5">
        <f>IF(+Title_RESULTS!$H$9&lt;='Sheet4(F_22)'!$A24,(+Title_RESULTS!$H$16*((1+Title_RESULTS!$H$18/100)^('Sheet4(F_22)'!$A24-Title_RESULTS!$H$7))*Title_RESULTS!$C$8*Partcipation!$C$26/1000),0)</f>
        <v>382.6596800422565</v>
      </c>
      <c r="D24" s="5">
        <f>(+B24+C24)*+Partcipation!$H24</f>
        <v>857.3904900843893</v>
      </c>
      <c r="E24" s="5">
        <f>VLOOKUP(A24,'Value of Defferal'!$I31:$P$58,'Value of Defferal'!$K$13)</f>
        <v>1220.7323698872156</v>
      </c>
      <c r="F24" s="5">
        <f>IF(+'Value of Defferal'!P31=0,0,Title_RESULTS!$H$17*Title_RESULTS!$C$7*Partcipation!$C$26*(1+Title_RESULTS!$H$18/100)^('Sheet4(F_22)'!A24-Title_RESULTS!$H$7))/1000</f>
        <v>1700.6285914490284</v>
      </c>
      <c r="G24" s="5">
        <f>(+E24+F24)*Partcipation!$H24</f>
        <v>2921.360961336244</v>
      </c>
      <c r="H24" s="5">
        <f>+'Sheet5(p_5)'!$F24*'Sheet2(F_12)'!$I24</f>
        <v>25417.522620246444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486.12434948314393</v>
      </c>
      <c r="C25" s="5">
        <f>IF(+Title_RESULTS!$H$9&lt;='Sheet4(F_22)'!$A25,(+Title_RESULTS!$H$16*((1+Title_RESULTS!$H$18/100)^('Sheet4(F_22)'!$A25-Title_RESULTS!$H$7))*Title_RESULTS!$C$8*Partcipation!$C$26/1000),0)</f>
        <v>391.8435123632707</v>
      </c>
      <c r="D25" s="5">
        <f>(+B25+C25)*+Partcipation!$H25</f>
        <v>877.9678618464146</v>
      </c>
      <c r="E25" s="5">
        <f>VLOOKUP(A25,'Value of Defferal'!$I32:$P$58,'Value of Defferal'!$K$13)</f>
        <v>1250.0299467645088</v>
      </c>
      <c r="F25" s="5">
        <f>IF(+'Value of Defferal'!P32=0,0,Title_RESULTS!$H$17*Title_RESULTS!$C$7*Partcipation!$C$26*(1+Title_RESULTS!$H$18/100)^('Sheet4(F_22)'!A25-Title_RESULTS!$H$7))/1000</f>
        <v>1741.443677643805</v>
      </c>
      <c r="G25" s="5">
        <f>(+E25+F25)*Partcipation!$H25</f>
        <v>2991.4736244083138</v>
      </c>
      <c r="H25" s="5">
        <f>+'Sheet5(p_5)'!$F25*'Sheet2(F_12)'!$I25</f>
        <v>27231.42553443443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497.79133387073944</v>
      </c>
      <c r="C26" s="5">
        <f>IF(+Title_RESULTS!$H$9&lt;='Sheet4(F_22)'!$A26,(+Title_RESULTS!$H$16*((1+Title_RESULTS!$H$18/100)^('Sheet4(F_22)'!$A26-Title_RESULTS!$H$7))*Title_RESULTS!$C$8*Partcipation!$C$26/1000),0)</f>
        <v>401.24775665998925</v>
      </c>
      <c r="D26" s="5">
        <f>(+B26+C26)*+Partcipation!$H26</f>
        <v>899.0390905307287</v>
      </c>
      <c r="E26" s="5">
        <f>VLOOKUP(A26,'Value of Defferal'!$I33:$P$58,'Value of Defferal'!$K$13)</f>
        <v>1280.0306654868573</v>
      </c>
      <c r="F26" s="5">
        <f>IF(+'Value of Defferal'!P33=0,0,Title_RESULTS!$H$17*Title_RESULTS!$C$7*Partcipation!$C$26*(1+Title_RESULTS!$H$18/100)^('Sheet4(F_22)'!A26-Title_RESULTS!$H$7))/1000</f>
        <v>1783.2383259072562</v>
      </c>
      <c r="G26" s="5">
        <f>(+E26+F26)*Partcipation!$H26</f>
        <v>3063.2689913941135</v>
      </c>
      <c r="H26" s="5">
        <f>+'Sheet5(p_5)'!$F26*'Sheet2(F_12)'!$I26</f>
        <v>30415.99369535843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509.73832588363723</v>
      </c>
      <c r="C27" s="5">
        <f>IF(+Title_RESULTS!$H$9&lt;='Sheet4(F_22)'!$A27,(+Title_RESULTS!$H$16*((1+Title_RESULTS!$H$18/100)^('Sheet4(F_22)'!$A27-Title_RESULTS!$H$7))*Title_RESULTS!$C$8*Partcipation!$C$26/1000),0)</f>
        <v>410.8777028198289</v>
      </c>
      <c r="D27" s="5">
        <f>(+B27+C27)*+Partcipation!$H27</f>
        <v>920.6160287034661</v>
      </c>
      <c r="E27" s="5">
        <f>VLOOKUP(A27,'Value of Defferal'!$I34:$P$58,'Value of Defferal'!$K$13)</f>
        <v>1310.751401458542</v>
      </c>
      <c r="F27" s="5">
        <f>IF(+'Value of Defferal'!P34=0,0,Title_RESULTS!$H$17*Title_RESULTS!$C$7*Partcipation!$C$26*(1+Title_RESULTS!$H$18/100)^('Sheet4(F_22)'!A27-Title_RESULTS!$H$7))/1000</f>
        <v>1826.0360457290305</v>
      </c>
      <c r="G27" s="5">
        <f>(+E27+F27)*Partcipation!$H27</f>
        <v>3136.7874471875725</v>
      </c>
      <c r="H27" s="5">
        <f>+'Sheet5(p_5)'!$F27*'Sheet2(F_12)'!$I27</f>
        <v>30302.88131210745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521.9720457048445</v>
      </c>
      <c r="C28" s="5">
        <f>IF(+Title_RESULTS!$H$9&lt;='Sheet4(F_22)'!$A28,(+Title_RESULTS!$H$16*((1+Title_RESULTS!$H$18/100)^('Sheet4(F_22)'!$A28-Title_RESULTS!$H$7))*Title_RESULTS!$C$8*Partcipation!$C$26/1000),0)</f>
        <v>420.73876768750483</v>
      </c>
      <c r="D28" s="5">
        <f>(+B28+C28)*+Partcipation!$H28</f>
        <v>942.7108133923493</v>
      </c>
      <c r="E28" s="5">
        <f>VLOOKUP(A28,'Value of Defferal'!$I35:$P$58,'Value of Defferal'!$K$13)</f>
        <v>1342.2094350935467</v>
      </c>
      <c r="F28" s="5">
        <f>IF(+'Value of Defferal'!P35=0,0,Title_RESULTS!$H$17*Title_RESULTS!$C$7*Partcipation!$C$26*(1+Title_RESULTS!$H$18/100)^('Sheet4(F_22)'!A28-Title_RESULTS!$H$7))/1000</f>
        <v>1869.8609108265273</v>
      </c>
      <c r="G28" s="5">
        <f>(+E28+F28)*Partcipation!$H28</f>
        <v>3212.070345920074</v>
      </c>
      <c r="H28" s="5">
        <f>+'Sheet5(p_5)'!$F28*'Sheet2(F_12)'!$I28</f>
        <v>33118.248564007816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534.4993748017608</v>
      </c>
      <c r="C29" s="5">
        <f>IF(+Title_RESULTS!$H$9&lt;='Sheet4(F_22)'!$A29,(+Title_RESULTS!$H$16*((1+Title_RESULTS!$H$18/100)^('Sheet4(F_22)'!$A29-Title_RESULTS!$H$7))*Title_RESULTS!$C$8*Partcipation!$C$26/1000),0)</f>
        <v>430.83649811200496</v>
      </c>
      <c r="D29" s="5">
        <f>(+B29+C29)*+Partcipation!$H29</f>
        <v>965.3358729137658</v>
      </c>
      <c r="E29" s="5">
        <f>VLOOKUP(A29,'Value of Defferal'!$I36:$P$58,'Value of Defferal'!$K$13)</f>
        <v>1374.422461535792</v>
      </c>
      <c r="F29" s="5">
        <f>IF(+'Value of Defferal'!P36=0,0,Title_RESULTS!$H$17*Title_RESULTS!$C$7*Partcipation!$C$26*(1+Title_RESULTS!$H$18/100)^('Sheet4(F_22)'!A29-Title_RESULTS!$H$7))/1000</f>
        <v>1914.737572686364</v>
      </c>
      <c r="G29" s="5">
        <f>(+E29+F29)*Partcipation!$H29</f>
        <v>3289.1600342221564</v>
      </c>
      <c r="H29" s="5">
        <f>+'Sheet5(p_5)'!$F29*'Sheet2(F_12)'!$I29</f>
        <v>35317.59952712512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547.327359797003</v>
      </c>
      <c r="C30" s="5">
        <f>IF(+Title_RESULTS!$H$9&lt;='Sheet4(F_22)'!$A30,(+Title_RESULTS!$H$16*((1+Title_RESULTS!$H$18/100)^('Sheet4(F_22)'!$A30-Title_RESULTS!$H$7))*Title_RESULTS!$C$8*Partcipation!$C$26/1000),0)</f>
        <v>441.1765740666931</v>
      </c>
      <c r="D30" s="5">
        <f>(+B30+C30)*+Partcipation!$H30</f>
        <v>988.5039338636961</v>
      </c>
      <c r="E30" s="5">
        <f>VLOOKUP(A30,'Value of Defferal'!$I37:$P$58,'Value of Defferal'!$K$13)</f>
        <v>1407.4086006126508</v>
      </c>
      <c r="F30" s="5">
        <f>IF(+'Value of Defferal'!P37=0,0,Title_RESULTS!$H$17*Title_RESULTS!$C$7*Partcipation!$C$26*(1+Title_RESULTS!$H$18/100)^('Sheet4(F_22)'!A30-Title_RESULTS!$H$7))/1000</f>
        <v>1960.6912744308365</v>
      </c>
      <c r="G30" s="5">
        <f>(+E30+F30)*Partcipation!$H30</f>
        <v>3368.0998750434874</v>
      </c>
      <c r="H30" s="5">
        <f>+'Sheet5(p_5)'!$F30*'Sheet2(F_12)'!$I30</f>
        <v>36962.06713568219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6597.940802071746</v>
      </c>
      <c r="C32" s="5">
        <f t="shared" si="1"/>
        <v>5318.310635946399</v>
      </c>
      <c r="D32" s="5">
        <f t="shared" si="1"/>
        <v>11916.251438018146</v>
      </c>
      <c r="E32" s="5">
        <f t="shared" si="1"/>
        <v>16966.077914710804</v>
      </c>
      <c r="F32" s="5">
        <f t="shared" si="1"/>
        <v>23635.809042382367</v>
      </c>
      <c r="G32" s="5">
        <f t="shared" si="1"/>
        <v>40601.88695709318</v>
      </c>
      <c r="H32" s="5">
        <f t="shared" si="1"/>
        <v>349096.6160460409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3996.1062738104047</v>
      </c>
      <c r="C34" s="5">
        <f>NPV(Title_RESULTS!$C$37,'Sheet4(F_22)'!C17:C31)+'Sheet4(F_22)'!C16</f>
        <v>3221.085962411899</v>
      </c>
      <c r="D34" s="5">
        <f>NPV(Title_RESULTS!$C$37,'Sheet4(F_22)'!D17:D31)+'Sheet4(F_22)'!D16</f>
        <v>7217.192236222303</v>
      </c>
      <c r="E34" s="5">
        <f>NPV(Title_RESULTS!$C$37,'Sheet4(F_22)'!E17:E31)+'Sheet4(F_22)'!E16</f>
        <v>10275.66818660201</v>
      </c>
      <c r="F34" s="5">
        <f>NPV(Title_RESULTS!$C$37,'Sheet4(F_22)'!F17:F31)+'Sheet4(F_22)'!F16</f>
        <v>14315.254961243556</v>
      </c>
      <c r="G34" s="5">
        <f>NPV(Title_RESULTS!$C$37,'Sheet4(F_22)'!G17:G31)+'Sheet4(F_22)'!G16</f>
        <v>24590.923147845566</v>
      </c>
      <c r="H34" s="5">
        <f>NPV(Title_RESULTS!$C$37,'Sheet4(F_22)'!H17:H31)+'Sheet4(F_22)'!H16</f>
        <v>199955.7839907986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Facility EMS</v>
      </c>
      <c r="P2" t="s">
        <v>121</v>
      </c>
    </row>
    <row r="3" ht="12.75">
      <c r="P3" s="35">
        <f>+Title_RESULTS!I4</f>
        <v>43599.321723726855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225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225</v>
      </c>
      <c r="E16" s="5">
        <f>IF(+'Sheet9(F_25)'!$A16&gt;=Title_RESULTS!$H$8,0,((Partcipation!$B16-Partcipation!$B15)*(Title_RESULTS!$C$39*((1+Title_RESULTS!$C$41/100)^('Sheet9(F_25)'!$A16-Title_RESULTS!$H$7)))/1000))</f>
        <v>25376.51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25376.51</v>
      </c>
      <c r="H16" s="5">
        <f>IF(Partcipation!$B17&lt;Partcipation!$B16,0,IF(Partcipation!$B16=0,0,(Partcipation!$B16-Partcipation!$B15)*(+Title_RESULTS!$C$29*(1+Title_RESULTS!$C$30/100)^(+'Sheet8(F_24)'!$A16-Title_RESULTS!$H$7))/1000))</f>
        <v>49191.46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49191.46</v>
      </c>
      <c r="K16" s="5">
        <f>(+Partcipation!$B15+(Partcipation!$B16-Partcipation!$B15)/2)*(+Title_RESULTS!$C$14)/1000</f>
        <v>95811.865</v>
      </c>
      <c r="L16" s="5">
        <f>($K16)*Partcipation!$E73*Title_RESULTS!$C$12/100</f>
        <v>2332.647681594146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4245.0646557</v>
      </c>
      <c r="N16" s="5">
        <f>'Sheet2(F_12)'!$I16*('Sheet6(p_6)'!$L16+'Sheet6(p_6)'!$M16)</f>
        <v>6577.712337294146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230.4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230.4</v>
      </c>
      <c r="E17" s="5">
        <f>IF(+'Sheet9(F_25)'!$A17&gt;=Title_RESULTS!$H$8,0,((Partcipation!$B17-Partcipation!$B16)*(Title_RESULTS!$C$39*((1+Title_RESULTS!$C$41/100)^('Sheet9(F_25)'!$A17-Title_RESULTS!$H$7)))/1000))</f>
        <v>25376.51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25376.51</v>
      </c>
      <c r="H17" s="5">
        <f>IF(Partcipation!$B18&lt;Partcipation!$B17,0,IF(Partcipation!$B17=0,0,(Partcipation!$B17-Partcipation!$B16)*(+Title_RESULTS!$C$29*(1+Title_RESULTS!$C$30/100)^(+'Sheet8(F_24)'!$A17-Title_RESULTS!$H$7))/1000))</f>
        <v>50322.86358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50322.86358</v>
      </c>
      <c r="K17" s="5">
        <f>(+Partcipation!$B16+(Partcipation!$B17-Partcipation!$B16)/2)*(+Title_RESULTS!$C$14)/1000</f>
        <v>287435.595</v>
      </c>
      <c r="L17" s="5">
        <f>($K17)*Partcipation!$E74*Title_RESULTS!$C$12/100</f>
        <v>7330.999533715383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12862.545906771</v>
      </c>
      <c r="N17" s="5">
        <f>'Sheet2(F_12)'!$I17*('Sheet6(p_6)'!$L17+'Sheet6(p_6)'!$M17)</f>
        <v>20193.545440486385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235.9296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235.9296</v>
      </c>
      <c r="E18" s="5">
        <f>IF(+'Sheet9(F_25)'!$A18&gt;=Title_RESULTS!$H$8,0,((Partcipation!$B18-Partcipation!$B17)*(Title_RESULTS!$C$39*((1+Title_RESULTS!$C$41/100)^('Sheet9(F_25)'!$A18-Title_RESULTS!$H$7)))/1000))</f>
        <v>25376.51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25376.51</v>
      </c>
      <c r="H18" s="5">
        <f>IF(Partcipation!$B19&lt;Partcipation!$B18,0,IF(Partcipation!$B18=0,0,(Partcipation!$B18-Partcipation!$B17)*(+Title_RESULTS!$C$29*(1+Title_RESULTS!$C$30/100)^(+'Sheet8(F_24)'!$A18-Title_RESULTS!$H$7))/1000))</f>
        <v>51480.28944233999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51480.28944233999</v>
      </c>
      <c r="K18" s="5">
        <f>(+Partcipation!$B17+(Partcipation!$B18-Partcipation!$B17)/2)*(+Title_RESULTS!$C$14)/1000</f>
        <v>479059.325</v>
      </c>
      <c r="L18" s="5">
        <f>($K18)*Partcipation!$E75*Title_RESULTS!$C$12/100</f>
        <v>12668.399577587694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21651.952276397853</v>
      </c>
      <c r="N18" s="5">
        <f>'Sheet2(F_12)'!$I18*('Sheet6(p_6)'!$L18+'Sheet6(p_6)'!$M18)</f>
        <v>34320.35185398554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574871.19</v>
      </c>
      <c r="L19" s="5">
        <f>($K19)*Partcipation!$E76*Title_RESULTS!$C$12/100</f>
        <v>15077.462141827536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26242.16615899419</v>
      </c>
      <c r="N19" s="5">
        <f>'Sheet2(F_12)'!$I19*('Sheet6(p_6)'!$L19+'Sheet6(p_6)'!$M19)</f>
        <v>41319.62830082173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574871.19</v>
      </c>
      <c r="L20" s="5">
        <f>($K20)*Partcipation!$E77*Title_RESULTS!$C$12/100</f>
        <v>15932.651777050325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26504.587820584136</v>
      </c>
      <c r="N20" s="5">
        <f>'Sheet2(F_12)'!$I20*('Sheet6(p_6)'!$L20+'Sheet6(p_6)'!$M20)</f>
        <v>42437.23959763446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574871.19</v>
      </c>
      <c r="L21" s="5">
        <f>($K21)*Partcipation!$E78*Title_RESULTS!$C$12/100</f>
        <v>16847.164909116735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26769.633698789974</v>
      </c>
      <c r="N21" s="5">
        <f>'Sheet2(F_12)'!$I21*('Sheet6(p_6)'!$L21+'Sheet6(p_6)'!$M21)</f>
        <v>43616.798607906705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574871.19</v>
      </c>
      <c r="L22" s="5">
        <f>($K22)*Partcipation!$E79*Title_RESULTS!$C$12/100</f>
        <v>17608.895427725904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27037.33003577788</v>
      </c>
      <c r="N22" s="5">
        <f>'Sheet2(F_12)'!$I22*('Sheet6(p_6)'!$L22+'Sheet6(p_6)'!$M22)</f>
        <v>44646.22546350378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574871.19</v>
      </c>
      <c r="L23" s="5">
        <f>($K23)*Partcipation!$E80*Title_RESULTS!$C$12/100</f>
        <v>18645.724234625795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27307.70333613565</v>
      </c>
      <c r="N23" s="5">
        <f>'Sheet2(F_12)'!$I23*('Sheet6(p_6)'!$L23+'Sheet6(p_6)'!$M23)</f>
        <v>45953.42757076144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574871.19</v>
      </c>
      <c r="L24" s="5">
        <f>($K24)*Partcipation!$E81*Title_RESULTS!$C$12/100</f>
        <v>20411.383168957098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27580.780369497013</v>
      </c>
      <c r="N24" s="5">
        <f>'Sheet2(F_12)'!$I24*('Sheet6(p_6)'!$L24+'Sheet6(p_6)'!$M24)</f>
        <v>47992.163538454115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574871.19</v>
      </c>
      <c r="L25" s="5">
        <f>($K25)*Partcipation!$E82*Title_RESULTS!$C$12/100</f>
        <v>21451.297180336318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27856.588173191987</v>
      </c>
      <c r="N25" s="5">
        <f>'Sheet2(F_12)'!$I25*('Sheet6(p_6)'!$L25+'Sheet6(p_6)'!$M25)</f>
        <v>49307.885353528305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574871.19</v>
      </c>
      <c r="L26" s="5">
        <f>($K26)*Partcipation!$E83*Title_RESULTS!$C$12/100</f>
        <v>23372.303471288993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28135.154054923907</v>
      </c>
      <c r="N26" s="5">
        <f>'Sheet2(F_12)'!$I26*('Sheet6(p_6)'!$L26+'Sheet6(p_6)'!$M26)</f>
        <v>51507.4575262129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574871.19</v>
      </c>
      <c r="L27" s="5">
        <f>($K27)*Partcipation!$E84*Title_RESULTS!$C$12/100</f>
        <v>24177.99543539006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28416.505595473143</v>
      </c>
      <c r="N27" s="5">
        <f>'Sheet2(F_12)'!$I27*('Sheet6(p_6)'!$L27+'Sheet6(p_6)'!$M27)</f>
        <v>52594.501030863205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574871.19</v>
      </c>
      <c r="L28" s="5">
        <f>($K28)*Partcipation!$E85*Title_RESULTS!$C$12/100</f>
        <v>25903.12074444002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28700.670651427874</v>
      </c>
      <c r="N28" s="5">
        <f>'Sheet2(F_12)'!$I28*('Sheet6(p_6)'!$L28+'Sheet6(p_6)'!$M28)</f>
        <v>54603.7913958679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574871.19</v>
      </c>
      <c r="L29" s="5">
        <f>($K29)*Partcipation!$E86*Title_RESULTS!$C$12/100</f>
        <v>26446.44864388648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28987.67735794215</v>
      </c>
      <c r="N29" s="5">
        <f>'Sheet2(F_12)'!$I29*('Sheet6(p_6)'!$L29+'Sheet6(p_6)'!$M29)</f>
        <v>55434.12600182863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574871.19</v>
      </c>
      <c r="L30" s="5">
        <f>($K30)*Partcipation!$E87*Title_RESULTS!$C$12/100</f>
        <v>28193.098135442575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29277.554131521574</v>
      </c>
      <c r="N30" s="5">
        <f>'Sheet2(F_12)'!$I30*('Sheet6(p_6)'!$L30+'Sheet6(p_6)'!$M30)</f>
        <v>57470.65226696415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691.3296</v>
      </c>
      <c r="C32" s="5">
        <f t="shared" si="4"/>
        <v>0</v>
      </c>
      <c r="D32" s="5">
        <f t="shared" si="4"/>
        <v>691.3296</v>
      </c>
      <c r="E32" s="5">
        <f t="shared" si="4"/>
        <v>76129.53</v>
      </c>
      <c r="F32" s="5">
        <f t="shared" si="4"/>
        <v>0</v>
      </c>
      <c r="G32" s="5">
        <f t="shared" si="4"/>
        <v>76129.53</v>
      </c>
      <c r="H32" s="5">
        <f t="shared" si="4"/>
        <v>150994.61302234</v>
      </c>
      <c r="I32" s="5">
        <f t="shared" si="4"/>
        <v>0</v>
      </c>
      <c r="J32" s="5">
        <f t="shared" si="4"/>
        <v>150994.61302234</v>
      </c>
      <c r="K32" s="5">
        <f t="shared" si="4"/>
        <v>7760761.064999996</v>
      </c>
      <c r="L32" s="5">
        <f t="shared" si="4"/>
        <v>276399.5920629851</v>
      </c>
      <c r="M32" s="5">
        <f t="shared" si="4"/>
        <v>371575.91422312835</v>
      </c>
      <c r="N32" s="5">
        <f t="shared" si="4"/>
        <v>647975.5062861134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645.9284837466994</v>
      </c>
      <c r="C34" s="5">
        <f>NPV(Title_RESULTS!$C$37,'Sheet6(p_6)'!C17:C31)+'Sheet6(p_6)'!C16</f>
        <v>0</v>
      </c>
      <c r="D34" s="5">
        <f>NPV(Title_RESULTS!$C$37,'Sheet6(p_6)'!D17:D31)+'Sheet6(p_6)'!D16</f>
        <v>645.9284837466994</v>
      </c>
      <c r="E34" s="5">
        <f>NPV(Title_RESULTS!$C$37,'Sheet6(p_6)'!E17:E31)+'Sheet6(p_6)'!E16</f>
        <v>71206.87596212649</v>
      </c>
      <c r="F34" s="5">
        <f>NPV(Title_RESULTS!$C$37,'Sheet6(p_6)'!F17:F31)+'Sheet6(p_6)'!F16</f>
        <v>0</v>
      </c>
      <c r="G34" s="5">
        <f>NPV(Title_RESULTS!$C$37,'Sheet6(p_6)'!G17:G31)+'Sheet6(p_6)'!G16</f>
        <v>71206.87596212649</v>
      </c>
      <c r="H34" s="5">
        <f>NPV(Title_RESULTS!$C$37,'Sheet6(p_6)'!H17:H31)+'Sheet6(p_6)'!H16</f>
        <v>141084.75341756077</v>
      </c>
      <c r="I34" s="5">
        <f>NPV(Title_RESULTS!$C$37,'Sheet6(p_6)'!I17:I31)+'Sheet6(p_6)'!I16</f>
        <v>0</v>
      </c>
      <c r="J34" s="5">
        <f>NPV(Title_RESULTS!$C$37,'Sheet6(p_6)'!J17:J31)+'Sheet6(p_6)'!J16</f>
        <v>141084.75341756077</v>
      </c>
      <c r="K34" s="5"/>
      <c r="L34" s="5">
        <f>NPV(Title_RESULTS!$C$37,'Sheet6(p_6)'!L17:L31)+'Sheet6(p_6)'!L16</f>
        <v>159496.36290459702</v>
      </c>
      <c r="M34" s="5">
        <f>NPV(Title_RESULTS!$C$37,'Sheet6(p_6)'!M17:M31)+'Sheet6(p_6)'!M16</f>
        <v>224913.12524332074</v>
      </c>
      <c r="N34" s="5">
        <f>NPV(Title_RESULTS!$C$37,'Sheet6(p_6)'!N17:N31)+'Sheet6(p_6)'!N16</f>
        <v>384409.48814791767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Facility EMS</v>
      </c>
      <c r="M2" t="s">
        <v>55</v>
      </c>
    </row>
    <row r="3" ht="12.75">
      <c r="M3" s="35">
        <f>+Title_RESULTS!I4</f>
        <v>43599.321723726855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225</v>
      </c>
      <c r="D16" s="5">
        <f>IF(A16&gt;=(Title_RESULTS!$H$7+Title_RESULTS!$C$17),0,(+'Sheet6(p_6)'!$J16))</f>
        <v>49191.46</v>
      </c>
      <c r="E16" s="5">
        <f>IF(A16&gt;=(Title_RESULTS!$H$7+Title_RESULTS!$C$17),0,(+'f-11B'!$N15))</f>
        <v>0</v>
      </c>
      <c r="F16" s="5">
        <f>IF(A16&gt;=(Title_RESULTS!$H$7+Title_RESULTS!$C$17),0,(SUM(B16:E16)))</f>
        <v>49416.46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2931.6708740141185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2931.6708740141185</v>
      </c>
      <c r="L16" s="23">
        <f>IF(A16&gt;=(Title_RESULTS!$H$7+Title_RESULTS!$C$17),0,(+$K16-$F16))</f>
        <v>-46484.78912598588</v>
      </c>
      <c r="M16" s="23">
        <f>IF(A16&gt;=(Title_RESULTS!$H$7+Title_RESULTS!$C$17),0,(+$L16/(1+Title_RESULTS!$C$37)^('Sheet7(F_23)'!$A16-Title_RESULTS!$H$7)))</f>
        <v>-46484.78912598588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230.4</v>
      </c>
      <c r="D17" s="5">
        <f>IF(A17&gt;=(Title_RESULTS!$H$7+Title_RESULTS!$C$17),0,(+'Sheet6(p_6)'!$J17))</f>
        <v>50322.86358</v>
      </c>
      <c r="E17" s="5">
        <f>IF(A17&gt;=(Title_RESULTS!$H$7+Title_RESULTS!$C$17),0,(+'f-11B'!$N16))</f>
        <v>0</v>
      </c>
      <c r="F17" s="5">
        <f>IF(A17&gt;=(Title_RESULTS!$H$7+Title_RESULTS!$C$17),0,(SUM(B17:E17)))</f>
        <v>50553.26358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3200.726978838284</v>
      </c>
      <c r="I17" s="5">
        <f>IF(A17&gt;=(Title_RESULTS!$H$7+Title_RESULTS!$C$17),0,(+'Sheet4(F_22)'!$H17))</f>
        <v>8723.475280534123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11924.202259372407</v>
      </c>
      <c r="L17" s="23">
        <f>IF(A17&gt;=(Title_RESULTS!$H$7+Title_RESULTS!$C$17),0,(+$K17-$F17))</f>
        <v>-38629.06132062759</v>
      </c>
      <c r="M17" s="23">
        <f>IF(A17&gt;=(Title_RESULTS!$H$7+Title_RESULTS!$C$17),0,(+M16+$L17/(1+Title_RESULTS!$C$37)^('Sheet7(F_23)'!$A17-Title_RESULTS!$H$7)))</f>
        <v>-82559.74366523465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235.9296</v>
      </c>
      <c r="D18" s="5">
        <f>IF(A18&gt;=(Title_RESULTS!$H$7+Title_RESULTS!$C$17),0,(+'Sheet6(p_6)'!$J18))</f>
        <v>51480.28944233999</v>
      </c>
      <c r="E18" s="5">
        <f>IF(A18&gt;=(Title_RESULTS!$H$7+Title_RESULTS!$C$17),0,(+'f-11B'!$N17))</f>
        <v>0</v>
      </c>
      <c r="F18" s="5">
        <f>IF(A18&gt;=(Title_RESULTS!$H$7+Title_RESULTS!$C$17),0,(SUM(B18:E18)))</f>
        <v>51716.219042339995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3277.5444263304025</v>
      </c>
      <c r="I18" s="5">
        <f>IF(A18&gt;=(Title_RESULTS!$H$7+Title_RESULTS!$C$17),0,(+'Sheet4(F_22)'!$H18))</f>
        <v>15005.350621287147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18282.89504761755</v>
      </c>
      <c r="L18" s="23">
        <f>IF(A18&gt;=(Title_RESULTS!$H$7+Title_RESULTS!$C$17),0,(+$K18-$F18))</f>
        <v>-33433.32399472245</v>
      </c>
      <c r="M18" s="23">
        <f>IF(A18&gt;=(Title_RESULTS!$H$7+Title_RESULTS!$C$17),0,(+M17+$L18/(1+Title_RESULTS!$C$37)^('Sheet7(F_23)'!$A18-Title_RESULTS!$H$7)))</f>
        <v>-111718.08609788257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8822.11616576256</v>
      </c>
      <c r="H19" s="5">
        <f>IF(A19&gt;=(Title_RESULTS!$H$7+Title_RESULTS!$C$17),0,(+'Sheet4(F_22)'!$D19+'Sheet4(F_22)'!$G19))</f>
        <v>3356.205492562333</v>
      </c>
      <c r="I19" s="5">
        <f>IF(A19&gt;=(Title_RESULTS!$H$7+Title_RESULTS!$C$17),0,(+'Sheet4(F_22)'!$H19))</f>
        <v>18745.112447913663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30923.434106238557</v>
      </c>
      <c r="L19" s="23">
        <f>IF(A19&gt;=(Title_RESULTS!$H$7+Title_RESULTS!$C$17),0,(+$K19-$F19))</f>
        <v>30923.434106238557</v>
      </c>
      <c r="M19" s="23">
        <f>IF(A19&gt;=(Title_RESULTS!$H$7+Title_RESULTS!$C$17),0,(+M18+$L19/(1+Title_RESULTS!$C$37)^('Sheet7(F_23)'!$A19-Title_RESULTS!$H$7)))</f>
        <v>-86531.88714748804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9057.35596740492</v>
      </c>
      <c r="H20" s="5">
        <f>IF(A20&gt;=(Title_RESULTS!$H$7+Title_RESULTS!$C$17),0,(+'Sheet4(F_22)'!$D20+'Sheet4(F_22)'!$G20))</f>
        <v>3436.7544243838283</v>
      </c>
      <c r="I20" s="5">
        <f>IF(A20&gt;=(Title_RESULTS!$H$7+Title_RESULTS!$C$17),0,(+'Sheet4(F_22)'!$H20))</f>
        <v>19481.724712573163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31975.83510436191</v>
      </c>
      <c r="L20" s="23">
        <f>IF(A20&gt;=(Title_RESULTS!$H$7+Title_RESULTS!$C$17),0,(+$K20-$F20))</f>
        <v>31975.83510436191</v>
      </c>
      <c r="M20" s="23">
        <f>IF(A20&gt;=(Title_RESULTS!$H$7+Title_RESULTS!$C$17),0,(+M19+$L20/(1+Title_RESULTS!$C$37)^('Sheet7(F_23)'!$A20-Title_RESULTS!$H$7)))</f>
        <v>-62210.494136179106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9314.70984555097</v>
      </c>
      <c r="H21" s="5">
        <f>IF(A21&gt;=(Title_RESULTS!$H$7+Title_RESULTS!$C$17),0,(+'Sheet4(F_22)'!$D21+'Sheet4(F_22)'!$G21))</f>
        <v>3519.236530569041</v>
      </c>
      <c r="I21" s="5">
        <f>IF(A21&gt;=(Title_RESULTS!$H$7+Title_RESULTS!$C$17),0,(+'Sheet4(F_22)'!$H21))</f>
        <v>20917.5070692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33751.45344532001</v>
      </c>
      <c r="L21" s="23">
        <f>IF(A21&gt;=(Title_RESULTS!$H$7+Title_RESULTS!$C$17),0,(+$K21-$F21))</f>
        <v>33751.45344532001</v>
      </c>
      <c r="M21" s="23">
        <f>IF(A21&gt;=(Title_RESULTS!$H$7+Title_RESULTS!$C$17),0,(+M20+$L21/(1+Title_RESULTS!$C$37)^('Sheet7(F_23)'!$A21-Title_RESULTS!$H$7)))</f>
        <v>-38235.93293824562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9602.933000971612</v>
      </c>
      <c r="H22" s="5">
        <f>IF(A22&gt;=(Title_RESULTS!$H$7+Title_RESULTS!$C$17),0,(+'Sheet4(F_22)'!$D22+'Sheet4(F_22)'!$G22))</f>
        <v>3603.698207302697</v>
      </c>
      <c r="I22" s="5">
        <f>IF(A22&gt;=(Title_RESULTS!$H$7+Title_RESULTS!$C$17),0,(+'Sheet4(F_22)'!$H22))</f>
        <v>21588.428255533163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34795.05946380747</v>
      </c>
      <c r="L22" s="23">
        <f>IF(A22&gt;=(Title_RESULTS!$H$7+Title_RESULTS!$C$17),0,(+$K22-$F22))</f>
        <v>34795.05946380747</v>
      </c>
      <c r="M22" s="23">
        <f>IF(A22&gt;=(Title_RESULTS!$H$7+Title_RESULTS!$C$17),0,(+M21+$L22/(1+Title_RESULTS!$C$37)^('Sheet7(F_23)'!$A22-Title_RESULTS!$H$7)))</f>
        <v>-15154.253353688346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9861.443143070523</v>
      </c>
      <c r="H23" s="5">
        <f>IF(A23&gt;=(Title_RESULTS!$H$7+Title_RESULTS!$C$17),0,(+'Sheet4(F_22)'!$D23+'Sheet4(F_22)'!$G23))</f>
        <v>3690.1869642779625</v>
      </c>
      <c r="I23" s="5">
        <f>IF(A23&gt;=(Title_RESULTS!$H$7+Title_RESULTS!$C$17),0,(+'Sheet4(F_22)'!$H23))</f>
        <v>22937.608396023596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36489.23850337208</v>
      </c>
      <c r="L23" s="23">
        <f>IF(A23&gt;=(Title_RESULTS!$H$7+Title_RESULTS!$C$17),0,(+$K23-$F23))</f>
        <v>36489.23850337208</v>
      </c>
      <c r="M23" s="23">
        <f>IF(A23&gt;=(Title_RESULTS!$H$7+Title_RESULTS!$C$17),0,(+M22+$L23/(1+Title_RESULTS!$C$37)^('Sheet7(F_23)'!$A23-Title_RESULTS!$H$7)))</f>
        <v>7450.837794305531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10021.192114328347</v>
      </c>
      <c r="H24" s="5">
        <f>IF(A24&gt;=(Title_RESULTS!$H$7+Title_RESULTS!$C$17),0,(+'Sheet4(F_22)'!$D24+'Sheet4(F_22)'!$G24))</f>
        <v>3778.751451420633</v>
      </c>
      <c r="I24" s="5">
        <f>IF(A24&gt;=(Title_RESULTS!$H$7+Title_RESULTS!$C$17),0,(+'Sheet4(F_22)'!$H24))</f>
        <v>25417.522620246444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39217.46618599542</v>
      </c>
      <c r="L24" s="23">
        <f>IF(A24&gt;=(Title_RESULTS!$H$7+Title_RESULTS!$C$17),0,(+$K24-$F24))</f>
        <v>39217.46618599542</v>
      </c>
      <c r="M24" s="23">
        <f>IF(A24&gt;=(Title_RESULTS!$H$7+Title_RESULTS!$C$17),0,(+M23+$L24/(1+Title_RESULTS!$C$37)^('Sheet7(F_23)'!$A24-Title_RESULTS!$H$7)))</f>
        <v>30139.69545930744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10293.40098989308</v>
      </c>
      <c r="H25" s="5">
        <f>IF(A25&gt;=(Title_RESULTS!$H$7+Title_RESULTS!$C$17),0,(+'Sheet4(F_22)'!$D25+'Sheet4(F_22)'!$G25))</f>
        <v>3869.4414862547283</v>
      </c>
      <c r="I25" s="5">
        <f>IF(A25&gt;=(Title_RESULTS!$H$7+Title_RESULTS!$C$17),0,(+'Sheet4(F_22)'!$H25))</f>
        <v>27231.42553443443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41394.26801058224</v>
      </c>
      <c r="L25" s="23">
        <f>IF(A25&gt;=(Title_RESULTS!$H$7+Title_RESULTS!$C$17),0,(+$K25-$F25))</f>
        <v>41394.26801058224</v>
      </c>
      <c r="M25" s="23">
        <f>IF(A25&gt;=(Title_RESULTS!$H$7+Title_RESULTS!$C$17),0,(+M24+$L25/(1+Title_RESULTS!$C$37)^('Sheet7(F_23)'!$A25-Title_RESULTS!$H$7)))</f>
        <v>52504.49163756071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10458.216774331806</v>
      </c>
      <c r="H26" s="5">
        <f>IF(A26&gt;=(Title_RESULTS!$H$7+Title_RESULTS!$C$17),0,(+'Sheet4(F_22)'!$D26+'Sheet4(F_22)'!$G26))</f>
        <v>3962.308081924842</v>
      </c>
      <c r="I26" s="5">
        <f>IF(A26&gt;=(Title_RESULTS!$H$7+Title_RESULTS!$C$17),0,(+'Sheet4(F_22)'!$H26))</f>
        <v>30415.99369535843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44836.51855161508</v>
      </c>
      <c r="L26" s="23">
        <f>IF(A26&gt;=(Title_RESULTS!$H$7+Title_RESULTS!$C$17),0,(+$K26-$F26))</f>
        <v>44836.51855161508</v>
      </c>
      <c r="M26" s="23">
        <f>IF(A26&gt;=(Title_RESULTS!$H$7+Title_RESULTS!$C$17),0,(+M25+$L26/(1+Title_RESULTS!$C$37)^('Sheet7(F_23)'!$A26-Title_RESULTS!$H$7)))</f>
        <v>75127.39071843476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10819.232497820627</v>
      </c>
      <c r="H27" s="5">
        <f>IF(A27&gt;=(Title_RESULTS!$H$7+Title_RESULTS!$C$17),0,(+'Sheet4(F_22)'!$D27+'Sheet4(F_22)'!$G27))</f>
        <v>4057.4034758910384</v>
      </c>
      <c r="I27" s="5">
        <f>IF(A27&gt;=(Title_RESULTS!$H$7+Title_RESULTS!$C$17),0,(+'Sheet4(F_22)'!$H27))</f>
        <v>30302.88131210745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45179.517285819114</v>
      </c>
      <c r="L27" s="23">
        <f>IF(A27&gt;=(Title_RESULTS!$H$7+Title_RESULTS!$C$17),0,(+$K27-$F27))</f>
        <v>45179.517285819114</v>
      </c>
      <c r="M27" s="23">
        <f>IF(A27&gt;=(Title_RESULTS!$H$7+Title_RESULTS!$C$17),0,(+M26+$L27/(1+Title_RESULTS!$C$37)^('Sheet7(F_23)'!$A27-Title_RESULTS!$H$7)))</f>
        <v>96416.11311252986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11047.322248655764</v>
      </c>
      <c r="H28" s="5">
        <f>IF(A28&gt;=(Title_RESULTS!$H$7+Title_RESULTS!$C$17),0,(+'Sheet4(F_22)'!$D28+'Sheet4(F_22)'!$G28))</f>
        <v>4154.781159312423</v>
      </c>
      <c r="I28" s="5">
        <f>IF(A28&gt;=(Title_RESULTS!$H$7+Title_RESULTS!$C$17),0,(+'Sheet4(F_22)'!$H28))</f>
        <v>33118.248564007816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48320.35197197601</v>
      </c>
      <c r="L28" s="23">
        <f>IF(A28&gt;=(Title_RESULTS!$H$7+Title_RESULTS!$C$17),0,(+$K28-$F28))</f>
        <v>48320.35197197601</v>
      </c>
      <c r="M28" s="23">
        <f>IF(A28&gt;=(Title_RESULTS!$H$7+Title_RESULTS!$C$17),0,(+M27+$L28/(1+Title_RESULTS!$C$37)^('Sheet7(F_23)'!$A28-Title_RESULTS!$H$7)))</f>
        <v>117679.36769159367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11441.826747436397</v>
      </c>
      <c r="H29" s="5">
        <f>IF(A29&gt;=(Title_RESULTS!$H$7+Title_RESULTS!$C$17),0,(+'Sheet4(F_22)'!$D29+'Sheet4(F_22)'!$G29))</f>
        <v>4254.495907135923</v>
      </c>
      <c r="I29" s="5">
        <f>IF(A29&gt;=(Title_RESULTS!$H$7+Title_RESULTS!$C$17),0,(+'Sheet4(F_22)'!$H29))</f>
        <v>35317.59952712512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51013.922181697446</v>
      </c>
      <c r="L29" s="23">
        <f>IF(A29&gt;=(Title_RESULTS!$H$7+Title_RESULTS!$C$17),0,(+$K29-$F29))</f>
        <v>51013.922181697446</v>
      </c>
      <c r="M29" s="23">
        <f>IF(A29&gt;=(Title_RESULTS!$H$7+Title_RESULTS!$C$17),0,(+M28+$L29/(1+Title_RESULTS!$C$37)^('Sheet7(F_23)'!$A29-Title_RESULTS!$H$7)))</f>
        <v>138643.6501593537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11662.792567973236</v>
      </c>
      <c r="H30" s="5">
        <f>IF(A30&gt;=(Title_RESULTS!$H$7+Title_RESULTS!$C$17),0,(+'Sheet4(F_22)'!$D30+'Sheet4(F_22)'!$G30))</f>
        <v>4356.6038089071835</v>
      </c>
      <c r="I30" s="5">
        <f>IF(A30&gt;=(Title_RESULTS!$H$7+Title_RESULTS!$C$17),0,(+'Sheet4(F_22)'!$H30))</f>
        <v>36962.06713568219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52981.46351256261</v>
      </c>
      <c r="L30" s="23">
        <f>IF(A30&gt;=(Title_RESULTS!$H$7+Title_RESULTS!$C$17),0,(+$K30-$F30))</f>
        <v>52981.46351256261</v>
      </c>
      <c r="M30" s="23">
        <f>IF(A30&gt;=(Title_RESULTS!$H$7+Title_RESULTS!$C$17),0,(+M29+$L30/(1+Title_RESULTS!$C$37)^('Sheet7(F_23)'!$A30-Title_RESULTS!$H$7)))</f>
        <v>158976.90367493386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691.3296</v>
      </c>
      <c r="D32" s="5">
        <f t="shared" si="1"/>
        <v>150994.61302234</v>
      </c>
      <c r="E32" s="5">
        <f t="shared" si="1"/>
        <v>0</v>
      </c>
      <c r="F32" s="5">
        <f t="shared" si="1"/>
        <v>151685.94262234</v>
      </c>
      <c r="G32" s="5">
        <f t="shared" si="1"/>
        <v>122402.54206319986</v>
      </c>
      <c r="H32" s="5">
        <f t="shared" si="1"/>
        <v>52518.13839511131</v>
      </c>
      <c r="I32" s="5">
        <f t="shared" si="1"/>
        <v>349096.6160460409</v>
      </c>
      <c r="J32" s="5">
        <f t="shared" si="1"/>
        <v>0</v>
      </c>
      <c r="K32" s="5">
        <f t="shared" si="1"/>
        <v>524017.296504352</v>
      </c>
      <c r="L32" s="5">
        <f t="shared" si="1"/>
        <v>372331.353882012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645.9284837466994</v>
      </c>
      <c r="D34" s="5">
        <f>NPV(Title_RESULTS!$C$37,'Sheet7(F_23)'!D17:D31)+'Sheet7(F_23)'!D16</f>
        <v>141084.75341756077</v>
      </c>
      <c r="E34" s="5">
        <f>NPV(Title_RESULTS!$C$37,'Sheet7(F_23)'!E17:E31)+'Sheet7(F_23)'!E16</f>
        <v>0</v>
      </c>
      <c r="F34" s="5">
        <f>NPV(Title_RESULTS!$C$37,'Sheet7(F_23)'!F17:F31)+'Sheet7(F_23)'!F16</f>
        <v>141730.6819013075</v>
      </c>
      <c r="G34" s="5">
        <f>NPV(Title_RESULTS!$C$37,'Sheet7(F_23)'!G17:G31)+'Sheet7(F_23)'!G16</f>
        <v>68943.68620137488</v>
      </c>
      <c r="H34" s="5">
        <f>NPV(Title_RESULTS!$C$37,'Sheet7(F_23)'!H17:H31)+'Sheet7(F_23)'!H16</f>
        <v>31808.115384067874</v>
      </c>
      <c r="I34" s="5">
        <f>NPV(Title_RESULTS!$C$37,'Sheet7(F_23)'!I17:I31)+'Sheet7(F_23)'!I16</f>
        <v>199955.7839907986</v>
      </c>
      <c r="J34" s="5">
        <f>NPV(Title_RESULTS!$C$37,'Sheet7(F_23)'!J17:J31)+'Sheet7(F_23)'!J16</f>
        <v>0</v>
      </c>
      <c r="K34" s="5">
        <f>NPV(Title_RESULTS!$C$37,'Sheet7(F_23)'!K17:K31)+'Sheet7(F_23)'!K16</f>
        <v>300707.58557624137</v>
      </c>
      <c r="L34" s="5">
        <f>NPV(Title_RESULTS!$C$37,'Sheet7(F_23)'!L17:L31)+'Sheet7(F_23)'!L16</f>
        <v>158976.90367493383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2.121683050855817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Facility EMS</v>
      </c>
      <c r="L2" t="s">
        <v>55</v>
      </c>
    </row>
    <row r="3" ht="12.75">
      <c r="L3" s="35">
        <f>+Title_RESULTS!I4</f>
        <v>43599.321723726855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6577.712337294146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25376.51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31954.222337294144</v>
      </c>
      <c r="G16" s="5">
        <f>IF(A16&gt;=(Title_RESULTS!$H$7+Title_RESULTS!$C$17),0,(+'Sheet6(p_6)'!$H16))</f>
        <v>49191.46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49191.46</v>
      </c>
      <c r="K16" s="23">
        <f>IF(A16&gt;=(Title_RESULTS!$H$7+Title_RESULTS!$C$17),0,(+F16-J16))</f>
        <v>-17237.237662705855</v>
      </c>
      <c r="L16" s="23">
        <f>IF(A16&gt;=(Title_RESULTS!$H$7+Title_RESULTS!$C$17),0,(+$K16/((1+Title_RESULTS!$C$37)^('Sheet8(F_24)'!$A16-Title_RESULTS!$H$7))))</f>
        <v>-17237.237662705855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20193.545440486385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25376.51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45570.05544048638</v>
      </c>
      <c r="G17" s="5">
        <f>IF(A17&gt;=(Title_RESULTS!$H$7+Title_RESULTS!$C$17),0,(+'Sheet6(p_6)'!$H17))</f>
        <v>50322.86358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50322.86358</v>
      </c>
      <c r="K17" s="23">
        <f>IF(A17&gt;=(Title_RESULTS!$H$7+Title_RESULTS!$C$17),0,(+F17-J17))</f>
        <v>-4752.808139513618</v>
      </c>
      <c r="L17" s="23">
        <f>IF(A16&gt;=(Title_RESULTS!$H$7+Title_RESULTS!$C$17),0,(+$K17/((1+Title_RESULTS!$C$37)^('Sheet8(F_24)'!$A17-Title_RESULTS!$H$7))+L16))</f>
        <v>-21675.795880406284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34320.35185398554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25376.51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59696.86185398554</v>
      </c>
      <c r="G18" s="5">
        <f>IF(A18&gt;=(Title_RESULTS!$H$7+Title_RESULTS!$C$17),0,(+'Sheet6(p_6)'!$H18))</f>
        <v>51480.28944233999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51480.28944233999</v>
      </c>
      <c r="K18" s="23">
        <f>IF(A18&gt;=(Title_RESULTS!$H$7+Title_RESULTS!$C$17),0,(+F18-J18))</f>
        <v>8216.572411645546</v>
      </c>
      <c r="L18" s="23">
        <f>IF(A17&gt;=(Title_RESULTS!$H$7+Title_RESULTS!$C$17),0,(+$K18/((1+Title_RESULTS!$C$37)^('Sheet8(F_24)'!$A18-Title_RESULTS!$H$7))+L17))</f>
        <v>-14509.842772087552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41319.62830082173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41319.62830082173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41319.62830082173</v>
      </c>
      <c r="L19" s="23">
        <f>IF(A18&gt;=(Title_RESULTS!$H$7+Title_RESULTS!$C$17),0,(+$K19/((1+Title_RESULTS!$C$37)^('Sheet8(F_24)'!$A19-Title_RESULTS!$H$7))+L18))</f>
        <v>19143.740958798877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42437.23959763446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42437.23959763446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42437.23959763446</v>
      </c>
      <c r="L20" s="23">
        <f>IF(A19&gt;=(Title_RESULTS!$H$7+Title_RESULTS!$C$17),0,(+$K20/((1+Title_RESULTS!$C$37)^('Sheet8(F_24)'!$A20-Title_RESULTS!$H$7))+L19))</f>
        <v>51422.26563846717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43616.798607906705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43616.798607906705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43616.798607906705</v>
      </c>
      <c r="L21" s="23">
        <f>IF(A20&gt;=(Title_RESULTS!$H$7+Title_RESULTS!$C$17),0,(+$K21/((1+Title_RESULTS!$C$37)^('Sheet8(F_24)'!$A21-Title_RESULTS!$H$7))+L20))</f>
        <v>82404.4456852407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44646.22546350378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44646.22546350378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44646.22546350378</v>
      </c>
      <c r="L22" s="23">
        <f>IF(A21&gt;=(Title_RESULTS!$H$7+Title_RESULTS!$C$17),0,(+$K22/((1+Title_RESULTS!$C$37)^('Sheet8(F_24)'!$A22-Title_RESULTS!$H$7))+L21))</f>
        <v>112021.00294045662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45953.42757076144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45953.42757076144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45953.42757076144</v>
      </c>
      <c r="L23" s="23">
        <f>IF(A22&gt;=(Title_RESULTS!$H$7+Title_RESULTS!$C$17),0,(+$K23/((1+Title_RESULTS!$C$37)^('Sheet8(F_24)'!$A23-Title_RESULTS!$H$7))+L22))</f>
        <v>140489.1612634592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47992.163538454115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47992.163538454115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47992.163538454115</v>
      </c>
      <c r="L24" s="23">
        <f>IF(A23&gt;=(Title_RESULTS!$H$7+Title_RESULTS!$C$17),0,(+$K24/((1+Title_RESULTS!$C$37)^('Sheet8(F_24)'!$A24-Title_RESULTS!$H$7))+L23))</f>
        <v>168254.52892885727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49307.885353528305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49307.885353528305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49307.885353528305</v>
      </c>
      <c r="L25" s="23">
        <f>IF(A24&gt;=(Title_RESULTS!$H$7+Title_RESULTS!$C$17),0,(+$K25/((1+Title_RESULTS!$C$37)^('Sheet8(F_24)'!$A25-Title_RESULTS!$H$7))+L24))</f>
        <v>194894.9518403199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51507.4575262129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51507.4575262129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51507.4575262129</v>
      </c>
      <c r="L26" s="23">
        <f>IF(A25&gt;=(Title_RESULTS!$H$7+Title_RESULTS!$C$17),0,(+$K26/((1+Title_RESULTS!$C$37)^('Sheet8(F_24)'!$A26-Title_RESULTS!$H$7))+L25))</f>
        <v>220883.76745691392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52594.501030863205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52594.501030863205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52594.501030863205</v>
      </c>
      <c r="L27" s="23">
        <f>IF(A26&gt;=(Title_RESULTS!$H$7+Title_RESULTS!$C$17),0,(+$K27/((1+Title_RESULTS!$C$37)^('Sheet8(F_24)'!$A27-Title_RESULTS!$H$7))+L26))</f>
        <v>245666.45215933406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54603.7913958679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54603.7913958679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54603.7913958679</v>
      </c>
      <c r="L28" s="23">
        <f>IF(A27&gt;=(Title_RESULTS!$H$7+Title_RESULTS!$C$17),0,(+$K28/((1+Title_RESULTS!$C$37)^('Sheet8(F_24)'!$A28-Title_RESULTS!$H$7))+L27))</f>
        <v>269694.71913275763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55434.12600182863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55434.12600182863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55434.12600182863</v>
      </c>
      <c r="L29" s="23">
        <f>IF(A28&gt;=(Title_RESULTS!$H$7+Title_RESULTS!$C$17),0,(+$K29/((1+Title_RESULTS!$C$37)^('Sheet8(F_24)'!$A29-Title_RESULTS!$H$7))+L28))</f>
        <v>292475.4939909724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57470.65226696415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57470.65226696415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57470.65226696415</v>
      </c>
      <c r="L30" s="23">
        <f>IF(A29&gt;=(Title_RESULTS!$H$7+Title_RESULTS!$C$17),0,(+$K30/((1+Title_RESULTS!$C$37)^('Sheet8(F_24)'!$A30-Title_RESULTS!$H$7))+L29))</f>
        <v>314531.6106924835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647975.5062861134</v>
      </c>
      <c r="C32" s="5">
        <f t="shared" si="1"/>
        <v>0</v>
      </c>
      <c r="D32" s="5">
        <f t="shared" si="1"/>
        <v>76129.53</v>
      </c>
      <c r="E32" s="5">
        <f t="shared" si="1"/>
        <v>0</v>
      </c>
      <c r="F32" s="5">
        <f t="shared" si="1"/>
        <v>724105.0362861134</v>
      </c>
      <c r="G32" s="5">
        <f t="shared" si="1"/>
        <v>150994.61302234</v>
      </c>
      <c r="H32" s="5">
        <f t="shared" si="1"/>
        <v>0</v>
      </c>
      <c r="I32" s="5">
        <f t="shared" si="1"/>
        <v>0</v>
      </c>
      <c r="J32" s="5">
        <f t="shared" si="1"/>
        <v>150994.61302234</v>
      </c>
      <c r="K32" s="5">
        <f t="shared" si="1"/>
        <v>573110.4232637734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384409.48814791767</v>
      </c>
      <c r="C34" s="5">
        <f>NPV(Title_RESULTS!$C$37,'Sheet8(F_24)'!C17:C31)+'Sheet8(F_24)'!C16</f>
        <v>0</v>
      </c>
      <c r="D34" s="5">
        <f>NPV(Title_RESULTS!$C$37,'Sheet8(F_24)'!D17:D31)+'Sheet8(F_24)'!D16</f>
        <v>71206.87596212649</v>
      </c>
      <c r="E34" s="5">
        <f>NPV(Title_RESULTS!$C$37,'Sheet8(F_24)'!E17:E31)+'Sheet8(F_24)'!E16</f>
        <v>0</v>
      </c>
      <c r="F34" s="5">
        <f>NPV(Title_RESULTS!$C$37,'Sheet8(F_24)'!F17:F31)+'Sheet8(F_24)'!F16</f>
        <v>455616.36411004415</v>
      </c>
      <c r="G34" s="5">
        <f>NPV(Title_RESULTS!$C$37,'Sheet8(F_24)'!G17:G31)+'Sheet8(F_24)'!G16</f>
        <v>141084.75341756077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141084.75341756077</v>
      </c>
      <c r="K34" s="5">
        <f>NPV(Title_RESULTS!$C$37,'Sheet8(F_24)'!K17:K31)+'Sheet8(F_24)'!K16</f>
        <v>314531.6106924834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3.2293805891383704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Facility EMS</v>
      </c>
      <c r="N2" t="s">
        <v>55</v>
      </c>
    </row>
    <row r="3" ht="12.75">
      <c r="N3" s="35">
        <f>+Title_RESULTS!I4</f>
        <v>43599.321723726855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225</v>
      </c>
      <c r="D16" s="5">
        <f>IF(A16&gt;=(Title_RESULTS!$H$7+Title_RESULTS!$C$17),0,(+'Sheet6(p_6)'!$G16))</f>
        <v>25376.51</v>
      </c>
      <c r="E16" s="5">
        <f>+'Sheet6(p_6)'!M16</f>
        <v>4245.0646557</v>
      </c>
      <c r="F16">
        <f>IF(A16&gt;=(Title_RESULTS!$H$7+Title_RESULTS!$C$17),0,(+'f-11B'!$R15))</f>
        <v>0</v>
      </c>
      <c r="G16" s="5">
        <f>IF(A16&gt;=(Title_RESULTS!$H$7+Title_RESULTS!$C$17),0,(SUM(B16:F16)))</f>
        <v>29846.5746557</v>
      </c>
      <c r="H16" s="5">
        <f>IF(A16&gt;=(Title_RESULTS!$H$7+Title_RESULTS!$C$17),0,(+'Sheet3(F_21)'!$J16+'Sheet4(F_22)'!$H16))</f>
        <v>2931.6708740141185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2931.6708740141185</v>
      </c>
      <c r="M16" s="23">
        <f>IF(A16&gt;=(Title_RESULTS!$H$7+Title_RESULTS!$C$17),0,(+L16-G16))</f>
        <v>-26914.90378168588</v>
      </c>
      <c r="N16" s="24">
        <f>IF(A16&gt;=(Title_RESULTS!$H$7+Title_RESULTS!$C$17),0,(+$M16/((1+Title_RESULTS!$C$37)^('Sheet9(F_25)'!$A16-Title_RESULTS!$H$7))))</f>
        <v>-26914.90378168588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230.4</v>
      </c>
      <c r="D17" s="5">
        <f>IF(A17&gt;=(Title_RESULTS!$H$7+Title_RESULTS!$C$17),0,(+'Sheet6(p_6)'!$G17))</f>
        <v>25376.51</v>
      </c>
      <c r="E17" s="5">
        <f>+'Sheet6(p_6)'!M17</f>
        <v>12862.545906771</v>
      </c>
      <c r="F17">
        <f>IF(A17&gt;=(Title_RESULTS!$H$7+Title_RESULTS!$C$17),0,(+'f-11B'!$R16))</f>
        <v>0</v>
      </c>
      <c r="G17" s="5">
        <f>IF(A17&gt;=(Title_RESULTS!$H$7+Title_RESULTS!$C$17),0,(SUM(B17:F17)))</f>
        <v>38469.455906771</v>
      </c>
      <c r="H17" s="5">
        <f>IF(A17&gt;=(Title_RESULTS!$H$7+Title_RESULTS!$C$17),0,(+'Sheet3(F_21)'!$J17+'Sheet4(F_22)'!$H17))</f>
        <v>8723.475280534123</v>
      </c>
      <c r="I17" s="5">
        <f>IF(A17&gt;=(Title_RESULTS!$H$7+Title_RESULTS!$C$17),0,(+'Sheet4(F_22)'!$D17+'Sheet4(F_22)'!$G17))</f>
        <v>3200.726978838284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11924.202259372407</v>
      </c>
      <c r="M17" s="23">
        <f>IF(A17&gt;=(Title_RESULTS!$H$7+Title_RESULTS!$C$17),0,(+L17-G17))</f>
        <v>-26545.253647398593</v>
      </c>
      <c r="N17" s="24">
        <f>(IF(A16&gt;=(Title_RESULTS!$H$7+Title_RESULTS!$C$17),0,(+$M17/((1+Title_RESULTS!$C$37)^('Sheet9(F_25)'!$A17-Title_RESULTS!$H$7))+N16)))</f>
        <v>-51705.01738590571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235.9296</v>
      </c>
      <c r="D18" s="5">
        <f>IF(A18&gt;=(Title_RESULTS!$H$7+Title_RESULTS!$C$17),0,(+'Sheet6(p_6)'!$G18))</f>
        <v>25376.51</v>
      </c>
      <c r="E18" s="5">
        <f>+'Sheet6(p_6)'!M18</f>
        <v>21651.952276397853</v>
      </c>
      <c r="F18">
        <f>IF(A18&gt;=(Title_RESULTS!$H$7+Title_RESULTS!$C$17),0,(+'f-11B'!$R17))</f>
        <v>0</v>
      </c>
      <c r="G18" s="5">
        <f>IF(A18&gt;=(Title_RESULTS!$H$7+Title_RESULTS!$C$17),0,(SUM(B18:F18)))</f>
        <v>47264.39187639785</v>
      </c>
      <c r="H18" s="5">
        <f>IF(A18&gt;=(Title_RESULTS!$H$7+Title_RESULTS!$C$17),0,(+'Sheet3(F_21)'!$J18+'Sheet4(F_22)'!$H18))</f>
        <v>15005.350621287147</v>
      </c>
      <c r="I18" s="5">
        <f>IF(A18&gt;=(Title_RESULTS!$H$7+Title_RESULTS!$C$17),0,(+'Sheet4(F_22)'!$D18+'Sheet4(F_22)'!$G18))</f>
        <v>3277.5444263304025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18282.89504761755</v>
      </c>
      <c r="M18" s="23">
        <f>IF(A18&gt;=(Title_RESULTS!$H$7+Title_RESULTS!$C$17),0,(+L18-G18))</f>
        <v>-28981.496828780302</v>
      </c>
      <c r="N18" s="24">
        <f>(IF(A17&gt;=(Title_RESULTS!$H$7+Title_RESULTS!$C$17),0,(+$M18/((1+Title_RESULTS!$C$37)^('Sheet9(F_25)'!$A18-Title_RESULTS!$H$7))+N17)))</f>
        <v>-76980.76947318455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26242.16615899419</v>
      </c>
      <c r="F19">
        <f>IF(A19&gt;=(Title_RESULTS!$H$7+Title_RESULTS!$C$17),0,(+'f-11B'!$R18))</f>
        <v>0</v>
      </c>
      <c r="G19" s="5">
        <f>IF(A19&gt;=(Title_RESULTS!$H$7+Title_RESULTS!$C$17),0,(SUM(B19:F19)))</f>
        <v>26242.16615899419</v>
      </c>
      <c r="H19" s="5">
        <f>IF(A19&gt;=(Title_RESULTS!$H$7+Title_RESULTS!$C$17),0,(+'Sheet3(F_21)'!$J19+'Sheet4(F_22)'!$H19))</f>
        <v>27567.228613676223</v>
      </c>
      <c r="I19" s="5">
        <f>IF(A19&gt;=(Title_RESULTS!$H$7+Title_RESULTS!$C$17),0,(+'Sheet4(F_22)'!$D19+'Sheet4(F_22)'!$G19))</f>
        <v>3356.205492562333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30923.434106238557</v>
      </c>
      <c r="M19" s="23">
        <f>IF(A19&gt;=(Title_RESULTS!$H$7+Title_RESULTS!$C$17),0,(+L19-G19))</f>
        <v>4681.267947244367</v>
      </c>
      <c r="N19" s="24">
        <f>(IF(A18&gt;=(Title_RESULTS!$H$7+Title_RESULTS!$C$17),0,(+$M19/((1+Title_RESULTS!$C$37)^('Sheet9(F_25)'!$A19-Title_RESULTS!$H$7))+N18)))</f>
        <v>-73168.01874652397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26504.587820584136</v>
      </c>
      <c r="F20">
        <f>IF(A20&gt;=(Title_RESULTS!$H$7+Title_RESULTS!$C$17),0,(+'f-11B'!$R19))</f>
        <v>0</v>
      </c>
      <c r="G20" s="5">
        <f>IF(A20&gt;=(Title_RESULTS!$H$7+Title_RESULTS!$C$17),0,(SUM(B20:F20)))</f>
        <v>26504.587820584136</v>
      </c>
      <c r="H20" s="5">
        <f>IF(A20&gt;=(Title_RESULTS!$H$7+Title_RESULTS!$C$17),0,(+'Sheet3(F_21)'!$J20+'Sheet4(F_22)'!$H20))</f>
        <v>28539.080679978084</v>
      </c>
      <c r="I20" s="5">
        <f>IF(A20&gt;=(Title_RESULTS!$H$7+Title_RESULTS!$C$17),0,(+'Sheet4(F_22)'!$D20+'Sheet4(F_22)'!$G20))</f>
        <v>3436.7544243838283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31975.83510436191</v>
      </c>
      <c r="M20" s="23">
        <f>IF(A20&gt;=(Title_RESULTS!$H$7+Title_RESULTS!$C$17),0,(+L20-G20))</f>
        <v>5471.247283777775</v>
      </c>
      <c r="N20" s="24">
        <f>(IF(A19&gt;=(Title_RESULTS!$H$7+Title_RESULTS!$C$17),0,(+$M20/((1+Title_RESULTS!$C$37)^('Sheet9(F_25)'!$A20-Title_RESULTS!$H$7))+N19)))</f>
        <v>-69006.49004785165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26769.633698789974</v>
      </c>
      <c r="F21">
        <f>IF(A21&gt;=(Title_RESULTS!$H$7+Title_RESULTS!$C$17),0,(+'f-11B'!$R20))</f>
        <v>0</v>
      </c>
      <c r="G21" s="5">
        <f>IF(A21&gt;=(Title_RESULTS!$H$7+Title_RESULTS!$C$17),0,(SUM(B21:F21)))</f>
        <v>26769.633698789974</v>
      </c>
      <c r="H21" s="5">
        <f>IF(A21&gt;=(Title_RESULTS!$H$7+Title_RESULTS!$C$17),0,(+'Sheet3(F_21)'!$J21+'Sheet4(F_22)'!$H21))</f>
        <v>30232.21691475097</v>
      </c>
      <c r="I21" s="5">
        <f>IF(A21&gt;=(Title_RESULTS!$H$7+Title_RESULTS!$C$17),0,(+'Sheet4(F_22)'!$D21+'Sheet4(F_22)'!$G21))</f>
        <v>3519.236530569041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33751.45344532001</v>
      </c>
      <c r="M21" s="23">
        <f>IF(A21&gt;=(Title_RESULTS!$H$7+Title_RESULTS!$C$17),0,(+L21-G21))</f>
        <v>6981.819746530036</v>
      </c>
      <c r="N21" s="24">
        <f>(IF(A20&gt;=(Title_RESULTS!$H$7+Title_RESULTS!$C$17),0,(+$M21/((1+Title_RESULTS!$C$37)^('Sheet9(F_25)'!$A21-Title_RESULTS!$H$7))+N20)))</f>
        <v>-64047.116518729315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27037.33003577788</v>
      </c>
      <c r="F22">
        <f>IF(A22&gt;=(Title_RESULTS!$H$7+Title_RESULTS!$C$17),0,(+'f-11B'!$R21))</f>
        <v>0</v>
      </c>
      <c r="G22" s="5">
        <f>IF(A22&gt;=(Title_RESULTS!$H$7+Title_RESULTS!$C$17),0,(SUM(B22:F22)))</f>
        <v>27037.33003577788</v>
      </c>
      <c r="H22" s="5">
        <f>IF(A22&gt;=(Title_RESULTS!$H$7+Title_RESULTS!$C$17),0,(+'Sheet3(F_21)'!$J22+'Sheet4(F_22)'!$H22))</f>
        <v>31191.361256504773</v>
      </c>
      <c r="I22" s="5">
        <f>IF(A22&gt;=(Title_RESULTS!$H$7+Title_RESULTS!$C$17),0,(+'Sheet4(F_22)'!$D22+'Sheet4(F_22)'!$G22))</f>
        <v>3603.698207302697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34795.05946380747</v>
      </c>
      <c r="M22" s="23">
        <f>IF(A22&gt;=(Title_RESULTS!$H$7+Title_RESULTS!$C$17),0,(+L22-G22))</f>
        <v>7757.72942802959</v>
      </c>
      <c r="N22" s="24">
        <f>(IF(A21&gt;=(Title_RESULTS!$H$7+Title_RESULTS!$C$17),0,(+$M22/((1+Title_RESULTS!$C$37)^('Sheet9(F_25)'!$A22-Title_RESULTS!$H$7))+N21)))</f>
        <v>-58900.94267333834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27307.70333613565</v>
      </c>
      <c r="F23">
        <f>IF(A23&gt;=(Title_RESULTS!$H$7+Title_RESULTS!$C$17),0,(+'f-11B'!$R22))</f>
        <v>0</v>
      </c>
      <c r="G23" s="5">
        <f>IF(A23&gt;=(Title_RESULTS!$H$7+Title_RESULTS!$C$17),0,(SUM(B23:F23)))</f>
        <v>27307.70333613565</v>
      </c>
      <c r="H23" s="5">
        <f>IF(A23&gt;=(Title_RESULTS!$H$7+Title_RESULTS!$C$17),0,(+'Sheet3(F_21)'!$J23+'Sheet4(F_22)'!$H23))</f>
        <v>32799.051539094115</v>
      </c>
      <c r="I23" s="5">
        <f>IF(A23&gt;=(Title_RESULTS!$H$7+Title_RESULTS!$C$17),0,(+'Sheet4(F_22)'!$D23+'Sheet4(F_22)'!$G23))</f>
        <v>3690.1869642779625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36489.23850337208</v>
      </c>
      <c r="M23" s="23">
        <f>IF(A23&gt;=(Title_RESULTS!$H$7+Title_RESULTS!$C$17),0,(+L23-G23))</f>
        <v>9181.535167236427</v>
      </c>
      <c r="N23" s="24">
        <f>(IF(A22&gt;=(Title_RESULTS!$H$7+Title_RESULTS!$C$17),0,(+$M23/((1+Title_RESULTS!$C$37)^('Sheet9(F_25)'!$A23-Title_RESULTS!$H$7))+N22)))</f>
        <v>-53212.979650632056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27580.780369497013</v>
      </c>
      <c r="F24">
        <f>IF(A24&gt;=(Title_RESULTS!$H$7+Title_RESULTS!$C$17),0,(+'f-11B'!$R23))</f>
        <v>0</v>
      </c>
      <c r="G24" s="5">
        <f>IF(A24&gt;=(Title_RESULTS!$H$7+Title_RESULTS!$C$17),0,(SUM(B24:F24)))</f>
        <v>27580.780369497013</v>
      </c>
      <c r="H24" s="5">
        <f>IF(A24&gt;=(Title_RESULTS!$H$7+Title_RESULTS!$C$17),0,(+'Sheet3(F_21)'!$J24+'Sheet4(F_22)'!$H24))</f>
        <v>35438.714734574794</v>
      </c>
      <c r="I24" s="5">
        <f>IF(A24&gt;=(Title_RESULTS!$H$7+Title_RESULTS!$C$17),0,(+'Sheet4(F_22)'!$D24+'Sheet4(F_22)'!$G24))</f>
        <v>3778.751451420633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39217.46618599543</v>
      </c>
      <c r="M24" s="23">
        <f>IF(A24&gt;=(Title_RESULTS!$H$7+Title_RESULTS!$C$17),0,(+L24-G24))</f>
        <v>11636.685816498415</v>
      </c>
      <c r="N24" s="24">
        <f>(IF(A23&gt;=(Title_RESULTS!$H$7+Title_RESULTS!$C$17),0,(+$M24/((1+Title_RESULTS!$C$37)^('Sheet9(F_25)'!$A24-Title_RESULTS!$H$7))+N23)))</f>
        <v>-46480.69595513003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27856.588173191987</v>
      </c>
      <c r="F25">
        <f>IF(A25&gt;=(Title_RESULTS!$H$7+Title_RESULTS!$C$17),0,(+'f-11B'!$R24))</f>
        <v>0</v>
      </c>
      <c r="G25" s="5">
        <f>IF(A25&gt;=(Title_RESULTS!$H$7+Title_RESULTS!$C$17),0,(SUM(B25:F25)))</f>
        <v>27856.588173191987</v>
      </c>
      <c r="H25" s="5">
        <f>IF(A25&gt;=(Title_RESULTS!$H$7+Title_RESULTS!$C$17),0,(+'Sheet3(F_21)'!$J25+'Sheet4(F_22)'!$H25))</f>
        <v>37524.82652432751</v>
      </c>
      <c r="I25" s="5">
        <f>IF(A25&gt;=(Title_RESULTS!$H$7+Title_RESULTS!$C$17),0,(+'Sheet4(F_22)'!$D25+'Sheet4(F_22)'!$G25))</f>
        <v>3869.4414862547283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41394.26801058224</v>
      </c>
      <c r="M25" s="23">
        <f>IF(A25&gt;=(Title_RESULTS!$H$7+Title_RESULTS!$C$17),0,(+L25-G25))</f>
        <v>13537.67983739025</v>
      </c>
      <c r="N25" s="24">
        <f>(IF(A24&gt;=(Title_RESULTS!$H$7+Title_RESULTS!$C$17),0,(+$M25/((1+Title_RESULTS!$C$37)^('Sheet9(F_25)'!$A25-Title_RESULTS!$H$7))+N24)))</f>
        <v>-39166.45983402552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28135.154054923907</v>
      </c>
      <c r="F26">
        <f>IF(A26&gt;=(Title_RESULTS!$H$7+Title_RESULTS!$C$17),0,(+'f-11B'!$R25))</f>
        <v>0</v>
      </c>
      <c r="G26" s="5">
        <f>IF(A26&gt;=(Title_RESULTS!$H$7+Title_RESULTS!$C$17),0,(SUM(B26:F26)))</f>
        <v>28135.154054923907</v>
      </c>
      <c r="H26" s="5">
        <f>IF(A26&gt;=(Title_RESULTS!$H$7+Title_RESULTS!$C$17),0,(+'Sheet3(F_21)'!$J26+'Sheet4(F_22)'!$H26))</f>
        <v>40874.21046969024</v>
      </c>
      <c r="I26" s="5">
        <f>IF(A26&gt;=(Title_RESULTS!$H$7+Title_RESULTS!$C$17),0,(+'Sheet4(F_22)'!$D26+'Sheet4(F_22)'!$G26))</f>
        <v>3962.308081924842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44836.51855161508</v>
      </c>
      <c r="M26" s="23">
        <f>IF(A26&gt;=(Title_RESULTS!$H$7+Title_RESULTS!$C$17),0,(+L26-G26))</f>
        <v>16701.364496691174</v>
      </c>
      <c r="N26" s="24">
        <f>(IF(A25&gt;=(Title_RESULTS!$H$7+Title_RESULTS!$C$17),0,(+$M26/((1+Title_RESULTS!$C$37)^('Sheet9(F_25)'!$A26-Title_RESULTS!$H$7))+N25)))</f>
        <v>-30739.550347585762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28416.505595473143</v>
      </c>
      <c r="F27">
        <f>IF(A27&gt;=(Title_RESULTS!$H$7+Title_RESULTS!$C$17),0,(+'f-11B'!$R26))</f>
        <v>0</v>
      </c>
      <c r="G27" s="5">
        <f>IF(A27&gt;=(Title_RESULTS!$H$7+Title_RESULTS!$C$17),0,(SUM(B27:F27)))</f>
        <v>28416.505595473143</v>
      </c>
      <c r="H27" s="5">
        <f>IF(A27&gt;=(Title_RESULTS!$H$7+Title_RESULTS!$C$17),0,(+'Sheet3(F_21)'!$J27+'Sheet4(F_22)'!$H27))</f>
        <v>41122.11380992808</v>
      </c>
      <c r="I27" s="5">
        <f>IF(A27&gt;=(Title_RESULTS!$H$7+Title_RESULTS!$C$17),0,(+'Sheet4(F_22)'!$D27+'Sheet4(F_22)'!$G27))</f>
        <v>4057.4034758910384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45179.51728581912</v>
      </c>
      <c r="M27" s="23">
        <f>IF(A27&gt;=(Title_RESULTS!$H$7+Title_RESULTS!$C$17),0,(+L27-G27))</f>
        <v>16763.01169034598</v>
      </c>
      <c r="N27" s="24">
        <f>(IF(A26&gt;=(Title_RESULTS!$H$7+Title_RESULTS!$C$17),0,(+$M27/((1+Title_RESULTS!$C$37)^('Sheet9(F_25)'!$A27-Title_RESULTS!$H$7))+N26)))</f>
        <v>-22840.769576929808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28700.670651427874</v>
      </c>
      <c r="F28">
        <f>IF(A28&gt;=(Title_RESULTS!$H$7+Title_RESULTS!$C$17),0,(+'f-11B'!$R27))</f>
        <v>0</v>
      </c>
      <c r="G28" s="5">
        <f>IF(A28&gt;=(Title_RESULTS!$H$7+Title_RESULTS!$C$17),0,(SUM(B28:F28)))</f>
        <v>28700.670651427874</v>
      </c>
      <c r="H28" s="5">
        <f>IF(A28&gt;=(Title_RESULTS!$H$7+Title_RESULTS!$C$17),0,(+'Sheet3(F_21)'!$J28+'Sheet4(F_22)'!$H28))</f>
        <v>44165.57081266358</v>
      </c>
      <c r="I28" s="5">
        <f>IF(A28&gt;=(Title_RESULTS!$H$7+Title_RESULTS!$C$17),0,(+'Sheet4(F_22)'!$D28+'Sheet4(F_22)'!$G28))</f>
        <v>4154.781159312423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48320.351971976</v>
      </c>
      <c r="M28" s="23">
        <f>IF(A28&gt;=(Title_RESULTS!$H$7+Title_RESULTS!$C$17),0,(+L28-G28))</f>
        <v>19619.681320548127</v>
      </c>
      <c r="N28" s="24">
        <f>(IF(A27&gt;=(Title_RESULTS!$H$7+Title_RESULTS!$C$17),0,(+$M28/((1+Title_RESULTS!$C$37)^('Sheet9(F_25)'!$A28-Title_RESULTS!$H$7))+N27)))</f>
        <v>-14207.17603603703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28987.67735794215</v>
      </c>
      <c r="F29">
        <f>IF(A29&gt;=(Title_RESULTS!$H$7+Title_RESULTS!$C$17),0,(+'f-11B'!$R28))</f>
        <v>0</v>
      </c>
      <c r="G29" s="5">
        <f>IF(A29&gt;=(Title_RESULTS!$H$7+Title_RESULTS!$C$17),0,(SUM(B29:F29)))</f>
        <v>28987.67735794215</v>
      </c>
      <c r="H29" s="5">
        <f>IF(A29&gt;=(Title_RESULTS!$H$7+Title_RESULTS!$C$17),0,(+'Sheet3(F_21)'!$J29+'Sheet4(F_22)'!$H29))</f>
        <v>46759.42627456152</v>
      </c>
      <c r="I29" s="5">
        <f>IF(A29&gt;=(Title_RESULTS!$H$7+Title_RESULTS!$C$17),0,(+'Sheet4(F_22)'!$D29+'Sheet4(F_22)'!$G29))</f>
        <v>4254.495907135923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51013.922181697446</v>
      </c>
      <c r="M29" s="23">
        <f>IF(A29&gt;=(Title_RESULTS!$H$7+Title_RESULTS!$C$17),0,(+L29-G29))</f>
        <v>22026.244823755296</v>
      </c>
      <c r="N29" s="24">
        <f>(IF(A28&gt;=(Title_RESULTS!$H$7+Title_RESULTS!$C$17),0,(+$M29/((1+Title_RESULTS!$C$37)^('Sheet9(F_25)'!$A29-Title_RESULTS!$H$7))+N28)))</f>
        <v>-5155.442735771139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29277.554131521574</v>
      </c>
      <c r="F30">
        <f>IF(A30&gt;=(Title_RESULTS!$H$7+Title_RESULTS!$C$17),0,(+'f-11B'!$R29))</f>
        <v>0</v>
      </c>
      <c r="G30" s="5">
        <f>IF(A30&gt;=(Title_RESULTS!$H$7+Title_RESULTS!$C$17),0,(SUM(B30:F30)))</f>
        <v>29277.554131521574</v>
      </c>
      <c r="H30" s="5">
        <f>IF(A30&gt;=(Title_RESULTS!$H$7+Title_RESULTS!$C$17),0,(+'Sheet3(F_21)'!$J30+'Sheet4(F_22)'!$H30))</f>
        <v>48624.85970365543</v>
      </c>
      <c r="I30" s="5">
        <f>IF(A30&gt;=(Title_RESULTS!$H$7+Title_RESULTS!$C$17),0,(+'Sheet4(F_22)'!$D30+'Sheet4(F_22)'!$G30))</f>
        <v>4356.6038089071835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52981.46351256261</v>
      </c>
      <c r="M30" s="23">
        <f>IF(A30&gt;=(Title_RESULTS!$H$7+Title_RESULTS!$C$17),0,(+L30-G30))</f>
        <v>23703.909381041034</v>
      </c>
      <c r="N30" s="24">
        <f>(IF(A29&gt;=(Title_RESULTS!$H$7+Title_RESULTS!$C$17),0,(+$M30/((1+Title_RESULTS!$C$37)^('Sheet9(F_25)'!$A30-Title_RESULTS!$H$7))+N29)))</f>
        <v>3941.6558870474382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691.3296</v>
      </c>
      <c r="D32" s="5">
        <f t="shared" si="1"/>
        <v>76129.53</v>
      </c>
      <c r="E32" s="5">
        <f t="shared" si="1"/>
        <v>371575.91422312835</v>
      </c>
      <c r="F32" s="5">
        <f t="shared" si="1"/>
        <v>0</v>
      </c>
      <c r="G32" s="5">
        <f t="shared" si="1"/>
        <v>448396.7738231284</v>
      </c>
      <c r="H32" s="5">
        <f t="shared" si="1"/>
        <v>471499.15810924064</v>
      </c>
      <c r="I32" s="5">
        <f t="shared" si="1"/>
        <v>52518.13839511131</v>
      </c>
      <c r="J32" s="5">
        <f t="shared" si="1"/>
        <v>0</v>
      </c>
      <c r="K32" s="9">
        <f t="shared" si="1"/>
        <v>0</v>
      </c>
      <c r="L32" s="5">
        <f t="shared" si="1"/>
        <v>524017.296504352</v>
      </c>
      <c r="M32" s="5">
        <f t="shared" si="1"/>
        <v>75620.5226812237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645.9284837466994</v>
      </c>
      <c r="D34" s="5">
        <f>NPV(Title_RESULTS!$C$37,'Sheet9(F_25)'!D17:D31)+'Sheet9(F_25)'!D16</f>
        <v>71206.87596212649</v>
      </c>
      <c r="E34" s="5">
        <f>NPV(Title_RESULTS!$C$37,'Sheet9(F_25)'!E17:E31)+'Sheet9(F_25)'!E16</f>
        <v>224913.12524332074</v>
      </c>
      <c r="F34" s="5">
        <f>NPV(Title_RESULTS!$C$37,'Sheet9(F_25)'!F17:F31)+'Sheet9(F_25)'!F16</f>
        <v>0</v>
      </c>
      <c r="G34" s="5">
        <f>NPV(Title_RESULTS!$C$37,'Sheet9(F_25)'!G17:G31)+'Sheet9(F_25)'!G16</f>
        <v>296765.9296891939</v>
      </c>
      <c r="H34" s="5">
        <f>NPV(Title_RESULTS!$C$37,'Sheet9(F_25)'!H17:H31)+'Sheet9(F_25)'!H16</f>
        <v>268899.4701921735</v>
      </c>
      <c r="I34" s="5">
        <f>NPV(Title_RESULTS!$C$37,'Sheet9(F_25)'!I17:I31)+'Sheet9(F_25)'!I16</f>
        <v>31808.115384067874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300707.58557624137</v>
      </c>
      <c r="M34" s="5">
        <f>NPV(Title_RESULTS!$C$37,'Sheet9(F_25)'!M17:M31)+'Sheet9(F_25)'!M16</f>
        <v>3941.6558870474328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1.0132820364223603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69755.62777510607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4069.0473984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10463.230464000002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402.1126371824091</v>
      </c>
      <c r="P24" s="48">
        <f aca="true" t="shared" si="4" ref="P24:P61">N24*$L$5</f>
        <v>1034.000537074295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411.7633404747869</v>
      </c>
      <c r="P25" s="48">
        <f t="shared" si="4"/>
        <v>1058.816549964078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9597.723022100143</v>
      </c>
      <c r="E26" s="11">
        <f>IF(B26=Title_RESULTS!$H$8,$F$16,+E25*(1+$F$7))</f>
        <v>0.09882230355451863</v>
      </c>
      <c r="F26" s="9">
        <f t="shared" si="1"/>
        <v>6893.411822627542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559.8629263225921</v>
      </c>
      <c r="L26" s="5">
        <f t="shared" si="3"/>
        <v>1439.6428089449544</v>
      </c>
      <c r="N26" s="11">
        <f>IF(+B26=Title_RESULTS!$H$9,'Value of Defferal'!$O$16,+'Value of Defferal'!N25*(1+'Value of Defferal'!$F$7))</f>
        <v>0.10362269577198292</v>
      </c>
      <c r="O26" s="5">
        <f t="shared" si="7"/>
        <v>421.6456606461818</v>
      </c>
      <c r="P26" s="48">
        <f t="shared" si="4"/>
        <v>1084.228147163216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9314.30337346379</v>
      </c>
      <c r="E27" s="11">
        <f>IF(B27=Title_RESULTS!$H$8,$F$16,+E26*(1+$F$7))</f>
        <v>0.10119403883982707</v>
      </c>
      <c r="F27" s="9">
        <f t="shared" si="1"/>
        <v>7058.8537063706035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543.3302389864923</v>
      </c>
      <c r="L27" s="5">
        <f t="shared" si="3"/>
        <v>1397.1303236259366</v>
      </c>
      <c r="N27" s="11">
        <f>IF(+B27=Title_RESULTS!$H$9,'Value of Defferal'!$O$16,+'Value of Defferal'!N26*(1+'Value of Defferal'!$F$7))</f>
        <v>0.10610964047051051</v>
      </c>
      <c r="O27" s="5">
        <f t="shared" si="7"/>
        <v>431.76515650169017</v>
      </c>
      <c r="P27" s="48">
        <f t="shared" si="4"/>
        <v>1110.249622695133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9001.41014837436</v>
      </c>
      <c r="E28" s="11">
        <f>IF(B28=Title_RESULTS!$H$8,$F$16,+E27*(1+$F$7))</f>
        <v>0.10362269577198292</v>
      </c>
      <c r="F28" s="9">
        <f t="shared" si="1"/>
        <v>7228.266195323498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525.0782727418205</v>
      </c>
      <c r="L28" s="5">
        <f t="shared" si="3"/>
        <v>1350.1968498811373</v>
      </c>
      <c r="N28" s="11">
        <f>IF(+B28=Title_RESULTS!$H$9,'Value of Defferal'!$O$16,+'Value of Defferal'!N27*(1+'Value of Defferal'!$F$7))</f>
        <v>0.10865627184180277</v>
      </c>
      <c r="O28" s="5">
        <f t="shared" si="7"/>
        <v>442.12752025773074</v>
      </c>
      <c r="P28" s="48">
        <f t="shared" si="4"/>
        <v>1136.8956136398162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8703.502783988537</v>
      </c>
      <c r="E29" s="11">
        <f>IF(B29=Title_RESULTS!$H$8,$F$16,+E28*(1+$F$7))</f>
        <v>0.10610964047051051</v>
      </c>
      <c r="F29" s="9">
        <f t="shared" si="1"/>
        <v>7401.744584011262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507.7004750689718</v>
      </c>
      <c r="L29" s="5">
        <f t="shared" si="3"/>
        <v>1305.5112308147989</v>
      </c>
      <c r="N29" s="11">
        <f>IF(+B29=Title_RESULTS!$H$9,'Value of Defferal'!$O$16,+'Value of Defferal'!N28*(1+'Value of Defferal'!$F$7))</f>
        <v>0.11126402236600604</v>
      </c>
      <c r="O29" s="5">
        <f t="shared" si="7"/>
        <v>452.73858074391626</v>
      </c>
      <c r="P29" s="48">
        <f t="shared" si="4"/>
        <v>1164.1811083671719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8419.07854302801</v>
      </c>
      <c r="E30" s="11">
        <f>IF(B30=Title_RESULTS!$H$8,$F$16,+E29*(1+$F$7))</f>
        <v>0.10865627184180277</v>
      </c>
      <c r="F30" s="9">
        <f t="shared" si="1"/>
        <v>7579.386454027533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491.10918695880514</v>
      </c>
      <c r="L30" s="5">
        <f t="shared" si="3"/>
        <v>1262.848058284649</v>
      </c>
      <c r="N30" s="11">
        <f>IF(+B30=Title_RESULTS!$H$9,'Value of Defferal'!$O$16,+'Value of Defferal'!N29*(1+'Value of Defferal'!$F$7))</f>
        <v>0.11393435890279018</v>
      </c>
      <c r="O30" s="5">
        <f t="shared" si="7"/>
        <v>463.60430668177025</v>
      </c>
      <c r="P30" s="48">
        <f t="shared" si="4"/>
        <v>1192.121454967984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8146.800736532509</v>
      </c>
      <c r="E31" s="11">
        <f>IF(B31=Title_RESULTS!$H$8,$F$16,+E30*(1+$F$7))</f>
        <v>0.11126402236600604</v>
      </c>
      <c r="F31" s="9">
        <f t="shared" si="1"/>
        <v>7761.291728924193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475.22643548053713</v>
      </c>
      <c r="L31" s="5">
        <f t="shared" si="3"/>
        <v>1222.0068311254615</v>
      </c>
      <c r="N31" s="11">
        <f>IF(+B31=Title_RESULTS!$H$9,'Value of Defferal'!$O$16,+'Value of Defferal'!N30*(1+'Value of Defferal'!$F$7))</f>
        <v>0.11666878351645714</v>
      </c>
      <c r="O31" s="5">
        <f t="shared" si="7"/>
        <v>474.7308100421327</v>
      </c>
      <c r="P31" s="48">
        <f t="shared" si="4"/>
        <v>1220.7323698872156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7882.999696673233</v>
      </c>
      <c r="E32" s="11">
        <f>IF(B32=Title_RESULTS!$H$8,$F$16,+E31*(1+$F$7))</f>
        <v>0.11393435890279018</v>
      </c>
      <c r="F32" s="9">
        <f t="shared" si="1"/>
        <v>7947.562730418374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459.83815830245294</v>
      </c>
      <c r="L32" s="5">
        <f t="shared" si="3"/>
        <v>1182.4371051445064</v>
      </c>
      <c r="N32" s="11">
        <f>IF(+B32=Title_RESULTS!$H$9,'Value of Defferal'!$O$16,+'Value of Defferal'!N31*(1+'Value of Defferal'!$F$7))</f>
        <v>0.11946883432085212</v>
      </c>
      <c r="O32" s="5">
        <f t="shared" si="7"/>
        <v>486.12434948314393</v>
      </c>
      <c r="P32" s="48">
        <f t="shared" si="4"/>
        <v>1250.0299467645088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7621.913546814002</v>
      </c>
      <c r="E33" s="11">
        <f>IF(B33=Title_RESULTS!$H$8,$F$16,+E32*(1+$F$7))</f>
        <v>0.11666878351645714</v>
      </c>
      <c r="F33" s="9">
        <f t="shared" si="1"/>
        <v>8138.304235948415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444.6082485055246</v>
      </c>
      <c r="L33" s="5">
        <f t="shared" si="3"/>
        <v>1143.2746082382641</v>
      </c>
      <c r="N33" s="11">
        <f>IF(+B33=Title_RESULTS!$H$9,'Value of Defferal'!$O$16,+'Value of Defferal'!N32*(1+'Value of Defferal'!$F$7))</f>
        <v>0.12233608634455258</v>
      </c>
      <c r="O33" s="5">
        <f t="shared" si="7"/>
        <v>497.79133387073944</v>
      </c>
      <c r="P33" s="48">
        <f t="shared" si="4"/>
        <v>1280.0306654868573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7360.82739695477</v>
      </c>
      <c r="E34" s="11">
        <f>IF(B34=Title_RESULTS!$H$8,$F$16,+E33*(1+$F$7))</f>
        <v>0.11946883432085212</v>
      </c>
      <c r="F34" s="9">
        <f t="shared" si="1"/>
        <v>8333.623537611178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429.3783387085961</v>
      </c>
      <c r="L34" s="5">
        <f t="shared" si="3"/>
        <v>1104.1121113320216</v>
      </c>
      <c r="N34" s="11">
        <f>IF(+B34=Title_RESULTS!$H$9,'Value of Defferal'!$O$16,+'Value of Defferal'!N33*(1+'Value of Defferal'!$F$7))</f>
        <v>0.12527215241682185</v>
      </c>
      <c r="O34" s="5">
        <f t="shared" si="7"/>
        <v>509.73832588363723</v>
      </c>
      <c r="P34" s="48">
        <f t="shared" si="4"/>
        <v>1310.751401458542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7099.741247095538</v>
      </c>
      <c r="E35" s="11">
        <f>IF(B35=Title_RESULTS!$H$8,$F$16,+E34*(1+$F$7))</f>
        <v>0.12233608634455258</v>
      </c>
      <c r="F35" s="9">
        <f t="shared" si="1"/>
        <v>8533.630502513846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414.1484289116677</v>
      </c>
      <c r="L35" s="5">
        <f t="shared" si="3"/>
        <v>1064.9496144257794</v>
      </c>
      <c r="N35" s="11">
        <f>IF(+B35=Title_RESULTS!$H$9,'Value of Defferal'!$O$16,+'Value of Defferal'!N34*(1+'Value of Defferal'!$F$7))</f>
        <v>0.12827868407482557</v>
      </c>
      <c r="O35" s="5">
        <f t="shared" si="7"/>
        <v>521.9720457048445</v>
      </c>
      <c r="P35" s="48">
        <f t="shared" si="4"/>
        <v>1342.2094350935467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6838.655097236307</v>
      </c>
      <c r="E36" s="11">
        <f>IF(B36=Title_RESULTS!$H$8,$F$16,+E35*(1+$F$7))</f>
        <v>0.12527215241682185</v>
      </c>
      <c r="F36" s="9">
        <f t="shared" si="1"/>
        <v>8738.43763457418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398.91851911473935</v>
      </c>
      <c r="L36" s="5">
        <f t="shared" si="3"/>
        <v>1025.787117519537</v>
      </c>
      <c r="N36" s="11">
        <f>IF(+B36=Title_RESULTS!$H$9,'Value of Defferal'!$O$16,+'Value of Defferal'!N35*(1+'Value of Defferal'!$F$7))</f>
        <v>0.1313573724926214</v>
      </c>
      <c r="O36" s="5">
        <f t="shared" si="7"/>
        <v>534.4993748017608</v>
      </c>
      <c r="P36" s="48">
        <f t="shared" si="4"/>
        <v>1374.422461535792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6577.568947377074</v>
      </c>
      <c r="E37" s="11">
        <f>IF(B37&gt;Title_RESULTS!$H$8-1+Title_RESULTS!$C$18,0,+E36*(1+$F$7))</f>
        <v>0.12827868407482557</v>
      </c>
      <c r="F37" s="9">
        <f t="shared" si="1"/>
        <v>8948.16013780396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383.68860931781086</v>
      </c>
      <c r="L37" s="5">
        <f t="shared" si="3"/>
        <v>986.6246206132947</v>
      </c>
      <c r="N37" s="11">
        <f>IF(+B37=Title_RESULTS!$H$9,'Value of Defferal'!$O$16,+'Value of Defferal'!N36*(1+'Value of Defferal'!$F$7))</f>
        <v>0.1345099494324443</v>
      </c>
      <c r="O37" s="5">
        <f t="shared" si="7"/>
        <v>547.327359797003</v>
      </c>
      <c r="P37" s="48">
        <f t="shared" si="4"/>
        <v>1407.4086006126508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6316.482797517841</v>
      </c>
      <c r="E38" s="11">
        <f>IF(B38&gt;Title_RESULTS!$H$8-1+Title_RESULTS!$C$18,0,+E37*(1+$F$7))</f>
        <v>0.1313573724926214</v>
      </c>
      <c r="F38" s="9">
        <f t="shared" si="1"/>
        <v>9162.915981111255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368.4586995208824</v>
      </c>
      <c r="L38" s="5">
        <f t="shared" si="3"/>
        <v>947.4621237070522</v>
      </c>
      <c r="N38" s="11">
        <f>IF(+B38=Title_RESULTS!$H$9,'Value of Defferal'!$O$16,+'Value of Defferal'!N37*(1+'Value of Defferal'!$F$7))</f>
        <v>0.13773818821882297</v>
      </c>
      <c r="O38" s="5">
        <f t="shared" si="7"/>
        <v>560.4632164321312</v>
      </c>
      <c r="P38" s="48">
        <f t="shared" si="4"/>
        <v>1441.1864070273548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6055.396647658608</v>
      </c>
      <c r="E39" s="11">
        <f>IF(B39&gt;Title_RESULTS!$H$8-1+Title_RESULTS!$C$18,0,+E38*(1+$F$7))</f>
        <v>0.1345099494324443</v>
      </c>
      <c r="F39" s="9">
        <f t="shared" si="1"/>
        <v>9382.825964657924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353.2287897239539</v>
      </c>
      <c r="L39" s="5">
        <f t="shared" si="3"/>
        <v>908.2996268008097</v>
      </c>
      <c r="N39" s="11">
        <f>IF(+B39&gt;Title_RESULTS!$H$9+Title_RESULTS!$C$19-1,0,+'Value of Defferal'!N38*(1+'Value of Defferal'!$F$7))</f>
        <v>0.14104390473607473</v>
      </c>
      <c r="O39" s="5">
        <f t="shared" si="7"/>
        <v>573.9143336265023</v>
      </c>
      <c r="P39" s="48">
        <f t="shared" si="4"/>
        <v>1475.7748807960113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5794.310497799379</v>
      </c>
      <c r="E40" s="11">
        <f>IF(B40&gt;Title_RESULTS!$H$8-1+Title_RESULTS!$C$18,0,+E39*(1+$F$7))</f>
        <v>0.13773818821882297</v>
      </c>
      <c r="F40" s="9">
        <f t="shared" si="1"/>
        <v>9608.013787809716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337.99887992702565</v>
      </c>
      <c r="L40" s="5">
        <f t="shared" si="3"/>
        <v>869.1371298945677</v>
      </c>
      <c r="N40" s="11">
        <f>IF(+B40&gt;Title_RESULTS!$H$9+Title_RESULTS!$C$19-1,0,+'Value of Defferal'!N39*(1+'Value of Defferal'!$F$7))</f>
        <v>0.14442895844974052</v>
      </c>
      <c r="O40" s="5">
        <f t="shared" si="7"/>
        <v>587.6882776335384</v>
      </c>
      <c r="P40" s="48">
        <f t="shared" si="4"/>
        <v>1511.1934779351154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5557.741382099564</v>
      </c>
      <c r="E41" s="11">
        <f>IF(B41&gt;Title_RESULTS!$H$8-1+Title_RESULTS!$C$18,0,+E40*(1+$F$7))</f>
        <v>0.14104390473607473</v>
      </c>
      <c r="F41" s="9">
        <f t="shared" si="1"/>
        <v>9838.606118717149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324.1991195996783</v>
      </c>
      <c r="L41" s="5">
        <f t="shared" si="3"/>
        <v>833.652148149264</v>
      </c>
      <c r="N41" s="11">
        <f>IF(+B41&gt;Title_RESULTS!$H$9+Title_RESULTS!$C$19-1,0,+'Value of Defferal'!N40*(1+'Value of Defferal'!$F$7))</f>
        <v>0.1478952534525343</v>
      </c>
      <c r="O41" s="5">
        <f t="shared" si="7"/>
        <v>601.7927962967433</v>
      </c>
      <c r="P41" s="48">
        <f t="shared" si="4"/>
        <v>1547.4621214055583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5370.198032302687</v>
      </c>
      <c r="E42" s="11">
        <f>IF(B42&gt;Title_RESULTS!$H$8-1+Title_RESULTS!$C$18,0,+E41*(1+$F$7))</f>
        <v>0.14442895844974052</v>
      </c>
      <c r="F42" s="9">
        <f t="shared" si="1"/>
        <v>10074.73266556636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313.2591739075754</v>
      </c>
      <c r="L42" s="5">
        <f t="shared" si="3"/>
        <v>805.520951376986</v>
      </c>
      <c r="N42" s="11">
        <f>IF(+B42&gt;Title_RESULTS!$H$9+Title_RESULTS!$C$19-1,0,+'Value of Defferal'!N41*(1+'Value of Defferal'!$F$7))</f>
        <v>0.1514447395353951</v>
      </c>
      <c r="O42" s="5">
        <f t="shared" si="7"/>
        <v>616.2358234078652</v>
      </c>
      <c r="P42" s="48">
        <f t="shared" si="4"/>
        <v>1584.6012123192916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5207.163414249327</v>
      </c>
      <c r="E43" s="11">
        <f>IF(B43&gt;Title_RESULTS!$H$8-1+Title_RESULTS!$C$18,0,+E42*(1+$F$7))</f>
        <v>0.1478952534525343</v>
      </c>
      <c r="F43" s="9">
        <f t="shared" si="1"/>
        <v>10316.526249539953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303.74889338113576</v>
      </c>
      <c r="L43" s="5">
        <f t="shared" si="3"/>
        <v>781.0660244167944</v>
      </c>
      <c r="N43" s="11">
        <f>IF(+B43&gt;Title_RESULTS!$H$9+Title_RESULTS!$C$19-1,0,+'Value of Defferal'!N42*(1+'Value of Defferal'!$F$7))</f>
        <v>0.1550794132842446</v>
      </c>
      <c r="O43" s="5">
        <f t="shared" si="7"/>
        <v>631.0254831696539</v>
      </c>
      <c r="P43" s="48">
        <f t="shared" si="4"/>
        <v>1622.6316414149546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5044.128796195968</v>
      </c>
      <c r="E44" s="11">
        <f>IF(B44&gt;Title_RESULTS!$H$8-1+Title_RESULTS!$C$18,0,+E43*(1+$F$7))</f>
        <v>0.1514447395353951</v>
      </c>
      <c r="F44" s="9">
        <f t="shared" si="1"/>
        <v>10564.122879528912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294.23861285469616</v>
      </c>
      <c r="L44" s="5">
        <f t="shared" si="3"/>
        <v>756.611097456603</v>
      </c>
      <c r="N44" s="11">
        <f>IF(+B44&gt;Title_RESULTS!$H$9+Title_RESULTS!$C$19-1,0,+'Value of Defferal'!N43*(1+'Value of Defferal'!$F$7))</f>
        <v>0.15880131920306648</v>
      </c>
      <c r="O44" s="5">
        <f t="shared" si="7"/>
        <v>646.1700947657256</v>
      </c>
      <c r="P44" s="48">
        <f t="shared" si="4"/>
        <v>1661.5748008089138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4881.094178142605</v>
      </c>
      <c r="E45" s="11">
        <f>IF(B45&gt;Title_RESULTS!$H$8-1+Title_RESULTS!$C$18,0,+E44*(1+$F$7))</f>
        <v>0.1550794132842446</v>
      </c>
      <c r="F45" s="9">
        <f t="shared" si="1"/>
        <v>10817.661828637605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284.72833232825644</v>
      </c>
      <c r="L45" s="5">
        <f t="shared" si="3"/>
        <v>732.1561704964113</v>
      </c>
      <c r="N45" s="11">
        <f>IF(+B45&gt;Title_RESULTS!$H$9+Title_RESULTS!$C$19-1,0,+'Value of Defferal'!N44*(1+'Value of Defferal'!$F$7))</f>
        <v>0.16261255086394008</v>
      </c>
      <c r="O45" s="5">
        <f t="shared" si="7"/>
        <v>661.678177040103</v>
      </c>
      <c r="P45" s="48">
        <f t="shared" si="4"/>
        <v>1701.4525960283277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4718.059560089246</v>
      </c>
      <c r="E46" s="11">
        <f>IF(B46&gt;Title_RESULTS!$H$8-1+Title_RESULTS!$C$18,0,+E45*(1+$F$7))</f>
        <v>0.15880131920306648</v>
      </c>
      <c r="F46" s="9">
        <f t="shared" si="1"/>
        <v>11077.285712524908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275.2180518018168</v>
      </c>
      <c r="L46" s="5">
        <f t="shared" si="3"/>
        <v>707.7012435362197</v>
      </c>
      <c r="N46" s="11">
        <f>IF(+B46&gt;Title_RESULTS!$H$9+Title_RESULTS!$C$19-1,0,+'Value of Defferal'!N45*(1+'Value of Defferal'!$F$7))</f>
        <v>0.16651525208467466</v>
      </c>
      <c r="O46" s="5">
        <f t="shared" si="7"/>
        <v>677.5584532890656</v>
      </c>
      <c r="P46" s="48">
        <f t="shared" si="4"/>
        <v>1742.2874583330076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4555.024942035886</v>
      </c>
      <c r="E47" s="11">
        <f>IF(B47&gt;Title_RESULTS!$H$8-1+Title_RESULTS!$C$18,0,+E46*(1+$F$7))</f>
        <v>0.16261255086394008</v>
      </c>
      <c r="F47" s="9">
        <f t="shared" si="1"/>
        <v>11343.140569625508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265.7077712753772</v>
      </c>
      <c r="L47" s="5">
        <f t="shared" si="3"/>
        <v>683.2463165760284</v>
      </c>
      <c r="N47" s="11">
        <f>IF(+B47&gt;Title_RESULTS!$H$9+Title_RESULTS!$C$19-1,0,+'Value of Defferal'!N46*(1+'Value of Defferal'!$F$7))</f>
        <v>0.17051161813470686</v>
      </c>
      <c r="O47" s="5">
        <f t="shared" si="7"/>
        <v>693.8198561680032</v>
      </c>
      <c r="P47" s="48">
        <f t="shared" si="4"/>
        <v>1784.102357333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4391.990323982525</v>
      </c>
      <c r="E48" s="11">
        <f>IF(B48&gt;Title_RESULTS!$H$8-1+Title_RESULTS!$C$18,0,+E47*(1+$F$7))</f>
        <v>0.16651525208467466</v>
      </c>
      <c r="F48" s="9">
        <f t="shared" si="1"/>
        <v>11615.37594329652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256.1974907489376</v>
      </c>
      <c r="L48" s="5">
        <f t="shared" si="3"/>
        <v>658.7913896158369</v>
      </c>
      <c r="N48" s="11">
        <f>IF(+B48&gt;Title_RESULTS!$H$9+Title_RESULTS!$C$19-1,0,+'Value of Defferal'!N47*(1+'Value of Defferal'!$F$7))</f>
        <v>0.17460389696993983</v>
      </c>
      <c r="O48" s="5">
        <f t="shared" si="7"/>
        <v>710.4715327160353</v>
      </c>
      <c r="P48" s="48">
        <f t="shared" si="4"/>
        <v>1826.9208139089922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4228.955705929164</v>
      </c>
      <c r="E49" s="11">
        <f>IF(B49&gt;Title_RESULTS!$H$8-1+Title_RESULTS!$C$18,0,+E48*(1+$F$7))</f>
        <v>0.17051161813470686</v>
      </c>
      <c r="F49" s="9">
        <f t="shared" si="1"/>
        <v>11894.144965935639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246.68721022249784</v>
      </c>
      <c r="L49" s="5">
        <f t="shared" si="3"/>
        <v>634.3364626556453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4065.9210878758036</v>
      </c>
      <c r="E50" s="11">
        <f>IF(B50&gt;Title_RESULTS!$H$8-1+Title_RESULTS!$C$18,0,+E49*(1+$F$7))</f>
        <v>0.17460389696993983</v>
      </c>
      <c r="F50" s="9">
        <f t="shared" si="1"/>
        <v>12179.604445118093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237.17692969605818</v>
      </c>
      <c r="L50" s="5">
        <f t="shared" si="3"/>
        <v>609.8815356954537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3902.886469822444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227.66664916961858</v>
      </c>
      <c r="L51" s="5">
        <f t="shared" si="3"/>
        <v>585.4266087352623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166653.87837533932</v>
      </c>
      <c r="F63" s="9">
        <f>SUM(F23:F61)</f>
        <v>232437.6303822241</v>
      </c>
      <c r="J63" t="s">
        <v>87</v>
      </c>
      <c r="K63" s="9">
        <f>SUM(K23:K61)</f>
        <v>9721.402442577519</v>
      </c>
      <c r="O63" s="9">
        <f>SUM(O23:O61)</f>
        <v>13558.758846617115</v>
      </c>
    </row>
    <row r="64" spans="3:15" ht="12.75">
      <c r="C64" t="s">
        <v>89</v>
      </c>
      <c r="D64" s="9">
        <f>NPV(+Title_RESULTS!$C$37,'Value of Defferal'!D24:D61)+'Value of Defferal'!D23</f>
        <v>74411.9646000302</v>
      </c>
      <c r="F64" s="9">
        <f>NPV(+Title_RESULTS!$C$37,'Value of Defferal'!F24:F61)+'Value of Defferal'!F23</f>
        <v>86430.89880101215</v>
      </c>
      <c r="J64" t="s">
        <v>89</v>
      </c>
      <c r="K64" s="9">
        <f>NPV(+Title_RESULTS!$C$37,'Value of Defferal'!K24:K61)+'Value of Defferal'!K23</f>
        <v>4340.6649846486225</v>
      </c>
      <c r="O64" s="9">
        <f>NPV(+Title_RESULTS!$C$37,'Value of Defferal'!O24:O61)+'Value of Defferal'!O23</f>
        <v>5780.950511006653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38.07590325657021</v>
      </c>
      <c r="C25" t="s">
        <v>372</v>
      </c>
    </row>
    <row r="26" spans="2:3" ht="18">
      <c r="B26" s="15">
        <f>+((Input!$C$6*'EUE_Line Losses'!C4)+(Input!$C$7*'EUE_Line Losses'!C3))/'EUE_Line Losses'!C22</f>
        <v>37.95307776219417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5.81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41.35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191623.73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225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49191.46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25376.51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Facility EMS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43599.321723726855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41.35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37.95307776219417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202134.73628691986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191623.73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225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49191.46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25376.51</v>
      </c>
      <c r="D39" s="13" t="s">
        <v>189</v>
      </c>
      <c r="G39" s="20" t="s">
        <v>346</v>
      </c>
      <c r="H39" s="79">
        <f>+'Sheet7(F_23)'!H36</f>
        <v>2.121683050855817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314531.6106924834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1.0132820364223603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2019-05-14T11:43:18Z</dcterms:created>
  <dcterms:modified xsi:type="dcterms:W3CDTF">2019-05-14T11:43:20Z</dcterms:modified>
  <cp:category/>
  <cp:version/>
  <cp:contentType/>
  <cp:contentStatus/>
</cp:coreProperties>
</file>