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'Sheet2(F_12)'!$A$1:$K$45</definedName>
    <definedName name="_xlnm.Print_Area" localSheetId="11">'Sheet3(F_21)'!$A$1:$J$34</definedName>
    <definedName name="_xlnm.Print_Area" localSheetId="14">'Sheet4(F_22)'!$A$1:$J$34</definedName>
    <definedName name="_xlnm.Print_Area" localSheetId="12">'Sheet5(p_5)'!$A$1:$H$34</definedName>
    <definedName name="_xlnm.Print_Area" localSheetId="15">'Sheet6(p_6)'!$A$1:$R$34</definedName>
    <definedName name="_xlnm.Print_Area" localSheetId="16">'Sheet7(F_23)'!$A$1:$M$34</definedName>
    <definedName name="_xlnm.Print_Area" localSheetId="17">'Sheet8(F_24)'!$A$1:$M$34</definedName>
    <definedName name="_xlnm.Print_Area" localSheetId="18">'Sheet9(F_25)'!$A$1:$N$34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<sst xmlns="http://schemas.openxmlformats.org/spreadsheetml/2006/main" count="1258" uniqueCount="468">
  <si>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</si>
  <si>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</si>
  <si>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</si>
  <si>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</si>
  <si>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</si>
  <si>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</si>
  <si>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</si>
  <si>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</si>
  <si>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</si>
  <si>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</si>
  <si>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</si>
  <si>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</si>
  <si>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</si>
  <si>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</si>
  <si>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</si>
  <si>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</si>
  <si>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</si>
  <si>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</si>
  <si>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</si>
  <si>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</si>
  <si>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</si>
  <si>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</si>
  <si>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</si>
  <si>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</si>
  <si>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</si>
  <si>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</si>
  <si>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</si>
  <si>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</si>
  <si>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</si>
  <si>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</si>
  <si>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</si>
  <si>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</si>
  <si>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</si>
  <si>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</si>
  <si>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</si>
  <si>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</si>
  <si>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</si>
  <si>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</si>
  <si>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</si>
  <si>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</si>
  <si>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</si>
  <si>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</si>
  <si>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</si>
  <si>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</si>
  <si>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</si>
  <si>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</si>
  <si>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</si>
  <si>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</si>
  <si>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</si>
  <si>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</si>
  <si>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</si>
  <si>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</si>
  <si>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</si>
  <si>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</si>
  <si>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</si>
  <si>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</si>
  <si>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</si>
  <si>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</si>
  <si>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</si>
  <si>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</si>
  <si>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</si>
  <si>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</si>
  <si>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</si>
  <si>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</si>
  <si>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</si>
  <si>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</si>
  <si>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</si>
  <si>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</si>
  <si>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</si>
  <si>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</si>
  <si>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</si>
  <si>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</si>
  <si>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</si>
  <si>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</si>
  <si>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</si>
  <si>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</si>
  <si>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</si>
  <si>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</si>
  <si>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</si>
  <si>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</si>
  <si>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</si>
  <si>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</si>
  <si>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</si>
  <si>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</si>
  <si>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</si>
  <si>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</si>
  <si>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</si>
  <si>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</si>
  <si>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</si>
  <si>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</si>
  <si>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</si>
  <si>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</si>
  <si>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</si>
  <si>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</si>
  <si>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</si>
  <si>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</si>
  <si>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</si>
  <si>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</si>
  <si>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</si>
  <si>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</si>
  <si>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</si>
  <si>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</si>
  <si>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</si>
  <si>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</si>
  <si>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</si>
  <si>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</si>
  <si>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</si>
  <si>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</si>
  <si>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</si>
  <si>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</si>
  <si>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</si>
  <si>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</si>
  <si>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</si>
  <si>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</si>
  <si>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</si>
  <si>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</si>
  <si>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</si>
  <si>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</si>
  <si>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</si>
  <si>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</si>
  <si>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</si>
  <si>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</si>
  <si>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</si>
  <si>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</si>
  <si>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</si>
  <si>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</si>
  <si>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</si>
  <si>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</si>
  <si>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</si>
  <si>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</si>
  <si>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</si>
  <si>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</si>
  <si>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</si>
  <si>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</si>
  <si>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</si>
  <si>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</si>
  <si>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</si>
  <si>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</si>
  <si>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</si>
  <si>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</si>
  <si>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</si>
  <si>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</si>
  <si>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</si>
  <si>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</si>
  <si>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</si>
  <si>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</si>
  <si>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</si>
  <si>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</si>
  <si>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</si>
  <si>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</si>
  <si>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</si>
  <si>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</si>
  <si>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</si>
  <si>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</si>
  <si>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</si>
  <si>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</si>
  <si>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</si>
  <si>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</si>
  <si>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</si>
  <si>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</si>
  <si>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</si>
  <si>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</si>
  <si>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</si>
  <si>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</si>
  <si>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</si>
  <si>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</si>
  <si>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</si>
  <si>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</si>
  <si>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</si>
  <si>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</si>
  <si>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</si>
  <si>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</si>
  <si>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</si>
  <si>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</si>
  <si>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</si>
  <si>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</si>
  <si>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</si>
  <si>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</si>
  <si>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</si>
  <si>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</si>
  <si>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</si>
  <si>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</si>
  <si>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</si>
  <si>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</si>
  <si>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</si>
  <si>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</si>
  <si>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</si>
  <si>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</si>
  <si>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</si>
  <si>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</si>
  <si>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</si>
  <si>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</si>
  <si>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</si>
  <si>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</si>
  <si>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</si>
  <si>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</si>
  <si>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</si>
  <si>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</si>
  <si>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</si>
  <si>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</si>
  <si>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</si>
  <si>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</si>
  <si>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</si>
  <si>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</si>
  <si>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</si>
  <si>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</si>
  <si>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</si>
  <si>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</si>
  <si>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</si>
  <si>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</si>
  <si>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</si>
  <si>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</si>
  <si>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</si>
  <si>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</si>
  <si>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</si>
  <si>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</si>
  <si>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</si>
  <si>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</si>
  <si>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</si>
  <si>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</si>
  <si>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</si>
  <si>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</si>
  <si>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</si>
  <si>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</si>
  <si>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</si>
  <si>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</si>
  <si>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</si>
  <si>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</si>
  <si>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</si>
  <si>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</si>
  <si>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</si>
  <si>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</si>
  <si>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</si>
  <si>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</si>
  <si>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</si>
  <si>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</si>
  <si>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</si>
  <si>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</si>
  <si>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</si>
  <si>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</si>
  <si>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</si>
  <si>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</si>
  <si>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</si>
  <si>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</si>
  <si>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</si>
  <si>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</si>
  <si>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</si>
  <si>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</si>
  <si>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</si>
  <si>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</si>
  <si>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</si>
  <si>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</si>
  <si>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</si>
  <si>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</si>
  <si>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</si>
  <si>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</si>
  <si>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</si>
  <si>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</si>
  <si>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</si>
  <si>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</si>
  <si>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</si>
  <si>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</si>
  <si>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</si>
  <si>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</si>
  <si>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</si>
  <si>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</si>
  <si>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</si>
  <si>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</si>
  <si>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</si>
  <si>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</si>
  <si>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</si>
  <si>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</si>
  <si>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</si>
  <si>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</si>
  <si>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</si>
  <si>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</si>
  <si>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</si>
  <si>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</si>
  <si>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</si>
  <si>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</si>
  <si>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</si>
  <si>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</si>
  <si>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</si>
  <si>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</si>
  <si>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</si>
  <si>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</si>
  <si>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</si>
  <si>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</si>
  <si>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</si>
  <si>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</si>
  <si>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</si>
  <si>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</si>
  <si>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</si>
  <si>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</si>
  <si>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</si>
  <si>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</si>
  <si>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</si>
  <si>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</si>
  <si>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</si>
  <si>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</si>
  <si>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</si>
  <si>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</si>
  <si>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</si>
  <si>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</si>
  <si>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</si>
  <si>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</si>
  <si>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</si>
  <si>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</si>
  <si>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</si>
  <si>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</si>
  <si>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</si>
  <si>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</si>
  <si>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</si>
  <si>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</si>
  <si>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</si>
  <si>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</si>
  <si>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</si>
  <si>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</si>
  <si>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</si>
  <si>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</si>
  <si>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</si>
  <si>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</si>
  <si>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</si>
  <si>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</si>
  <si>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</si>
  <si>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</si>
  <si>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</si>
  <si>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</si>
  <si>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</si>
  <si>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</si>
  <si>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</si>
  <si>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</si>
  <si>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</si>
  <si>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</si>
  <si>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</si>
  <si>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</si>
  <si>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</si>
  <si>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</si>
  <si>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</si>
  <si>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</si>
  <si>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</si>
  <si>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</si>
  <si>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</si>
  <si>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</si>
  <si>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</si>
  <si>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</si>
  <si>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</si>
  <si>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</si>
  <si>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</si>
  <si>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</si>
  <si>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</si>
  <si>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</si>
  <si>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</si>
  <si>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</si>
  <si>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</si>
  <si>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</si>
  <si>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</si>
  <si>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</si>
  <si>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</si>
  <si>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</si>
  <si>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</si>
  <si>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</si>
  <si>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</si>
  <si>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</si>
  <si>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</si>
  <si>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</si>
  <si>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</si>
  <si>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</si>
  <si>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</si>
  <si>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</si>
  <si>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</si>
  <si>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</si>
  <si>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</si>
  <si>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</si>
  <si>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</si>
  <si>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</si>
  <si>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</si>
  <si>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</si>
  <si>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</si>
  <si>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</si>
  <si>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</si>
  <si>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</si>
  <si>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</si>
  <si>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</si>
  <si>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</si>
  <si>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</si>
  <si>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</si>
  <si>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</si>
  <si>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</si>
  <si>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</si>
  <si>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</si>
  <si>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</si>
  <si>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</si>
  <si>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</si>
  <si>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</si>
  <si>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</si>
  <si>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</si>
  <si>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</si>
  <si>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</si>
  <si>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</si>
  <si>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</si>
  <si>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</si>
  <si>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</si>
  <si>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</si>
  <si>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</si>
  <si>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</si>
  <si>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</si>
  <si>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</si>
  <si>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</si>
  <si>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</si>
  <si>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</si>
  <si>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</si>
  <si>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</si>
  <si>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</si>
  <si>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</si>
  <si>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</si>
  <si>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</si>
  <si>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</si>
  <si>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</si>
  <si>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</si>
  <si>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</si>
  <si>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</si>
  <si>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</si>
  <si>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</si>
  <si>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</si>
  <si>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</si>
  <si>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</si>
  <si>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</si>
  <si>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</si>
  <si>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</si>
  <si>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</si>
  <si>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</si>
  <si>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</si>
  <si>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</si>
  <si>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</si>
  <si>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</si>
  <si>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</si>
  <si>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</si>
  <si>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</si>
  <si>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</si>
  <si>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</si>
  <si>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</si>
  <si>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</si>
  <si>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</si>
  <si>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</si>
  <si>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</si>
  <si>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</si>
  <si>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</si>
  <si>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</si>
  <si>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</si>
  <si>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</si>
  <si>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</si>
  <si>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</si>
  <si>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</si>
  <si>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</si>
  <si>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</si>
  <si>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</si>
  <si>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</si>
  <si>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</si>
  <si>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</si>
  <si>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</si>
  <si>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</si>
  <si>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</si>
  <si>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</si>
  <si>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</si>
  <si>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</si>
  <si>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</si>
  <si>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Compressed Air Controls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</si>
</sst>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43599.32253125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61177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43599.32253125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Compressed Air Controls</v>
      </c>
      <c r="J2" t="s">
        <v>55</v>
      </c>
    </row>
    <row r="3" ht="12.75">
      <c r="J3" s="35">
        <f>+Title_RESULTS!I4</f>
        <v>43599.32253125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61177</v>
      </c>
      <c r="H5" t="s">
        <v>59</v>
      </c>
    </row>
    <row r="6" spans="3:7" ht="12.75">
      <c r="C6" t="s">
        <v>61</v>
      </c>
      <c r="G6" s="36">
        <f>+'Value of Defferal'!E3</f>
        <v>37480.0414582744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8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3703.8640342255353</v>
      </c>
      <c r="D19" s="5">
        <f>IF((Title_RESULTS!$H$8-Title_RESULTS!$H$7)&lt;=('Sheet3(F_21)'!A19-Title_RESULTS!$H$7),((Title_RESULTS!$C$8*Partcipation!$C$26*8760*Title_RESULTS!$H$21/100000)),0)</f>
        <v>48767.661876577855</v>
      </c>
      <c r="E19" s="5">
        <f>IF($G19=0,0,((Title_RESULTS!$H$14*((1+Title_RESULTS!$H$15/100)^($A19-Title_RESULTS!$H$7))*'EUE_Line Losses'!$B$25*Partcipation!$C$26))/1000)</f>
        <v>384.2006318994048</v>
      </c>
      <c r="F19" s="5">
        <f>IF($G19=0,0,(Title_RESULTS!$H$19/100*((1+Title_RESULTS!$H$20/100)^($A19-Title_RESULTS!$H$7))*$D19*1000)/1000)</f>
        <v>109.96414425270113</v>
      </c>
      <c r="G19" s="5">
        <f>(+Title_RESULTS!$H$22/100*((1+Title_RESULTS!$H$23/100)^(+'Sheet4(F_22)'!A19-Title_RESULTS!$H$7)))*'Sheet3(F_21)'!D19</f>
        <v>2089.3475550426692</v>
      </c>
      <c r="H19" s="5">
        <f>IF($G19=0,0,(($D19))*(Partcipation!$G19/100))</f>
        <v>1547.216289804975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4740.160075615335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3792.7567710469484</v>
      </c>
      <c r="D20" s="5">
        <f>IF((Title_RESULTS!$H$8-Title_RESULTS!$H$7)&lt;=('Sheet3(F_21)'!A20-Title_RESULTS!$H$7),((Title_RESULTS!$C$8*Partcipation!$C$26*8760*Title_RESULTS!$H$21/100000)),0)</f>
        <v>48767.661876577855</v>
      </c>
      <c r="E20" s="5">
        <f>IF($G20=0,0,((Title_RESULTS!$H$14*((1+Title_RESULTS!$H$15/100)^($A20-Title_RESULTS!$H$7))*'EUE_Line Losses'!$B$25*Partcipation!$C$26))/1000)</f>
        <v>393.4214470649904</v>
      </c>
      <c r="F20" s="5">
        <f>IF($G20=0,0,(Title_RESULTS!$H$19/100*((1+Title_RESULTS!$H$20/100)^($A20-Title_RESULTS!$H$7))*$D20*1000)/1000)</f>
        <v>112.60328371476595</v>
      </c>
      <c r="G20" s="5">
        <f>(+Title_RESULTS!$H$22/100*((1+Title_RESULTS!$H$23/100)^(+'Sheet4(F_22)'!A20-Title_RESULTS!$H$7)))*'Sheet3(F_21)'!D20</f>
        <v>2184.2039340416063</v>
      </c>
      <c r="H20" s="5">
        <f>IF($G20=0,0,(($D20))*(Partcipation!$G20/100))</f>
        <v>1616.4300864181812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4866.55534945013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3883.782933552075</v>
      </c>
      <c r="D21" s="5">
        <f>IF((Title_RESULTS!$H$8-Title_RESULTS!$H$7)&lt;=('Sheet3(F_21)'!A21-Title_RESULTS!$H$7),((Title_RESULTS!$C$8*Partcipation!$C$26*8760*Title_RESULTS!$H$21/100000)),0)</f>
        <v>48767.661876577855</v>
      </c>
      <c r="E21" s="5">
        <f>IF($G21=0,0,((Title_RESULTS!$H$14*((1+Title_RESULTS!$H$15/100)^($A21-Title_RESULTS!$H$7))*'EUE_Line Losses'!$B$25*Partcipation!$C$26))/1000)</f>
        <v>402.8635617945502</v>
      </c>
      <c r="F21" s="5">
        <f>IF($G21=0,0,(Title_RESULTS!$H$19/100*((1+Title_RESULTS!$H$20/100)^($A21-Title_RESULTS!$H$7))*$D21*1000)/1000)</f>
        <v>115.30576252392035</v>
      </c>
      <c r="G21" s="5">
        <f>(+Title_RESULTS!$H$22/100*((1+Title_RESULTS!$H$23/100)^(+'Sheet4(F_22)'!A21-Title_RESULTS!$H$7)))*'Sheet3(F_21)'!D21</f>
        <v>2283.3667926470957</v>
      </c>
      <c r="H21" s="5">
        <f>IF($G21=0,0,(($D21))*(Partcipation!$G21/100))</f>
        <v>1680.4864843406394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5004.832566177002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3976.9937239573246</v>
      </c>
      <c r="D22" s="5">
        <f>IF((Title_RESULTS!$H$8-Title_RESULTS!$H$7)&lt;=('Sheet3(F_21)'!A22-Title_RESULTS!$H$7),((Title_RESULTS!$C$8*Partcipation!$C$26*8760*Title_RESULTS!$H$21/100000)),0)</f>
        <v>48767.661876577855</v>
      </c>
      <c r="E22" s="5">
        <f>IF($G22=0,0,((Title_RESULTS!$H$14*((1+Title_RESULTS!$H$15/100)^($A22-Title_RESULTS!$H$7))*'EUE_Line Losses'!$B$25*Partcipation!$C$26))/1000)</f>
        <v>412.53228727761933</v>
      </c>
      <c r="F22" s="5">
        <f>IF($G22=0,0,(Title_RESULTS!$H$19/100*((1+Title_RESULTS!$H$20/100)^($A22-Title_RESULTS!$H$7))*$D22*1000)/1000)</f>
        <v>118.07310082449442</v>
      </c>
      <c r="G22" s="5">
        <f>(+Title_RESULTS!$H$22/100*((1+Title_RESULTS!$H$23/100)^(+'Sheet4(F_22)'!A22-Title_RESULTS!$H$7)))*'Sheet3(F_21)'!D22</f>
        <v>2387.031645033274</v>
      </c>
      <c r="H22" s="5">
        <f>IF($G22=0,0,(($D22))*(Partcipation!$G22/100))</f>
        <v>1734.9348470961854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5159.695909996528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4072.441573332301</v>
      </c>
      <c r="D23" s="5">
        <f>IF((Title_RESULTS!$H$8-Title_RESULTS!$H$7)&lt;=('Sheet3(F_21)'!A23-Title_RESULTS!$H$7),((Title_RESULTS!$C$8*Partcipation!$C$26*8760*Title_RESULTS!$H$21/100000)),0)</f>
        <v>48767.661876577855</v>
      </c>
      <c r="E23" s="5">
        <f>IF($G23=0,0,((Title_RESULTS!$H$14*((1+Title_RESULTS!$H$15/100)^($A23-Title_RESULTS!$H$7))*'EUE_Line Losses'!$B$25*Partcipation!$C$26))/1000)</f>
        <v>422.4330621722823</v>
      </c>
      <c r="F23" s="5">
        <f>IF($G23=0,0,(Title_RESULTS!$H$19/100*((1+Title_RESULTS!$H$20/100)^($A23-Title_RESULTS!$H$7))*$D23*1000)/1000)</f>
        <v>120.9068552442823</v>
      </c>
      <c r="G23" s="5">
        <f>(+Title_RESULTS!$H$22/100*((1+Title_RESULTS!$H$23/100)^(+'Sheet4(F_22)'!A23-Title_RESULTS!$H$7)))*'Sheet3(F_21)'!D23</f>
        <v>2495.402881717785</v>
      </c>
      <c r="H23" s="5">
        <f>IF($G23=0,0,(($D23))*(Partcipation!$G23/100))</f>
        <v>1812.5899564242268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5298.594416042424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4170.180171092276</v>
      </c>
      <c r="D24" s="5">
        <f>IF((Title_RESULTS!$H$8-Title_RESULTS!$H$7)&lt;=('Sheet3(F_21)'!A24-Title_RESULTS!$H$7),((Title_RESULTS!$C$8*Partcipation!$C$26*8760*Title_RESULTS!$H$21/100000)),0)</f>
        <v>48767.661876577855</v>
      </c>
      <c r="E24" s="5">
        <f>IF($G24=0,0,((Title_RESULTS!$H$14*((1+Title_RESULTS!$H$15/100)^($A24-Title_RESULTS!$H$7))*'EUE_Line Losses'!$B$25*Partcipation!$C$26))/1000)</f>
        <v>432.571455664417</v>
      </c>
      <c r="F24" s="5">
        <f>IF($G24=0,0,(Title_RESULTS!$H$19/100*((1+Title_RESULTS!$H$20/100)^($A24-Title_RESULTS!$H$7))*$D24*1000)/1000)</f>
        <v>123.80861977014506</v>
      </c>
      <c r="G24" s="5">
        <f>(+Title_RESULTS!$H$22/100*((1+Title_RESULTS!$H$23/100)^(+'Sheet4(F_22)'!A24-Title_RESULTS!$H$7)))*'Sheet3(F_21)'!D24</f>
        <v>2608.6941725477727</v>
      </c>
      <c r="H24" s="5">
        <f>IF($G24=0,0,(($D24))*(Partcipation!$G24/100))</f>
        <v>1950.826023952873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5384.4283951217385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4270.26449519849</v>
      </c>
      <c r="D25" s="5">
        <f>IF((Title_RESULTS!$H$8-Title_RESULTS!$H$7)&lt;=('Sheet3(F_21)'!A25-Title_RESULTS!$H$7),((Title_RESULTS!$C$8*Partcipation!$C$26*8760*Title_RESULTS!$H$21/100000)),0)</f>
        <v>48767.661876577855</v>
      </c>
      <c r="E25" s="5">
        <f>IF($G25=0,0,((Title_RESULTS!$H$14*((1+Title_RESULTS!$H$15/100)^($A25-Title_RESULTS!$H$7))*'EUE_Line Losses'!$B$25*Partcipation!$C$26))/1000)</f>
        <v>442.9531706003631</v>
      </c>
      <c r="F25" s="5">
        <f>IF($G25=0,0,(Title_RESULTS!$H$19/100*((1+Title_RESULTS!$H$20/100)^($A25-Title_RESULTS!$H$7))*$D25*1000)/1000)</f>
        <v>126.78002664462852</v>
      </c>
      <c r="G25" s="5">
        <f>(+Title_RESULTS!$H$22/100*((1+Title_RESULTS!$H$23/100)^(+'Sheet4(F_22)'!A25-Title_RESULTS!$H$7)))*'Sheet3(F_21)'!D25</f>
        <v>2727.128887981442</v>
      </c>
      <c r="H25" s="5">
        <f>IF($G25=0,0,(($D25))*(Partcipation!$G25/100))</f>
        <v>2036.4392989724624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5530.687281452461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4372.750843083254</v>
      </c>
      <c r="D26" s="5">
        <f>IF((Title_RESULTS!$H$8-Title_RESULTS!$H$7)&lt;=('Sheet3(F_21)'!A26-Title_RESULTS!$H$7),((Title_RESULTS!$C$8*Partcipation!$C$26*8760*Title_RESULTS!$H$21/100000)),0)</f>
        <v>48767.661876577855</v>
      </c>
      <c r="E26" s="5">
        <f>IF($G26=0,0,((Title_RESULTS!$H$14*((1+Title_RESULTS!$H$15/100)^($A26-Title_RESULTS!$H$7))*'EUE_Line Losses'!$B$25*Partcipation!$C$26))/1000)</f>
        <v>453.58404669477176</v>
      </c>
      <c r="F26" s="5">
        <f>IF($G26=0,0,(Title_RESULTS!$H$19/100*((1+Title_RESULTS!$H$20/100)^($A26-Title_RESULTS!$H$7))*$D26*1000)/1000)</f>
        <v>129.82274728409962</v>
      </c>
      <c r="G26" s="5">
        <f>(+Title_RESULTS!$H$22/100*((1+Title_RESULTS!$H$23/100)^(+'Sheet4(F_22)'!A26-Title_RESULTS!$H$7)))*'Sheet3(F_21)'!D26</f>
        <v>2850.9405394958</v>
      </c>
      <c r="H26" s="5">
        <f>IF($G26=0,0,(($D26))*(Partcipation!$G26/100))</f>
        <v>2187.8544801483317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5619.243696409594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4477.696863317253</v>
      </c>
      <c r="D27" s="5">
        <f>IF((Title_RESULTS!$H$8-Title_RESULTS!$H$7)&lt;=('Sheet3(F_21)'!A27-Title_RESULTS!$H$7),((Title_RESULTS!$C$8*Partcipation!$C$26*8760*Title_RESULTS!$H$21/100000)),0)</f>
        <v>48767.661876577855</v>
      </c>
      <c r="E27" s="5">
        <f>IF($G27=0,0,((Title_RESULTS!$H$14*((1+Title_RESULTS!$H$15/100)^($A27-Title_RESULTS!$H$7))*'EUE_Line Losses'!$B$25*Partcipation!$C$26))/1000)</f>
        <v>464.47006381544634</v>
      </c>
      <c r="F27" s="5">
        <f>IF($G27=0,0,(Title_RESULTS!$H$19/100*((1+Title_RESULTS!$H$20/100)^($A27-Title_RESULTS!$H$7))*$D27*1000)/1000)</f>
        <v>132.93849321891804</v>
      </c>
      <c r="G27" s="5">
        <f>(+Title_RESULTS!$H$22/100*((1+Title_RESULTS!$H$23/100)^(+'Sheet4(F_22)'!A27-Title_RESULTS!$H$7)))*'Sheet3(F_21)'!D27</f>
        <v>2980.3732399889095</v>
      </c>
      <c r="H27" s="5">
        <f>IF($G27=0,0,(($D27))*(Partcipation!$G27/100))</f>
        <v>2242.2599815224166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5813.21867881811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4585.161588036867</v>
      </c>
      <c r="D28" s="5">
        <f>IF((Title_RESULTS!$H$8-Title_RESULTS!$H$7)&lt;=('Sheet3(F_21)'!A28-Title_RESULTS!$H$7),((Title_RESULTS!$C$8*Partcipation!$C$26*8760*Title_RESULTS!$H$21/100000)),0)</f>
        <v>48767.661876577855</v>
      </c>
      <c r="E28" s="5">
        <f>IF($G28=0,0,((Title_RESULTS!$H$14*((1+Title_RESULTS!$H$15/100)^($A28-Title_RESULTS!$H$7))*'EUE_Line Losses'!$B$25*Partcipation!$C$26))/1000)</f>
        <v>475.61734534701696</v>
      </c>
      <c r="F28" s="5">
        <f>IF($G28=0,0,(Title_RESULTS!$H$19/100*((1+Title_RESULTS!$H$20/100)^($A28-Title_RESULTS!$H$7))*$D28*1000)/1000)</f>
        <v>136.12901705617205</v>
      </c>
      <c r="G28" s="5">
        <f>(+Title_RESULTS!$H$22/100*((1+Title_RESULTS!$H$23/100)^(+'Sheet4(F_22)'!A28-Title_RESULTS!$H$7)))*'Sheet3(F_21)'!D28</f>
        <v>3115.682185084406</v>
      </c>
      <c r="H28" s="5">
        <f>IF($G28=0,0,(($D28))*(Partcipation!$G28/100))</f>
        <v>2376.8178045435034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5935.772330980959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87</v>
      </c>
      <c r="B30" s="9"/>
      <c r="C30" s="9">
        <f aca="true" t="shared" si="1" ref="C30:J30">SUM(C16:C29)</f>
        <v>41305.892996842325</v>
      </c>
      <c r="D30" s="9">
        <f t="shared" si="1"/>
        <v>487676.6187657786</v>
      </c>
      <c r="E30" s="9">
        <f t="shared" si="1"/>
        <v>4284.647072330862</v>
      </c>
      <c r="F30" s="9">
        <f t="shared" si="1"/>
        <v>1226.3320505341273</v>
      </c>
      <c r="G30" s="9">
        <f t="shared" si="1"/>
        <v>25722.17183358076</v>
      </c>
      <c r="H30" s="9">
        <f t="shared" si="1"/>
        <v>19185.855253223795</v>
      </c>
      <c r="I30" s="9">
        <f t="shared" si="1"/>
        <v>0</v>
      </c>
      <c r="J30" s="9">
        <f t="shared" si="1"/>
        <v>53353.18870006428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89</v>
      </c>
      <c r="C32" s="5">
        <f>NPV(Title_RESULTS!$C$37,C17:C29)+'Sheet3(F_21)'!C16</f>
        <v>24875.0495161039</v>
      </c>
      <c r="D32" s="5"/>
      <c r="E32" s="5">
        <f>NPV(Title_RESULTS!$C$37,E17:E29)+'Sheet3(F_21)'!E16</f>
        <v>2580.280932103501</v>
      </c>
      <c r="F32" s="5">
        <f>NPV(Title_RESULTS!$C$37,F17:F29)+'Sheet3(F_21)'!F16</f>
        <v>738.5161841811203</v>
      </c>
      <c r="G32" s="5">
        <f>NPV(Title_RESULTS!$C$37,G17:G29)+'Sheet3(F_21)'!G16</f>
        <v>15310.914770488494</v>
      </c>
      <c r="H32" s="5">
        <f>NPV(Title_RESULTS!$C$37,H17:H29)+'Sheet3(F_21)'!H16</f>
        <v>11392.406418962415</v>
      </c>
      <c r="I32" s="5">
        <f>NPV(Title_RESULTS!$C$37,I17:I29)+'Sheet3(F_21)'!I16</f>
        <v>0</v>
      </c>
      <c r="J32" s="5">
        <f>NPV(Title_RESULTS!$C$37,J17:J29)+'Sheet3(F_21)'!J16</f>
        <v>32112.354983914604</v>
      </c>
    </row>
    <row r="34" ht="12.75">
      <c r="A34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Compressed Air Controls</v>
      </c>
      <c r="F2" t="s">
        <v>55</v>
      </c>
    </row>
    <row r="3" spans="6:7" ht="12.75">
      <c r="F3" s="35">
        <f>+Title_RESULTS!I4</f>
        <v>43599.32253125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72131.8565400844</v>
      </c>
      <c r="C16" s="5">
        <f>$B16*'Sheet2(F_12)'!$E16/100</f>
        <v>2092.3357043092674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2092.3357043092674</v>
      </c>
      <c r="G16" s="5">
        <f>+$F16*'Sheet2(F_12)'!$I16</f>
        <v>2092.3357043092674</v>
      </c>
    </row>
    <row r="17" spans="1:7" ht="12.75">
      <c r="A17">
        <f>+A16+1</f>
        <v>2021</v>
      </c>
      <c r="B17" s="5">
        <f>(+Partcipation!$C16+(Partcipation!$C17-Partcipation!$C16)/2)*Title_RESULTS!$C$10/1000</f>
        <v>216395.56962025317</v>
      </c>
      <c r="C17" s="5">
        <f>$B17*'Sheet2(F_12)'!$E17/100</f>
        <v>6225.950858572723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6225.950858572723</v>
      </c>
      <c r="G17" s="5">
        <f>+$F17*'Sheet2(F_12)'!$I17</f>
        <v>6225.950858572723</v>
      </c>
    </row>
    <row r="18" spans="1:7" ht="12.75">
      <c r="A18">
        <f>+A17+1</f>
        <v>2022</v>
      </c>
      <c r="B18" s="5">
        <f>(+Partcipation!$C17+(Partcipation!$C18-Partcipation!$C17)/2)*Title_RESULTS!$C$10/1000</f>
        <v>360659.282700422</v>
      </c>
      <c r="C18" s="5">
        <f>$B18*'Sheet2(F_12)'!$E18/100</f>
        <v>10709.330006614904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10709.330006614904</v>
      </c>
      <c r="G18" s="5">
        <f>+$F18*'Sheet2(F_12)'!$I18</f>
        <v>10709.330006614904</v>
      </c>
    </row>
    <row r="19" spans="1:7" ht="12.75">
      <c r="A19">
        <f aca="true" t="shared" si="0" ref="A19:A28">+A18+1</f>
        <v>2023</v>
      </c>
      <c r="B19" s="5">
        <f>(+Partcipation!$C18+(Partcipation!$C19-Partcipation!$C18)/2)*Title_RESULTS!$C$10/1000</f>
        <v>432791.13924050634</v>
      </c>
      <c r="C19" s="5">
        <f>$B19*'Sheet2(F_12)'!$E19/100</f>
        <v>13378.400830635997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8">+C19-E19</f>
        <v>13378.400830635997</v>
      </c>
      <c r="G19" s="5">
        <f>+$F19*'Sheet2(F_12)'!$I19</f>
        <v>13378.400830635997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432791.13924050634</v>
      </c>
      <c r="C20" s="5">
        <f>$B20*'Sheet2(F_12)'!$E20/100</f>
        <v>13904.121557079232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13904.121557079232</v>
      </c>
      <c r="G20" s="5">
        <f>+$F20*'Sheet2(F_12)'!$I20</f>
        <v>13904.121557079232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432791.13924050634</v>
      </c>
      <c r="C21" s="5">
        <f>$B21*'Sheet2(F_12)'!$E21/100</f>
        <v>14928.840503198275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14928.840503198275</v>
      </c>
      <c r="G21" s="5">
        <f>+$F21*'Sheet2(F_12)'!$I21</f>
        <v>14928.840503198275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432791.13924050634</v>
      </c>
      <c r="C22" s="5">
        <f>$B22*'Sheet2(F_12)'!$E22/100</f>
        <v>15407.677457709573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15407.677457709573</v>
      </c>
      <c r="G22" s="5">
        <f>+$F22*'Sheet2(F_12)'!$I22</f>
        <v>15407.677457709573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432791.13924050634</v>
      </c>
      <c r="C23" s="5">
        <f>$B23*'Sheet2(F_12)'!$E23/100</f>
        <v>16370.58833713851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16370.58833713851</v>
      </c>
      <c r="G23" s="5">
        <f>+$F23*'Sheet2(F_12)'!$I23</f>
        <v>16370.58833713851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432791.13924050634</v>
      </c>
      <c r="C24" s="5">
        <f>$B24*'Sheet2(F_12)'!$E24/100</f>
        <v>18140.504981247068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18140.504981247068</v>
      </c>
      <c r="G24" s="5">
        <f>+$F24*'Sheet2(F_12)'!$I24</f>
        <v>18140.504981247068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432791.13924050634</v>
      </c>
      <c r="C25" s="5">
        <f>$B25*'Sheet2(F_12)'!$E25/100</f>
        <v>19435.088853245474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19435.088853245474</v>
      </c>
      <c r="G25" s="5">
        <f>+$F25*'Sheet2(F_12)'!$I25</f>
        <v>19435.088853245474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432791.13924050634</v>
      </c>
      <c r="C26" s="5">
        <f>$B26*'Sheet2(F_12)'!$E26/100</f>
        <v>21707.917541134433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21707.917541134433</v>
      </c>
      <c r="G26" s="5">
        <f>+$F26*'Sheet2(F_12)'!$I26</f>
        <v>21707.917541134433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432791.13924050634</v>
      </c>
      <c r="C27" s="5">
        <f>$B27*'Sheet2(F_12)'!$E27/100</f>
        <v>21627.189148266963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21627.189148266963</v>
      </c>
      <c r="G27" s="5">
        <f>+$F27*'Sheet2(F_12)'!$I27</f>
        <v>21627.189148266963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432791.13924050634</v>
      </c>
      <c r="C28" s="5">
        <f>$B28*'Sheet2(F_12)'!$E28/100</f>
        <v>23636.518870135948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23636.518870135948</v>
      </c>
      <c r="G28" s="5">
        <f>+$F28*'Sheet2(F_12)'!$I28</f>
        <v>23636.518870135948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87</v>
      </c>
      <c r="B30" s="5">
        <f aca="true" t="shared" si="2" ref="B30:G30">SUM(B16:B29)</f>
        <v>4977098.101265822</v>
      </c>
      <c r="C30" s="5">
        <f t="shared" si="2"/>
        <v>197564.4646492884</v>
      </c>
      <c r="D30" s="5">
        <f t="shared" si="2"/>
        <v>0</v>
      </c>
      <c r="E30" s="5">
        <f t="shared" si="2"/>
        <v>0</v>
      </c>
      <c r="F30" s="5">
        <f t="shared" si="2"/>
        <v>197564.4646492884</v>
      </c>
      <c r="G30" s="5">
        <f t="shared" si="2"/>
        <v>197564.4646492884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118</v>
      </c>
      <c r="B32" s="5"/>
      <c r="C32" s="5">
        <f>NPV(+Title_RESULTS!$C$37,C17:C29)+C16</f>
        <v>122225.97704356581</v>
      </c>
      <c r="D32" s="5"/>
      <c r="E32" s="5">
        <f>NPV(+Title_RESULTS!$C$37,E17:E29)+E16</f>
        <v>0</v>
      </c>
      <c r="F32" s="5">
        <f>NPV(+Title_RESULTS!$C$37,F17:F29)+F16</f>
        <v>122225.97704356581</v>
      </c>
      <c r="G32" s="5">
        <f>NPV(+Title_RESULTS!$C$37,G17:G29)+G16</f>
        <v>122225.97704356581</v>
      </c>
    </row>
    <row r="33" spans="6:7" ht="12.75">
      <c r="F33" s="9"/>
      <c r="G33" s="9"/>
    </row>
    <row r="34" ht="12.75">
      <c r="A34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Compressed Air Controls</v>
      </c>
      <c r="J2" t="s">
        <v>42</v>
      </c>
    </row>
    <row r="3" spans="9:10" ht="12.75">
      <c r="I3" s="4"/>
      <c r="J3" s="35">
        <f>+Title_RESULTS!I4</f>
        <v>43599.32253125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8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Compressed Air Controls</v>
      </c>
      <c r="H2" t="s">
        <v>108</v>
      </c>
    </row>
    <row r="3" ht="12.75">
      <c r="H3" s="35">
        <f>+Title_RESULTS!I4</f>
        <v>43599.32253125</v>
      </c>
    </row>
    <row r="5" spans="3:6" ht="12.75">
      <c r="C5" t="s">
        <v>60</v>
      </c>
      <c r="F5" s="38">
        <f>+'Value of Defferal'!L4</f>
        <v>2186.3191552</v>
      </c>
    </row>
    <row r="6" spans="3:6" ht="12.75">
      <c r="C6" t="s">
        <v>62</v>
      </c>
      <c r="F6" s="38">
        <f>+'Value of Defferal'!L5</f>
        <v>4661.008588800001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2092.3357043092674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216.0570952222331</v>
      </c>
      <c r="C17" s="5">
        <f>IF(+Title_RESULTS!$H$9&lt;='Sheet4(F_22)'!$A17,(+Title_RESULTS!$H$16*((1+Title_RESULTS!$H$18/100)^('Sheet4(F_22)'!$A17-Title_RESULTS!$H$7))*Title_RESULTS!$C$8*Partcipation!$C$26/1000),0)</f>
        <v>174.15309149642692</v>
      </c>
      <c r="D17" s="5">
        <f>(+B17+C17)*+Partcipation!$H17</f>
        <v>390.21018671866</v>
      </c>
      <c r="E17" s="5">
        <f>VLOOKUP(A17,'Value of Defferal'!$I24:$P$58,'Value of Defferal'!$K$13)</f>
        <v>460.6116056326122</v>
      </c>
      <c r="F17" s="5">
        <f>IF(+'Value of Defferal'!P24=0,0,Title_RESULTS!$H$17*Title_RESULTS!$C$7*Partcipation!$C$26*(1+Title_RESULTS!$H$18/100)^('Sheet4(F_22)'!A17-Title_RESULTS!$H$7))/1000</f>
        <v>641.6879616</v>
      </c>
      <c r="G17" s="5">
        <f>(+E17+F17)*Partcipation!$H17</f>
        <v>1102.2995672326122</v>
      </c>
      <c r="H17" s="5">
        <f>+'Sheet5(p_5)'!$F17*'Sheet2(F_12)'!$I17</f>
        <v>6225.950858572723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221.2424655075667</v>
      </c>
      <c r="C18" s="5">
        <f>IF(+Title_RESULTS!$H$9&lt;='Sheet4(F_22)'!$A18,(+Title_RESULTS!$H$16*((1+Title_RESULTS!$H$18/100)^('Sheet4(F_22)'!$A18-Title_RESULTS!$H$7))*Title_RESULTS!$C$8*Partcipation!$C$26/1000),0)</f>
        <v>178.33276569234116</v>
      </c>
      <c r="D18" s="5">
        <f>(+B18+C18)*+Partcipation!$H18</f>
        <v>399.5752311999079</v>
      </c>
      <c r="E18" s="5">
        <f>VLOOKUP(A18,'Value of Defferal'!$I25:$P$58,'Value of Defferal'!$K$13)</f>
        <v>471.66628416779486</v>
      </c>
      <c r="F18" s="5">
        <f>IF(+'Value of Defferal'!P25=0,0,Title_RESULTS!$H$17*Title_RESULTS!$C$7*Partcipation!$C$26*(1+Title_RESULTS!$H$18/100)^('Sheet4(F_22)'!A18-Title_RESULTS!$H$7))/1000</f>
        <v>657.0884726784</v>
      </c>
      <c r="G18" s="5">
        <f>(+E18+F18)*Partcipation!$H18</f>
        <v>1128.7547568461948</v>
      </c>
      <c r="H18" s="5">
        <f>+'Sheet5(p_5)'!$F18*'Sheet2(F_12)'!$I18</f>
        <v>10709.330006614904</v>
      </c>
      <c r="I18" s="5"/>
      <c r="J18" s="5"/>
    </row>
    <row r="19" spans="1:10" ht="12.75">
      <c r="A19">
        <f aca="true" t="shared" si="0" ref="A19:A28">+A18+1</f>
        <v>2023</v>
      </c>
      <c r="B19" s="5">
        <f>VLOOKUP(A19,'Value of Defferal'!$I26:$P$58,'Value of Defferal'!$K$9)</f>
        <v>226.5522846797483</v>
      </c>
      <c r="C19" s="5">
        <f>IF(+Title_RESULTS!$H$9&lt;='Sheet4(F_22)'!$A19,(+Title_RESULTS!$H$16*((1+Title_RESULTS!$H$18/100)^('Sheet4(F_22)'!$A19-Title_RESULTS!$H$7))*Title_RESULTS!$C$8*Partcipation!$C$26/1000),0)</f>
        <v>182.61275206895735</v>
      </c>
      <c r="D19" s="5">
        <f>(+B19+C19)*+Partcipation!$H19</f>
        <v>409.1650367487057</v>
      </c>
      <c r="E19" s="5">
        <f>VLOOKUP(A19,'Value of Defferal'!$I26:$P$58,'Value of Defferal'!$K$13)</f>
        <v>482.98627498782196</v>
      </c>
      <c r="F19" s="5">
        <f>IF(+'Value of Defferal'!P26=0,0,Title_RESULTS!$H$17*Title_RESULTS!$C$7*Partcipation!$C$26*(1+Title_RESULTS!$H$18/100)^('Sheet4(F_22)'!A19-Title_RESULTS!$H$7))/1000</f>
        <v>672.8585960226817</v>
      </c>
      <c r="G19" s="5">
        <f>(+E19+F19)*Partcipation!$H19</f>
        <v>1155.8448710105035</v>
      </c>
      <c r="H19" s="5">
        <f>+'Sheet5(p_5)'!$F19*'Sheet2(F_12)'!$I19</f>
        <v>13378.400830635997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231.98953951206227</v>
      </c>
      <c r="C20" s="5">
        <f>IF(+Title_RESULTS!$H$9&lt;='Sheet4(F_22)'!$A20,(+Title_RESULTS!$H$16*((1+Title_RESULTS!$H$18/100)^('Sheet4(F_22)'!$A20-Title_RESULTS!$H$7))*Title_RESULTS!$C$8*Partcipation!$C$26/1000),0)</f>
        <v>186.99545811861233</v>
      </c>
      <c r="D20" s="5">
        <f>(+B20+C20)*+Partcipation!$H20</f>
        <v>418.98499763067457</v>
      </c>
      <c r="E20" s="5">
        <f>VLOOKUP(A20,'Value of Defferal'!$I27:$P$58,'Value of Defferal'!$K$13)</f>
        <v>494.5779455875297</v>
      </c>
      <c r="F20" s="5">
        <f>IF(+'Value of Defferal'!P27=0,0,Title_RESULTS!$H$17*Title_RESULTS!$C$7*Partcipation!$C$26*(1+Title_RESULTS!$H$18/100)^('Sheet4(F_22)'!A20-Title_RESULTS!$H$7))/1000</f>
        <v>689.007202327226</v>
      </c>
      <c r="G20" s="5">
        <f>(+E20+F20)*Partcipation!$H20</f>
        <v>1183.5851479147557</v>
      </c>
      <c r="H20" s="5">
        <f>+'Sheet5(p_5)'!$F20*'Sheet2(F_12)'!$I20</f>
        <v>13904.121557079232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237.55728846035174</v>
      </c>
      <c r="C21" s="5">
        <f>IF(+Title_RESULTS!$H$9&lt;='Sheet4(F_22)'!$A21,(+Title_RESULTS!$H$16*((1+Title_RESULTS!$H$18/100)^('Sheet4(F_22)'!$A21-Title_RESULTS!$H$7))*Title_RESULTS!$C$8*Partcipation!$C$26/1000),0)</f>
        <v>191.48334911345907</v>
      </c>
      <c r="D21" s="5">
        <f>(+B21+C21)*+Partcipation!$H21</f>
        <v>429.04063757381084</v>
      </c>
      <c r="E21" s="5">
        <f>VLOOKUP(A21,'Value of Defferal'!$I28:$P$58,'Value of Defferal'!$K$13)</f>
        <v>506.4478162816304</v>
      </c>
      <c r="F21" s="5">
        <f>IF(+'Value of Defferal'!P28=0,0,Title_RESULTS!$H$17*Title_RESULTS!$C$7*Partcipation!$C$26*(1+Title_RESULTS!$H$18/100)^('Sheet4(F_22)'!A21-Title_RESULTS!$H$7))/1000</f>
        <v>705.5433751830795</v>
      </c>
      <c r="G21" s="5">
        <f>(+E21+F21)*Partcipation!$H21</f>
        <v>1211.99119146471</v>
      </c>
      <c r="H21" s="5">
        <f>+'Sheet5(p_5)'!$F21*'Sheet2(F_12)'!$I21</f>
        <v>14928.840503198275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243.2586633834002</v>
      </c>
      <c r="C22" s="5">
        <f>IF(+Title_RESULTS!$H$9&lt;='Sheet4(F_22)'!$A22,(+Title_RESULTS!$H$16*((1+Title_RESULTS!$H$18/100)^('Sheet4(F_22)'!$A22-Title_RESULTS!$H$7))*Title_RESULTS!$C$8*Partcipation!$C$26/1000),0)</f>
        <v>196.078949492182</v>
      </c>
      <c r="D22" s="5">
        <f>(+B22+C22)*+Partcipation!$H22</f>
        <v>439.3376128755822</v>
      </c>
      <c r="E22" s="5">
        <f>VLOOKUP(A22,'Value of Defferal'!$I29:$P$58,'Value of Defferal'!$K$13)</f>
        <v>518.6025638723895</v>
      </c>
      <c r="F22" s="5">
        <f>IF(+'Value of Defferal'!P29=0,0,Title_RESULTS!$H$17*Title_RESULTS!$C$7*Partcipation!$C$26*(1+Title_RESULTS!$H$18/100)^('Sheet4(F_22)'!A22-Title_RESULTS!$H$7))/1000</f>
        <v>722.4764161874732</v>
      </c>
      <c r="G22" s="5">
        <f>(+E22+F22)*Partcipation!$H22</f>
        <v>1241.0789800598627</v>
      </c>
      <c r="H22" s="5">
        <f>+'Sheet5(p_5)'!$F22*'Sheet2(F_12)'!$I22</f>
        <v>15407.677457709573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249.0968713046018</v>
      </c>
      <c r="C23" s="5">
        <f>IF(+Title_RESULTS!$H$9&lt;='Sheet4(F_22)'!$A23,(+Title_RESULTS!$H$16*((1+Title_RESULTS!$H$18/100)^('Sheet4(F_22)'!$A23-Title_RESULTS!$H$7))*Title_RESULTS!$C$8*Partcipation!$C$26/1000),0)</f>
        <v>200.78484427999445</v>
      </c>
      <c r="D23" s="5">
        <f>(+B23+C23)*+Partcipation!$H23</f>
        <v>449.88171558459624</v>
      </c>
      <c r="E23" s="5">
        <f>VLOOKUP(A23,'Value of Defferal'!$I30:$P$58,'Value of Defferal'!$K$13)</f>
        <v>531.0490254053269</v>
      </c>
      <c r="F23" s="5">
        <f>IF(+'Value of Defferal'!P30=0,0,Title_RESULTS!$H$17*Title_RESULTS!$C$7*Partcipation!$C$26*(1+Title_RESULTS!$H$18/100)^('Sheet4(F_22)'!A23-Title_RESULTS!$H$7))/1000</f>
        <v>739.8158501759727</v>
      </c>
      <c r="G23" s="5">
        <f>(+E23+F23)*Partcipation!$H23</f>
        <v>1270.8648755812997</v>
      </c>
      <c r="H23" s="5">
        <f>+'Sheet5(p_5)'!$F23*'Sheet2(F_12)'!$I23</f>
        <v>16370.58833713851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255.07519621591223</v>
      </c>
      <c r="C24" s="5">
        <f>IF(+Title_RESULTS!$H$9&lt;='Sheet4(F_22)'!$A24,(+Title_RESULTS!$H$16*((1+Title_RESULTS!$H$18/100)^('Sheet4(F_22)'!$A24-Title_RESULTS!$H$7))*Title_RESULTS!$C$8*Partcipation!$C$26/1000),0)</f>
        <v>205.60368054271424</v>
      </c>
      <c r="D24" s="5">
        <f>(+B24+C24)*+Partcipation!$H24</f>
        <v>460.6788767586265</v>
      </c>
      <c r="E24" s="5">
        <f>VLOOKUP(A24,'Value of Defferal'!$I31:$P$58,'Value of Defferal'!$K$13)</f>
        <v>543.7942020150547</v>
      </c>
      <c r="F24" s="5">
        <f>IF(+'Value of Defferal'!P31=0,0,Title_RESULTS!$H$17*Title_RESULTS!$C$7*Partcipation!$C$26*(1+Title_RESULTS!$H$18/100)^('Sheet4(F_22)'!A24-Title_RESULTS!$H$7))/1000</f>
        <v>757.571430580196</v>
      </c>
      <c r="G24" s="5">
        <f>(+E24+F24)*Partcipation!$H24</f>
        <v>1301.3656325952506</v>
      </c>
      <c r="H24" s="5">
        <f>+'Sheet5(p_5)'!$F24*'Sheet2(F_12)'!$I24</f>
        <v>18140.504981247068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261.19700092509413</v>
      </c>
      <c r="C25" s="5">
        <f>IF(+Title_RESULTS!$H$9&lt;='Sheet4(F_22)'!$A25,(+Title_RESULTS!$H$16*((1+Title_RESULTS!$H$18/100)^('Sheet4(F_22)'!$A25-Title_RESULTS!$H$7))*Title_RESULTS!$C$8*Partcipation!$C$26/1000),0)</f>
        <v>210.5381688757394</v>
      </c>
      <c r="D25" s="5">
        <f>(+B25+C25)*+Partcipation!$H25</f>
        <v>471.73516980083355</v>
      </c>
      <c r="E25" s="5">
        <f>VLOOKUP(A25,'Value of Defferal'!$I32:$P$58,'Value of Defferal'!$K$13)</f>
        <v>556.8452628634161</v>
      </c>
      <c r="F25" s="5">
        <f>IF(+'Value of Defferal'!P32=0,0,Title_RESULTS!$H$17*Title_RESULTS!$C$7*Partcipation!$C$26*(1+Title_RESULTS!$H$18/100)^('Sheet4(F_22)'!A25-Title_RESULTS!$H$7))/1000</f>
        <v>775.7531449141206</v>
      </c>
      <c r="G25" s="5">
        <f>(+E25+F25)*Partcipation!$H25</f>
        <v>1332.5984077775367</v>
      </c>
      <c r="H25" s="5">
        <f>+'Sheet5(p_5)'!$F25*'Sheet2(F_12)'!$I25</f>
        <v>19435.088853245474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267.46572894729644</v>
      </c>
      <c r="C26" s="5">
        <f>IF(+Title_RESULTS!$H$9&lt;='Sheet4(F_22)'!$A26,(+Title_RESULTS!$H$16*((1+Title_RESULTS!$H$18/100)^('Sheet4(F_22)'!$A26-Title_RESULTS!$H$7))*Title_RESULTS!$C$8*Partcipation!$C$26/1000),0)</f>
        <v>215.59108492875717</v>
      </c>
      <c r="D26" s="5">
        <f>(+B26+C26)*+Partcipation!$H26</f>
        <v>483.05681387605364</v>
      </c>
      <c r="E26" s="5">
        <f>VLOOKUP(A26,'Value of Defferal'!$I33:$P$58,'Value of Defferal'!$K$13)</f>
        <v>570.2095491721382</v>
      </c>
      <c r="F26" s="5">
        <f>IF(+'Value of Defferal'!P33=0,0,Title_RESULTS!$H$17*Title_RESULTS!$C$7*Partcipation!$C$26*(1+Title_RESULTS!$H$18/100)^('Sheet4(F_22)'!A26-Title_RESULTS!$H$7))/1000</f>
        <v>794.3712203920595</v>
      </c>
      <c r="G26" s="5">
        <f>(+E26+F26)*Partcipation!$H26</f>
        <v>1364.5807695641977</v>
      </c>
      <c r="H26" s="5">
        <f>+'Sheet5(p_5)'!$F26*'Sheet2(F_12)'!$I26</f>
        <v>21707.917541134433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273.8849064420316</v>
      </c>
      <c r="C27" s="5">
        <f>IF(+Title_RESULTS!$H$9&lt;='Sheet4(F_22)'!$A27,(+Title_RESULTS!$H$16*((1+Title_RESULTS!$H$18/100)^('Sheet4(F_22)'!$A27-Title_RESULTS!$H$7))*Title_RESULTS!$C$8*Partcipation!$C$26/1000),0)</f>
        <v>220.76527096704734</v>
      </c>
      <c r="D27" s="5">
        <f>(+B27+C27)*+Partcipation!$H27</f>
        <v>494.65017740907894</v>
      </c>
      <c r="E27" s="5">
        <f>VLOOKUP(A27,'Value of Defferal'!$I34:$P$58,'Value of Defferal'!$K$13)</f>
        <v>583.8945783522695</v>
      </c>
      <c r="F27" s="5">
        <f>IF(+'Value of Defferal'!P34=0,0,Title_RESULTS!$H$17*Title_RESULTS!$C$7*Partcipation!$C$26*(1+Title_RESULTS!$H$18/100)^('Sheet4(F_22)'!A27-Title_RESULTS!$H$7))/1000</f>
        <v>813.4361296814691</v>
      </c>
      <c r="G27" s="5">
        <f>(+E27+F27)*Partcipation!$H27</f>
        <v>1397.3307080337386</v>
      </c>
      <c r="H27" s="5">
        <f>+'Sheet5(p_5)'!$F27*'Sheet2(F_12)'!$I27</f>
        <v>21627.189148266963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280.4581441966403</v>
      </c>
      <c r="C28" s="5">
        <f>IF(+Title_RESULTS!$H$9&lt;='Sheet4(F_22)'!$A28,(+Title_RESULTS!$H$16*((1+Title_RESULTS!$H$18/100)^('Sheet4(F_22)'!$A28-Title_RESULTS!$H$7))*Title_RESULTS!$C$8*Partcipation!$C$26/1000),0)</f>
        <v>226.06363747025645</v>
      </c>
      <c r="D28" s="5">
        <f>(+B28+C28)*+Partcipation!$H28</f>
        <v>506.5217816668968</v>
      </c>
      <c r="E28" s="5">
        <f>VLOOKUP(A28,'Value of Defferal'!$I35:$P$58,'Value of Defferal'!$K$13)</f>
        <v>597.9080482327239</v>
      </c>
      <c r="F28" s="5">
        <f>IF(+'Value of Defferal'!P35=0,0,Title_RESULTS!$H$17*Title_RESULTS!$C$7*Partcipation!$C$26*(1+Title_RESULTS!$H$18/100)^('Sheet4(F_22)'!A28-Title_RESULTS!$H$7))/1000</f>
        <v>832.9585967938242</v>
      </c>
      <c r="G28" s="5">
        <f>(+E28+F28)*Partcipation!$H28</f>
        <v>1430.8666450265482</v>
      </c>
      <c r="H28" s="5">
        <f>+'Sheet5(p_5)'!$F28*'Sheet2(F_12)'!$I28</f>
        <v>23636.518870135948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88</v>
      </c>
      <c r="B30" s="5">
        <f aca="true" t="shared" si="1" ref="B30:H30">SUM(B16:B29)</f>
        <v>2963.835184796939</v>
      </c>
      <c r="C30" s="5">
        <f t="shared" si="1"/>
        <v>2389.003053046488</v>
      </c>
      <c r="D30" s="5">
        <f t="shared" si="1"/>
        <v>5352.838237843427</v>
      </c>
      <c r="E30" s="5">
        <f t="shared" si="1"/>
        <v>6318.593156570708</v>
      </c>
      <c r="F30" s="5">
        <f t="shared" si="1"/>
        <v>8802.568396536502</v>
      </c>
      <c r="G30" s="5">
        <f t="shared" si="1"/>
        <v>15121.161553107211</v>
      </c>
      <c r="H30" s="5">
        <f t="shared" si="1"/>
        <v>197564.4646492884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90</v>
      </c>
      <c r="B32" s="5">
        <f>NPV(Title_RESULTS!$C$37,'Sheet4(F_22)'!B17:B29)+'Sheet4(F_22)'!B16</f>
        <v>1916.2437088680215</v>
      </c>
      <c r="C32" s="5">
        <f>NPV(Title_RESULTS!$C$37,'Sheet4(F_22)'!C17:C29)+'Sheet4(F_22)'!C16</f>
        <v>1544.5906352516954</v>
      </c>
      <c r="D32" s="5">
        <f>NPV(Title_RESULTS!$C$37,'Sheet4(F_22)'!D17:D29)+'Sheet4(F_22)'!D16</f>
        <v>3460.8343441197167</v>
      </c>
      <c r="E32" s="5">
        <f>NPV(Title_RESULTS!$C$37,'Sheet4(F_22)'!E17:E29)+'Sheet4(F_22)'!E16</f>
        <v>4085.2353893641716</v>
      </c>
      <c r="F32" s="5">
        <f>NPV(Title_RESULTS!$C$37,'Sheet4(F_22)'!F17:F29)+'Sheet4(F_22)'!F16</f>
        <v>5691.229525267684</v>
      </c>
      <c r="G32" s="5">
        <f>NPV(Title_RESULTS!$C$37,'Sheet4(F_22)'!G17:G29)+'Sheet4(F_22)'!G16</f>
        <v>9776.464914631855</v>
      </c>
      <c r="H32" s="5">
        <f>NPV(Title_RESULTS!$C$37,'Sheet4(F_22)'!H17:H29)+'Sheet4(F_22)'!H16</f>
        <v>122225.97704356581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ht="12.75">
      <c r="A34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Compressed Air Controls</v>
      </c>
      <c r="P2" t="s">
        <v>121</v>
      </c>
    </row>
    <row r="3" ht="12.75">
      <c r="P3" s="35">
        <f>+Title_RESULTS!I4</f>
        <v>43599.32253125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10388.69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10388.69</v>
      </c>
      <c r="H16" s="5">
        <f>IF(Partcipation!$B17&lt;Partcipation!$B16,0,IF(Partcipation!$B16=0,0,(Partcipation!$B16-Partcipation!$B15)*(+Title_RESULTS!$C$29*(1+Title_RESULTS!$C$30/100)^(+'Sheet8(F_24)'!$A16-Title_RESULTS!$H$7))/1000))</f>
        <v>27987.8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27987.8</v>
      </c>
      <c r="K16" s="5">
        <f>(+Partcipation!$B15+(Partcipation!$B16-Partcipation!$B15)/2)*(+Title_RESULTS!$C$14)/1000</f>
        <v>68381</v>
      </c>
      <c r="L16" s="5">
        <f>($K16)*Partcipation!$E73*Title_RESULTS!$C$12/100</f>
        <v>1664.8124020452926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2555.0389800000003</v>
      </c>
      <c r="N16" s="5">
        <f>'Sheet2(F_12)'!$I16*('Sheet6(p_6)'!$L16+'Sheet6(p_6)'!$M16)</f>
        <v>4219.851382045293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10388.69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10388.69</v>
      </c>
      <c r="H17" s="5">
        <f>IF(Partcipation!$B18&lt;Partcipation!$B17,0,IF(Partcipation!$B17=0,0,(Partcipation!$B17-Partcipation!$B16)*(+Title_RESULTS!$C$29*(1+Title_RESULTS!$C$30/100)^(+'Sheet8(F_24)'!$A17-Title_RESULTS!$H$7))/1000))</f>
        <v>28631.519399999997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28631.519399999997</v>
      </c>
      <c r="K17" s="5">
        <f>(+Partcipation!$B16+(Partcipation!$B17-Partcipation!$B16)/2)*(+Title_RESULTS!$C$14)/1000</f>
        <v>205143</v>
      </c>
      <c r="L17" s="5">
        <f>($K17)*Partcipation!$E74*Title_RESULTS!$C$12/100</f>
        <v>5232.139872394632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7741.768109400001</v>
      </c>
      <c r="N17" s="5">
        <f>'Sheet2(F_12)'!$I17*('Sheet6(p_6)'!$L17+'Sheet6(p_6)'!$M17)</f>
        <v>12973.907981794633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10388.69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10388.69</v>
      </c>
      <c r="H18" s="5">
        <f>IF(Partcipation!$B19&lt;Partcipation!$B18,0,IF(Partcipation!$B18=0,0,(Partcipation!$B18-Partcipation!$B17)*(+Title_RESULTS!$C$29*(1+Title_RESULTS!$C$30/100)^(+'Sheet8(F_24)'!$A18-Title_RESULTS!$H$7))/1000))</f>
        <v>29290.044346199993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29290.044346199993</v>
      </c>
      <c r="K18" s="5">
        <f>(+Partcipation!$B17+(Partcipation!$B18-Partcipation!$B17)/2)*(+Title_RESULTS!$C$14)/1000</f>
        <v>341905</v>
      </c>
      <c r="L18" s="5">
        <f>($K18)*Partcipation!$E75*Title_RESULTS!$C$12/100</f>
        <v>9041.446291803464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13031.976317490002</v>
      </c>
      <c r="N18" s="5">
        <f>'Sheet2(F_12)'!$I18*('Sheet6(p_6)'!$L18+'Sheet6(p_6)'!$M18)</f>
        <v>22073.422609293466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8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8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8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8">SUM(H19:I19)</f>
        <v>0</v>
      </c>
      <c r="K19" s="5">
        <f>(+Partcipation!$B18+(Partcipation!$B19-Partcipation!$B18)/2)*(+Title_RESULTS!$C$14)/1000</f>
        <v>410286</v>
      </c>
      <c r="L19" s="5">
        <f>($K19)*Partcipation!$E76*Title_RESULTS!$C$12/100</f>
        <v>10760.796052976413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15794.75529679788</v>
      </c>
      <c r="N19" s="5">
        <f>'Sheet2(F_12)'!$I19*('Sheet6(p_6)'!$L19+'Sheet6(p_6)'!$M19)</f>
        <v>26555.551349774294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410286</v>
      </c>
      <c r="L20" s="5">
        <f>($K20)*Partcipation!$E77*Title_RESULTS!$C$12/100</f>
        <v>11371.145537835822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15952.702849765861</v>
      </c>
      <c r="N20" s="5">
        <f>'Sheet2(F_12)'!$I20*('Sheet6(p_6)'!$L20+'Sheet6(p_6)'!$M20)</f>
        <v>27323.848387601683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410286</v>
      </c>
      <c r="L21" s="5">
        <f>($K21)*Partcipation!$E78*Title_RESULTS!$C$12/100</f>
        <v>12023.834246941246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16112.229878263517</v>
      </c>
      <c r="N21" s="5">
        <f>'Sheet2(F_12)'!$I21*('Sheet6(p_6)'!$L21+'Sheet6(p_6)'!$M21)</f>
        <v>28136.064125204764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410286</v>
      </c>
      <c r="L22" s="5">
        <f>($K22)*Partcipation!$E79*Title_RESULTS!$C$12/100</f>
        <v>12567.481890090807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16273.352177046156</v>
      </c>
      <c r="N22" s="5">
        <f>'Sheet2(F_12)'!$I22*('Sheet6(p_6)'!$L22+'Sheet6(p_6)'!$M22)</f>
        <v>28840.834067136962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410286</v>
      </c>
      <c r="L23" s="5">
        <f>($K23)*Partcipation!$E80*Title_RESULTS!$C$12/100</f>
        <v>13307.467388177307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16436.085698816612</v>
      </c>
      <c r="N23" s="5">
        <f>'Sheet2(F_12)'!$I23*('Sheet6(p_6)'!$L23+'Sheet6(p_6)'!$M23)</f>
        <v>29743.553086993918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410286</v>
      </c>
      <c r="L24" s="5">
        <f>($K24)*Partcipation!$E81*Title_RESULTS!$C$12/100</f>
        <v>14567.619495523393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16600.446555804785</v>
      </c>
      <c r="N24" s="5">
        <f>'Sheet2(F_12)'!$I24*('Sheet6(p_6)'!$L24+'Sheet6(p_6)'!$M24)</f>
        <v>31168.066051328176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410286</v>
      </c>
      <c r="L25" s="5">
        <f>($K25)*Partcipation!$E82*Title_RESULTS!$C$12/100</f>
        <v>15309.806906363612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16766.45102136283</v>
      </c>
      <c r="N25" s="5">
        <f>'Sheet2(F_12)'!$I25*('Sheet6(p_6)'!$L25+'Sheet6(p_6)'!$M25)</f>
        <v>32076.257927726445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410286</v>
      </c>
      <c r="L26" s="5">
        <f>($K26)*Partcipation!$E83*Title_RESULTS!$C$12/100</f>
        <v>16680.830538787784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16934.115531576463</v>
      </c>
      <c r="N26" s="5">
        <f>'Sheet2(F_12)'!$I26*('Sheet6(p_6)'!$L26+'Sheet6(p_6)'!$M26)</f>
        <v>33614.94607036425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410286</v>
      </c>
      <c r="L27" s="5">
        <f>($K27)*Partcipation!$E84*Title_RESULTS!$C$12/100</f>
        <v>17255.853498597568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17103.45668689222</v>
      </c>
      <c r="N27" s="5">
        <f>'Sheet2(F_12)'!$I27*('Sheet6(p_6)'!$L27+'Sheet6(p_6)'!$M27)</f>
        <v>34359.31018548978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410286</v>
      </c>
      <c r="L28" s="5">
        <f>($K28)*Partcipation!$E85*Title_RESULTS!$C$12/100</f>
        <v>18487.07672714181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17274.491253761145</v>
      </c>
      <c r="N28" s="5">
        <f>'Sheet2(F_12)'!$I28*('Sheet6(p_6)'!$L28+'Sheet6(p_6)'!$M28)</f>
        <v>35761.56798090295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87</v>
      </c>
      <c r="B30" s="5">
        <f aca="true" t="shared" si="4" ref="B30:R30">SUM(B16:B29)</f>
        <v>384.072</v>
      </c>
      <c r="C30" s="5">
        <f t="shared" si="4"/>
        <v>0</v>
      </c>
      <c r="D30" s="5">
        <f t="shared" si="4"/>
        <v>384.072</v>
      </c>
      <c r="E30" s="5">
        <f t="shared" si="4"/>
        <v>31166.07</v>
      </c>
      <c r="F30" s="5">
        <f t="shared" si="4"/>
        <v>0</v>
      </c>
      <c r="G30" s="5">
        <f t="shared" si="4"/>
        <v>31166.07</v>
      </c>
      <c r="H30" s="5">
        <f t="shared" si="4"/>
        <v>85909.36374619999</v>
      </c>
      <c r="I30" s="5">
        <f t="shared" si="4"/>
        <v>0</v>
      </c>
      <c r="J30" s="5">
        <f t="shared" si="4"/>
        <v>85909.36374619999</v>
      </c>
      <c r="K30" s="5">
        <f t="shared" si="4"/>
        <v>4718289</v>
      </c>
      <c r="L30" s="5">
        <f t="shared" si="4"/>
        <v>158270.31084867913</v>
      </c>
      <c r="M30" s="5">
        <f t="shared" si="4"/>
        <v>188576.87035697745</v>
      </c>
      <c r="N30" s="5">
        <f t="shared" si="4"/>
        <v>346847.18120565667</v>
      </c>
      <c r="O30" s="5">
        <f t="shared" si="4"/>
        <v>0</v>
      </c>
      <c r="P30" s="5">
        <f t="shared" si="4"/>
        <v>0</v>
      </c>
      <c r="Q30" s="5">
        <f t="shared" si="4"/>
        <v>0</v>
      </c>
      <c r="R30" s="5">
        <f t="shared" si="4"/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89</v>
      </c>
      <c r="B32" s="5">
        <f>NPV(Title_RESULTS!$C$37,'Sheet6(p_6)'!B17:B29)+'Sheet6(p_6)'!B16</f>
        <v>358.8491576370552</v>
      </c>
      <c r="C32" s="5">
        <f>NPV(Title_RESULTS!$C$37,'Sheet6(p_6)'!C17:C29)+'Sheet6(p_6)'!C16</f>
        <v>0</v>
      </c>
      <c r="D32" s="5">
        <f>NPV(Title_RESULTS!$C$37,'Sheet6(p_6)'!D17:D29)+'Sheet6(p_6)'!D16</f>
        <v>358.8491576370552</v>
      </c>
      <c r="E32" s="5">
        <f>NPV(Title_RESULTS!$C$37,'Sheet6(p_6)'!E17:E29)+'Sheet6(p_6)'!E16</f>
        <v>29150.823349585262</v>
      </c>
      <c r="F32" s="5">
        <f>NPV(Title_RESULTS!$C$37,'Sheet6(p_6)'!F17:F29)+'Sheet6(p_6)'!F16</f>
        <v>0</v>
      </c>
      <c r="G32" s="5">
        <f>NPV(Title_RESULTS!$C$37,'Sheet6(p_6)'!G17:G29)+'Sheet6(p_6)'!G16</f>
        <v>29150.823349585262</v>
      </c>
      <c r="H32" s="5">
        <f>NPV(Title_RESULTS!$C$37,'Sheet6(p_6)'!H17:H29)+'Sheet6(p_6)'!H16</f>
        <v>80271.08489359754</v>
      </c>
      <c r="I32" s="5">
        <f>NPV(Title_RESULTS!$C$37,'Sheet6(p_6)'!I17:I29)+'Sheet6(p_6)'!I16</f>
        <v>0</v>
      </c>
      <c r="J32" s="5">
        <f>NPV(Title_RESULTS!$C$37,'Sheet6(p_6)'!J17:J29)+'Sheet6(p_6)'!J16</f>
        <v>80271.08489359754</v>
      </c>
      <c r="K32" s="5"/>
      <c r="L32" s="5">
        <f>NPV(Title_RESULTS!$C$37,'Sheet6(p_6)'!L17:L29)+'Sheet6(p_6)'!L16</f>
        <v>98353.79827308425</v>
      </c>
      <c r="M32" s="5">
        <f>NPV(Title_RESULTS!$C$37,'Sheet6(p_6)'!M17:M29)+'Sheet6(p_6)'!M16</f>
        <v>121438.8949783526</v>
      </c>
      <c r="N32" s="5">
        <f>NPV(Title_RESULTS!$C$37,'Sheet6(p_6)'!N17:N29)+'Sheet6(p_6)'!N16</f>
        <v>219792.69325143687</v>
      </c>
      <c r="O32" s="5"/>
      <c r="P32" s="5">
        <f>NPV(Title_RESULTS!$C$37,'Sheet6(p_6)'!P17:P29)+'Sheet6(p_6)'!P16</f>
        <v>0</v>
      </c>
      <c r="Q32" s="5">
        <f>NPV(Title_RESULTS!$C$37,'Sheet6(p_6)'!Q17:Q29)+'Sheet6(p_6)'!Q16</f>
        <v>0</v>
      </c>
      <c r="R32" s="5">
        <f>NPV(Title_RESULTS!$C$37,'Sheet6(p_6)'!R17:R29)+'Sheet6(p_6)'!R16</f>
        <v>0</v>
      </c>
    </row>
    <row r="34" ht="12.75">
      <c r="A34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Compressed Air Controls</v>
      </c>
      <c r="M2" t="s">
        <v>55</v>
      </c>
    </row>
    <row r="3" ht="12.75">
      <c r="M3" s="35">
        <f>+Title_RESULTS!I4</f>
        <v>43599.32253125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27987.8</v>
      </c>
      <c r="E16" s="5">
        <f>IF(A16&gt;=(Title_RESULTS!$H$7+Title_RESULTS!$C$17),0,(+'f-11B'!$N15))</f>
        <v>0</v>
      </c>
      <c r="F16" s="5">
        <f>IF(A16&gt;=(Title_RESULTS!$H$7+Title_RESULTS!$C$17),0,(SUM(B16:E16)))</f>
        <v>28112.8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2092.3357043092674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2092.3357043092674</v>
      </c>
      <c r="L16" s="23">
        <f>IF(A16&gt;=(Title_RESULTS!$H$7+Title_RESULTS!$C$17),0,(+$K16-$F16))</f>
        <v>-26020.464295690734</v>
      </c>
      <c r="M16" s="23">
        <f>IF(A16&gt;=(Title_RESULTS!$H$7+Title_RESULTS!$C$17),0,(+$L16/(1+Title_RESULTS!$C$37)^('Sheet7(F_23)'!$A16-Title_RESULTS!$H$7)))</f>
        <v>-26020.464295690734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28631.519399999997</v>
      </c>
      <c r="E17" s="5">
        <f>IF(A17&gt;=(Title_RESULTS!$H$7+Title_RESULTS!$C$17),0,(+'f-11B'!$N16))</f>
        <v>0</v>
      </c>
      <c r="F17" s="5">
        <f>IF(A17&gt;=(Title_RESULTS!$H$7+Title_RESULTS!$C$17),0,(SUM(B17:E17)))</f>
        <v>28759.519399999997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1492.5097539512722</v>
      </c>
      <c r="I17" s="5">
        <f>IF(A17&gt;=(Title_RESULTS!$H$7+Title_RESULTS!$C$17),0,(+'Sheet4(F_22)'!$H17))</f>
        <v>6225.950858572723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7718.460612523995</v>
      </c>
      <c r="L17" s="23">
        <f>IF(A17&gt;=(Title_RESULTS!$H$7+Title_RESULTS!$C$17),0,(+$K17-$F17))</f>
        <v>-21041.058787476002</v>
      </c>
      <c r="M17" s="23">
        <f>IF(A17&gt;=(Title_RESULTS!$H$7+Title_RESULTS!$C$17),0,(+M16+$L17/(1+Title_RESULTS!$C$37)^('Sheet7(F_23)'!$A17-Title_RESULTS!$H$7)))</f>
        <v>-45670.31374234371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29290.044346199993</v>
      </c>
      <c r="E18" s="5">
        <f>IF(A18&gt;=(Title_RESULTS!$H$7+Title_RESULTS!$C$17),0,(+'f-11B'!$N17))</f>
        <v>0</v>
      </c>
      <c r="F18" s="5">
        <f>IF(A18&gt;=(Title_RESULTS!$H$7+Title_RESULTS!$C$17),0,(SUM(B18:E18)))</f>
        <v>29421.116346199993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1528.3299880461027</v>
      </c>
      <c r="I18" s="5">
        <f>IF(A18&gt;=(Title_RESULTS!$H$7+Title_RESULTS!$C$17),0,(+'Sheet4(F_22)'!$H18))</f>
        <v>10709.330006614904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12237.659994661008</v>
      </c>
      <c r="L18" s="23">
        <f>IF(A18&gt;=(Title_RESULTS!$H$7+Title_RESULTS!$C$17),0,(+$K18-$F18))</f>
        <v>-17183.456351538985</v>
      </c>
      <c r="M18" s="23">
        <f>IF(A18&gt;=(Title_RESULTS!$H$7+Title_RESULTS!$C$17),0,(+M17+$L18/(1+Title_RESULTS!$C$37)^('Sheet7(F_23)'!$A18-Title_RESULTS!$H$7)))</f>
        <v>-60656.59223962156</v>
      </c>
    </row>
    <row r="19" spans="1:13" ht="12.75">
      <c r="A19">
        <f aca="true" t="shared" si="0" ref="A19:A28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4740.160075615335</v>
      </c>
      <c r="H19" s="5">
        <f>IF(A19&gt;=(Title_RESULTS!$H$7+Title_RESULTS!$C$17),0,(+'Sheet4(F_22)'!$D19+'Sheet4(F_22)'!$G19))</f>
        <v>1565.0099077592092</v>
      </c>
      <c r="I19" s="5">
        <f>IF(A19&gt;=(Title_RESULTS!$H$7+Title_RESULTS!$C$17),0,(+'Sheet4(F_22)'!$H19))</f>
        <v>13378.400830635997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19683.57081401054</v>
      </c>
      <c r="L19" s="23">
        <f>IF(A19&gt;=(Title_RESULTS!$H$7+Title_RESULTS!$C$17),0,(+$K19-$F19))</f>
        <v>19683.57081401054</v>
      </c>
      <c r="M19" s="23">
        <f>IF(A19&gt;=(Title_RESULTS!$H$7+Title_RESULTS!$C$17),0,(+M18+$L19/(1+Title_RESULTS!$C$37)^('Sheet7(F_23)'!$A19-Title_RESULTS!$H$7)))</f>
        <v>-44624.920955227106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4866.55534945013</v>
      </c>
      <c r="H20" s="5">
        <f>IF(A20&gt;=(Title_RESULTS!$H$7+Title_RESULTS!$C$17),0,(+'Sheet4(F_22)'!$D20+'Sheet4(F_22)'!$G20))</f>
        <v>1602.5701455454303</v>
      </c>
      <c r="I20" s="5">
        <f>IF(A20&gt;=(Title_RESULTS!$H$7+Title_RESULTS!$C$17),0,(+'Sheet4(F_22)'!$H20))</f>
        <v>13904.121557079232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20373.247052074792</v>
      </c>
      <c r="L20" s="23">
        <f>IF(A20&gt;=(Title_RESULTS!$H$7+Title_RESULTS!$C$17),0,(+$K20-$F20))</f>
        <v>20373.247052074792</v>
      </c>
      <c r="M20" s="23">
        <f>IF(A20&gt;=(Title_RESULTS!$H$7+Title_RESULTS!$C$17),0,(+M19+$L20/(1+Title_RESULTS!$C$37)^('Sheet7(F_23)'!$A20-Title_RESULTS!$H$7)))</f>
        <v>-29128.66427099092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5004.832566177002</v>
      </c>
      <c r="H21" s="5">
        <f>IF(A21&gt;=(Title_RESULTS!$H$7+Title_RESULTS!$C$17),0,(+'Sheet4(F_22)'!$D21+'Sheet4(F_22)'!$G21))</f>
        <v>1641.0318290385208</v>
      </c>
      <c r="I21" s="5">
        <f>IF(A21&gt;=(Title_RESULTS!$H$7+Title_RESULTS!$C$17),0,(+'Sheet4(F_22)'!$H21))</f>
        <v>14928.840503198275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21574.7048984138</v>
      </c>
      <c r="L21" s="23">
        <f>IF(A21&gt;=(Title_RESULTS!$H$7+Title_RESULTS!$C$17),0,(+$K21-$F21))</f>
        <v>21574.7048984138</v>
      </c>
      <c r="M21" s="23">
        <f>IF(A21&gt;=(Title_RESULTS!$H$7+Title_RESULTS!$C$17),0,(+M20+$L21/(1+Title_RESULTS!$C$37)^('Sheet7(F_23)'!$A21-Title_RESULTS!$H$7)))</f>
        <v>-13803.57364186134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5159.695909996528</v>
      </c>
      <c r="H22" s="5">
        <f>IF(A22&gt;=(Title_RESULTS!$H$7+Title_RESULTS!$C$17),0,(+'Sheet4(F_22)'!$D22+'Sheet4(F_22)'!$G22))</f>
        <v>1680.416592935445</v>
      </c>
      <c r="I22" s="5">
        <f>IF(A22&gt;=(Title_RESULTS!$H$7+Title_RESULTS!$C$17),0,(+'Sheet4(F_22)'!$H22))</f>
        <v>15407.677457709573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22247.789960641545</v>
      </c>
      <c r="L22" s="23">
        <f>IF(A22&gt;=(Title_RESULTS!$H$7+Title_RESULTS!$C$17),0,(+$K22-$F22))</f>
        <v>22247.789960641545</v>
      </c>
      <c r="M22" s="23">
        <f>IF(A22&gt;=(Title_RESULTS!$H$7+Title_RESULTS!$C$17),0,(+M21+$L22/(1+Title_RESULTS!$C$37)^('Sheet7(F_23)'!$A22-Title_RESULTS!$H$7)))</f>
        <v>954.7388096577888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5298.594416042424</v>
      </c>
      <c r="H23" s="5">
        <f>IF(A23&gt;=(Title_RESULTS!$H$7+Title_RESULTS!$C$17),0,(+'Sheet4(F_22)'!$D23+'Sheet4(F_22)'!$G23))</f>
        <v>1720.746591165896</v>
      </c>
      <c r="I23" s="5">
        <f>IF(A23&gt;=(Title_RESULTS!$H$7+Title_RESULTS!$C$17),0,(+'Sheet4(F_22)'!$H23))</f>
        <v>16370.58833713851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23389.92934434683</v>
      </c>
      <c r="L23" s="23">
        <f>IF(A23&gt;=(Title_RESULTS!$H$7+Title_RESULTS!$C$17),0,(+$K23-$F23))</f>
        <v>23389.92934434683</v>
      </c>
      <c r="M23" s="23">
        <f>IF(A23&gt;=(Title_RESULTS!$H$7+Title_RESULTS!$C$17),0,(+M22+$L23/(1+Title_RESULTS!$C$37)^('Sheet7(F_23)'!$A23-Title_RESULTS!$H$7)))</f>
        <v>15444.805099345778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5384.4283951217385</v>
      </c>
      <c r="H24" s="5">
        <f>IF(A24&gt;=(Title_RESULTS!$H$7+Title_RESULTS!$C$17),0,(+'Sheet4(F_22)'!$D24+'Sheet4(F_22)'!$G24))</f>
        <v>1762.0445093538772</v>
      </c>
      <c r="I24" s="5">
        <f>IF(A24&gt;=(Title_RESULTS!$H$7+Title_RESULTS!$C$17),0,(+'Sheet4(F_22)'!$H24))</f>
        <v>18140.504981247068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25286.977885722685</v>
      </c>
      <c r="L24" s="23">
        <f>IF(A24&gt;=(Title_RESULTS!$H$7+Title_RESULTS!$C$17),0,(+$K24-$F24))</f>
        <v>25286.977885722685</v>
      </c>
      <c r="M24" s="23">
        <f>IF(A24&gt;=(Title_RESULTS!$H$7+Title_RESULTS!$C$17),0,(+M23+$L24/(1+Title_RESULTS!$C$37)^('Sheet7(F_23)'!$A24-Title_RESULTS!$H$7)))</f>
        <v>30074.323470221385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5530.687281452461</v>
      </c>
      <c r="H25" s="5">
        <f>IF(A25&gt;=(Title_RESULTS!$H$7+Title_RESULTS!$C$17),0,(+'Sheet4(F_22)'!$D25+'Sheet4(F_22)'!$G25))</f>
        <v>1804.3335775783703</v>
      </c>
      <c r="I25" s="5">
        <f>IF(A25&gt;=(Title_RESULTS!$H$7+Title_RESULTS!$C$17),0,(+'Sheet4(F_22)'!$H25))</f>
        <v>19435.088853245474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26770.109712276306</v>
      </c>
      <c r="L25" s="23">
        <f>IF(A25&gt;=(Title_RESULTS!$H$7+Title_RESULTS!$C$17),0,(+$K25-$F25))</f>
        <v>26770.109712276306</v>
      </c>
      <c r="M25" s="23">
        <f>IF(A25&gt;=(Title_RESULTS!$H$7+Title_RESULTS!$C$17),0,(+M24+$L25/(1+Title_RESULTS!$C$37)^('Sheet7(F_23)'!$A25-Title_RESULTS!$H$7)))</f>
        <v>44537.873042627914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5619.243696409594</v>
      </c>
      <c r="H26" s="5">
        <f>IF(A26&gt;=(Title_RESULTS!$H$7+Title_RESULTS!$C$17),0,(+'Sheet4(F_22)'!$D26+'Sheet4(F_22)'!$G26))</f>
        <v>1847.6375834402513</v>
      </c>
      <c r="I26" s="5">
        <f>IF(A26&gt;=(Title_RESULTS!$H$7+Title_RESULTS!$C$17),0,(+'Sheet4(F_22)'!$H26))</f>
        <v>21707.917541134433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29174.79882098428</v>
      </c>
      <c r="L26" s="23">
        <f>IF(A26&gt;=(Title_RESULTS!$H$7+Title_RESULTS!$C$17),0,(+$K26-$F26))</f>
        <v>29174.79882098428</v>
      </c>
      <c r="M26" s="23">
        <f>IF(A26&gt;=(Title_RESULTS!$H$7+Title_RESULTS!$C$17),0,(+M25+$L26/(1+Title_RESULTS!$C$37)^('Sheet7(F_23)'!$A26-Title_RESULTS!$H$7)))</f>
        <v>59258.43009640826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5813.21867881811</v>
      </c>
      <c r="H27" s="5">
        <f>IF(A27&gt;=(Title_RESULTS!$H$7+Title_RESULTS!$C$17),0,(+'Sheet4(F_22)'!$D27+'Sheet4(F_22)'!$G27))</f>
        <v>1891.9808854428175</v>
      </c>
      <c r="I27" s="5">
        <f>IF(A27&gt;=(Title_RESULTS!$H$7+Title_RESULTS!$C$17),0,(+'Sheet4(F_22)'!$H27))</f>
        <v>21627.189148266963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29332.388712527892</v>
      </c>
      <c r="L27" s="23">
        <f>IF(A27&gt;=(Title_RESULTS!$H$7+Title_RESULTS!$C$17),0,(+$K27-$F27))</f>
        <v>29332.388712527892</v>
      </c>
      <c r="M27" s="23">
        <f>IF(A27&gt;=(Title_RESULTS!$H$7+Title_RESULTS!$C$17),0,(+M26+$L27/(1+Title_RESULTS!$C$37)^('Sheet7(F_23)'!$A27-Title_RESULTS!$H$7)))</f>
        <v>73079.93855800256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5935.772330980959</v>
      </c>
      <c r="H28" s="5">
        <f>IF(A28&gt;=(Title_RESULTS!$H$7+Title_RESULTS!$C$17),0,(+'Sheet4(F_22)'!$D28+'Sheet4(F_22)'!$G28))</f>
        <v>1937.3884266934451</v>
      </c>
      <c r="I28" s="5">
        <f>IF(A28&gt;=(Title_RESULTS!$H$7+Title_RESULTS!$C$17),0,(+'Sheet4(F_22)'!$H28))</f>
        <v>23636.518870135948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31509.67962781035</v>
      </c>
      <c r="L28" s="23">
        <f>IF(A28&gt;=(Title_RESULTS!$H$7+Title_RESULTS!$C$17),0,(+$K28-$F28))</f>
        <v>31509.67962781035</v>
      </c>
      <c r="M28" s="23">
        <f>IF(A28&gt;=(Title_RESULTS!$H$7+Title_RESULTS!$C$17),0,(+M27+$L28/(1+Title_RESULTS!$C$37)^('Sheet7(F_23)'!$A28-Title_RESULTS!$H$7)))</f>
        <v>86945.69723499741</v>
      </c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L30">SUM(B16:B29)</f>
        <v>0</v>
      </c>
      <c r="C30" s="5">
        <f t="shared" si="1"/>
        <v>384.072</v>
      </c>
      <c r="D30" s="5">
        <f t="shared" si="1"/>
        <v>85909.36374619999</v>
      </c>
      <c r="E30" s="5">
        <f t="shared" si="1"/>
        <v>0</v>
      </c>
      <c r="F30" s="5">
        <f t="shared" si="1"/>
        <v>86293.43574619999</v>
      </c>
      <c r="G30" s="5">
        <f t="shared" si="1"/>
        <v>53353.18870006428</v>
      </c>
      <c r="H30" s="5">
        <f t="shared" si="1"/>
        <v>20473.99979095064</v>
      </c>
      <c r="I30" s="5">
        <f t="shared" si="1"/>
        <v>197564.4646492884</v>
      </c>
      <c r="J30" s="5">
        <f t="shared" si="1"/>
        <v>0</v>
      </c>
      <c r="K30" s="5">
        <f t="shared" si="1"/>
        <v>271391.65314030333</v>
      </c>
      <c r="L30" s="5">
        <f t="shared" si="1"/>
        <v>185098.2173941033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118</v>
      </c>
      <c r="B32" s="5">
        <f>NPV(Title_RESULTS!$C$37,'Sheet7(F_23)'!B17:B29)+'Sheet7(F_23)'!B16</f>
        <v>0</v>
      </c>
      <c r="C32" s="5">
        <f>NPV(Title_RESULTS!$C$37,'Sheet7(F_23)'!C17:C29)+'Sheet7(F_23)'!C16</f>
        <v>358.8491576370552</v>
      </c>
      <c r="D32" s="5">
        <f>NPV(Title_RESULTS!$C$37,'Sheet7(F_23)'!D17:D29)+'Sheet7(F_23)'!D16</f>
        <v>80271.08489359754</v>
      </c>
      <c r="E32" s="5">
        <f>NPV(Title_RESULTS!$C$37,'Sheet7(F_23)'!E17:E29)+'Sheet7(F_23)'!E16</f>
        <v>0</v>
      </c>
      <c r="F32" s="5">
        <f>NPV(Title_RESULTS!$C$37,'Sheet7(F_23)'!F17:F29)+'Sheet7(F_23)'!F16</f>
        <v>80629.9340512346</v>
      </c>
      <c r="G32" s="5">
        <f>NPV(Title_RESULTS!$C$37,'Sheet7(F_23)'!G17:G29)+'Sheet7(F_23)'!G16</f>
        <v>32112.354983914604</v>
      </c>
      <c r="H32" s="5">
        <f>NPV(Title_RESULTS!$C$37,'Sheet7(F_23)'!H17:H29)+'Sheet7(F_23)'!H16</f>
        <v>13237.299258751573</v>
      </c>
      <c r="I32" s="5">
        <f>NPV(Title_RESULTS!$C$37,'Sheet7(F_23)'!I17:I29)+'Sheet7(F_23)'!I16</f>
        <v>122225.97704356581</v>
      </c>
      <c r="J32" s="5">
        <f>NPV(Title_RESULTS!$C$37,'Sheet7(F_23)'!J17:J29)+'Sheet7(F_23)'!J16</f>
        <v>0</v>
      </c>
      <c r="K32" s="5">
        <f>NPV(Title_RESULTS!$C$37,'Sheet7(F_23)'!K17:K29)+'Sheet7(F_23)'!K16</f>
        <v>167575.63128623198</v>
      </c>
      <c r="L32" s="5">
        <f>NPV(Title_RESULTS!$C$37,'Sheet7(F_23)'!L17:L29)+'Sheet7(F_23)'!L16</f>
        <v>86945.69723499741</v>
      </c>
      <c r="M32" s="5"/>
    </row>
    <row r="34" spans="1:8" ht="12.75">
      <c r="A34" t="s">
        <v>162</v>
      </c>
      <c r="C34">
        <f>+Title_RESULTS!C37</f>
        <v>0.0708</v>
      </c>
      <c r="D34" t="s">
        <v>163</v>
      </c>
      <c r="H34" s="10">
        <f>+K32/F32</f>
        <v>2.078330253622055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Compressed Air Controls</v>
      </c>
      <c r="L2" t="s">
        <v>55</v>
      </c>
    </row>
    <row r="3" ht="12.75">
      <c r="L3" s="35">
        <f>+Title_RESULTS!I4</f>
        <v>43599.32253125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4219.851382045293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10388.69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14608.541382045292</v>
      </c>
      <c r="G16" s="5">
        <f>IF(A16&gt;=(Title_RESULTS!$H$7+Title_RESULTS!$C$17),0,(+'Sheet6(p_6)'!$H16))</f>
        <v>27987.8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27987.8</v>
      </c>
      <c r="K16" s="23">
        <f>IF(A16&gt;=(Title_RESULTS!$H$7+Title_RESULTS!$C$17),0,(+F16-J16))</f>
        <v>-13379.258617954707</v>
      </c>
      <c r="L16" s="23">
        <f>IF(A16&gt;=(Title_RESULTS!$H$7+Title_RESULTS!$C$17),0,(+$K16/((1+Title_RESULTS!$C$37)^('Sheet8(F_24)'!$A16-Title_RESULTS!$H$7))))</f>
        <v>-13379.258617954707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12973.907981794633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10388.69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23362.597981794635</v>
      </c>
      <c r="G17" s="5">
        <f>IF(A17&gt;=(Title_RESULTS!$H$7+Title_RESULTS!$C$17),0,(+'Sheet6(p_6)'!$H17))</f>
        <v>28631.519399999997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28631.519399999997</v>
      </c>
      <c r="K17" s="23">
        <f>IF(A17&gt;=(Title_RESULTS!$H$7+Title_RESULTS!$C$17),0,(+F17-J17))</f>
        <v>-5268.921418205362</v>
      </c>
      <c r="L17" s="23">
        <f>IF(A16&gt;=(Title_RESULTS!$H$7+Title_RESULTS!$C$17),0,(+$K17/((1+Title_RESULTS!$C$37)^('Sheet8(F_24)'!$A17-Title_RESULTS!$H$7))+L16))</f>
        <v>-18299.80532901687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22073.422609293466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10388.69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32462.112609293465</v>
      </c>
      <c r="G18" s="5">
        <f>IF(A18&gt;=(Title_RESULTS!$H$7+Title_RESULTS!$C$17),0,(+'Sheet6(p_6)'!$H18))</f>
        <v>29290.044346199993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29290.044346199993</v>
      </c>
      <c r="K18" s="23">
        <f>IF(A18&gt;=(Title_RESULTS!$H$7+Title_RESULTS!$C$17),0,(+F18-J18))</f>
        <v>3172.0682630934716</v>
      </c>
      <c r="L18" s="23">
        <f>IF(A17&gt;=(Title_RESULTS!$H$7+Title_RESULTS!$C$17),0,(+$K18/((1+Title_RESULTS!$C$37)^('Sheet8(F_24)'!$A18-Title_RESULTS!$H$7))+L17))</f>
        <v>-15533.336381758907</v>
      </c>
      <c r="M18" s="5"/>
    </row>
    <row r="19" spans="1:13" ht="12.75">
      <c r="A19">
        <f aca="true" t="shared" si="0" ref="A19:A28">+A18+1</f>
        <v>2023</v>
      </c>
      <c r="B19" s="5">
        <f>IF(A19&gt;=(Title_RESULTS!$H$7+Title_RESULTS!$C$17),0,(+'Sheet6(p_6)'!N19-'Sheet6(p_6)'!R19))</f>
        <v>26555.551349774294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26555.551349774294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26555.551349774294</v>
      </c>
      <c r="L19" s="23">
        <f>IF(A18&gt;=(Title_RESULTS!$H$7+Title_RESULTS!$C$17),0,(+$K19/((1+Title_RESULTS!$C$37)^('Sheet8(F_24)'!$A19-Title_RESULTS!$H$7))+L18))</f>
        <v>6095.354572649083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27323.848387601683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27323.848387601683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27323.848387601683</v>
      </c>
      <c r="L20" s="23">
        <f>IF(A19&gt;=(Title_RESULTS!$H$7+Title_RESULTS!$C$17),0,(+$K20/((1+Title_RESULTS!$C$37)^('Sheet8(F_24)'!$A20-Title_RESULTS!$H$7))+L19))</f>
        <v>26878.363149198405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28136.064125204764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28136.064125204764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28136.064125204764</v>
      </c>
      <c r="L21" s="23">
        <f>IF(A20&gt;=(Title_RESULTS!$H$7+Title_RESULTS!$C$17),0,(+$K21/((1+Title_RESULTS!$C$37)^('Sheet8(F_24)'!$A21-Title_RESULTS!$H$7))+L20))</f>
        <v>46864.1629409474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28840.834067136962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28840.834067136962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28840.834067136962</v>
      </c>
      <c r="L22" s="23">
        <f>IF(A21&gt;=(Title_RESULTS!$H$7+Title_RESULTS!$C$17),0,(+$K22/((1+Title_RESULTS!$C$37)^('Sheet8(F_24)'!$A22-Title_RESULTS!$H$7))+L21))</f>
        <v>65996.04261430936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29743.553086993918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29743.553086993918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29743.553086993918</v>
      </c>
      <c r="L23" s="23">
        <f>IF(A22&gt;=(Title_RESULTS!$H$7+Title_RESULTS!$C$17),0,(+$K23/((1+Title_RESULTS!$C$37)^('Sheet8(F_24)'!$A23-Title_RESULTS!$H$7))+L22))</f>
        <v>84422.18018729702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31168.066051328176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31168.066051328176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31168.066051328176</v>
      </c>
      <c r="L24" s="23">
        <f>IF(A23&gt;=(Title_RESULTS!$H$7+Title_RESULTS!$C$17),0,(+$K24/((1+Title_RESULTS!$C$37)^('Sheet8(F_24)'!$A24-Title_RESULTS!$H$7))+L23))</f>
        <v>102454.14102276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32076.257927726445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32076.257927726445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32076.257927726445</v>
      </c>
      <c r="L25" s="23">
        <f>IF(A24&gt;=(Title_RESULTS!$H$7+Title_RESULTS!$C$17),0,(+$K25/((1+Title_RESULTS!$C$37)^('Sheet8(F_24)'!$A25-Title_RESULTS!$H$7))+L24))</f>
        <v>119784.53494423938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33614.94607036425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33614.94607036425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33614.94607036425</v>
      </c>
      <c r="L26" s="23">
        <f>IF(A25&gt;=(Title_RESULTS!$H$7+Title_RESULTS!$C$17),0,(+$K26/((1+Title_RESULTS!$C$37)^('Sheet8(F_24)'!$A26-Title_RESULTS!$H$7))+L25))</f>
        <v>136745.43104243747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34359.31018548978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34359.31018548978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34359.31018548978</v>
      </c>
      <c r="L27" s="23">
        <f>IF(A26&gt;=(Title_RESULTS!$H$7+Title_RESULTS!$C$17),0,(+$K27/((1+Title_RESULTS!$C$37)^('Sheet8(F_24)'!$A27-Title_RESULTS!$H$7))+L26))</f>
        <v>152935.6397948689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35761.56798090295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35761.56798090295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35761.56798090295</v>
      </c>
      <c r="L28" s="23">
        <f>IF(A27&gt;=(Title_RESULTS!$H$7+Title_RESULTS!$C$17),0,(+$K28/((1+Title_RESULTS!$C$37)^('Sheet8(F_24)'!$A28-Title_RESULTS!$H$7))+L27))</f>
        <v>168672.4317074246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K30">SUM(B16:B29)</f>
        <v>346847.18120565667</v>
      </c>
      <c r="C30" s="5">
        <f t="shared" si="1"/>
        <v>0</v>
      </c>
      <c r="D30" s="5">
        <f t="shared" si="1"/>
        <v>31166.07</v>
      </c>
      <c r="E30" s="5">
        <f t="shared" si="1"/>
        <v>0</v>
      </c>
      <c r="F30" s="5">
        <f t="shared" si="1"/>
        <v>378013.2512056566</v>
      </c>
      <c r="G30" s="5">
        <f t="shared" si="1"/>
        <v>85909.36374619999</v>
      </c>
      <c r="H30" s="5">
        <f t="shared" si="1"/>
        <v>0</v>
      </c>
      <c r="I30" s="5">
        <f t="shared" si="1"/>
        <v>0</v>
      </c>
      <c r="J30" s="5">
        <f t="shared" si="1"/>
        <v>85909.36374619999</v>
      </c>
      <c r="K30" s="5">
        <f t="shared" si="1"/>
        <v>292103.88745945663</v>
      </c>
      <c r="L30" s="5"/>
      <c r="M30" s="5"/>
    </row>
    <row r="31" ht="12.75">
      <c r="M31" s="5"/>
    </row>
    <row r="32" spans="1:13" ht="12.75">
      <c r="A32" t="s">
        <v>118</v>
      </c>
      <c r="B32" s="5">
        <f>NPV(Title_RESULTS!$C$37,'Sheet8(F_24)'!B17:B29)+'Sheet8(F_24)'!B16</f>
        <v>219792.69325143687</v>
      </c>
      <c r="C32" s="5">
        <f>NPV(Title_RESULTS!$C$37,'Sheet8(F_24)'!C17:C29)+'Sheet8(F_24)'!C16</f>
        <v>0</v>
      </c>
      <c r="D32" s="5">
        <f>NPV(Title_RESULTS!$C$37,'Sheet8(F_24)'!D17:D29)+'Sheet8(F_24)'!D16</f>
        <v>29150.823349585262</v>
      </c>
      <c r="E32" s="5">
        <f>NPV(Title_RESULTS!$C$37,'Sheet8(F_24)'!E17:E29)+'Sheet8(F_24)'!E16</f>
        <v>0</v>
      </c>
      <c r="F32" s="5">
        <f>NPV(Title_RESULTS!$C$37,'Sheet8(F_24)'!F17:F29)+'Sheet8(F_24)'!F16</f>
        <v>248943.51660102213</v>
      </c>
      <c r="G32" s="5">
        <f>NPV(Title_RESULTS!$C$37,'Sheet8(F_24)'!G17:G29)+'Sheet8(F_24)'!G16</f>
        <v>80271.08489359754</v>
      </c>
      <c r="H32" s="5">
        <f>NPV(Title_RESULTS!$C$37,'Sheet8(F_24)'!H17:H29)+'Sheet8(F_24)'!H16</f>
        <v>0</v>
      </c>
      <c r="I32" s="5">
        <f>NPV(Title_RESULTS!$C$37,'Sheet8(F_24)'!I17:I29)+'Sheet8(F_24)'!I16</f>
        <v>0</v>
      </c>
      <c r="J32" s="5">
        <f>NPV(Title_RESULTS!$C$37,'Sheet8(F_24)'!J17:J29)+'Sheet8(F_24)'!J16</f>
        <v>80271.08489359754</v>
      </c>
      <c r="K32" s="5">
        <f>NPV(Title_RESULTS!$C$37,'Sheet8(F_24)'!K17:K29)+'Sheet8(F_24)'!K16</f>
        <v>168672.43170742458</v>
      </c>
      <c r="L32" s="5"/>
      <c r="M32" s="5"/>
    </row>
    <row r="33" spans="2:1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1" ht="12.75">
      <c r="A34" t="s">
        <v>174</v>
      </c>
      <c r="D34">
        <f>+Title_RESULTS!H8</f>
        <v>2023</v>
      </c>
      <c r="F34">
        <f>+F32/J32</f>
        <v>3.1012850633700353</v>
      </c>
      <c r="K34" s="10"/>
    </row>
    <row r="35" spans="1:10" ht="12.75">
      <c r="A35" t="s">
        <v>175</v>
      </c>
      <c r="D35">
        <f>+Title_RESULTS!C37</f>
        <v>0.0708</v>
      </c>
      <c r="J35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Compressed Air Controls</v>
      </c>
      <c r="N2" t="s">
        <v>55</v>
      </c>
    </row>
    <row r="3" ht="12.75">
      <c r="N3" s="35">
        <f>+Title_RESULTS!I4</f>
        <v>43599.32253125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10388.69</v>
      </c>
      <c r="E16" s="5">
        <f>+'Sheet6(p_6)'!M16</f>
        <v>2555.0389800000003</v>
      </c>
      <c r="F16">
        <f>IF(A16&gt;=(Title_RESULTS!$H$7+Title_RESULTS!$C$17),0,(+'f-11B'!$R15))</f>
        <v>0</v>
      </c>
      <c r="G16" s="5">
        <f>IF(A16&gt;=(Title_RESULTS!$H$7+Title_RESULTS!$C$17),0,(SUM(B16:F16)))</f>
        <v>13068.72898</v>
      </c>
      <c r="H16" s="5">
        <f>IF(A16&gt;=(Title_RESULTS!$H$7+Title_RESULTS!$C$17),0,(+'Sheet3(F_21)'!$J16+'Sheet4(F_22)'!$H16))</f>
        <v>2092.3357043092674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2092.3357043092674</v>
      </c>
      <c r="M16" s="23">
        <f>IF(A16&gt;=(Title_RESULTS!$H$7+Title_RESULTS!$C$17),0,(+L16-G16))</f>
        <v>-10976.393275690732</v>
      </c>
      <c r="N16" s="24">
        <f>IF(A16&gt;=(Title_RESULTS!$H$7+Title_RESULTS!$C$17),0,(+$M16/((1+Title_RESULTS!$C$37)^('Sheet9(F_25)'!$A16-Title_RESULTS!$H$7))))</f>
        <v>-10976.393275690732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10388.69</v>
      </c>
      <c r="E17" s="5">
        <f>+'Sheet6(p_6)'!M17</f>
        <v>7741.768109400001</v>
      </c>
      <c r="F17">
        <f>IF(A17&gt;=(Title_RESULTS!$H$7+Title_RESULTS!$C$17),0,(+'f-11B'!$R16))</f>
        <v>0</v>
      </c>
      <c r="G17" s="5">
        <f>IF(A17&gt;=(Title_RESULTS!$H$7+Title_RESULTS!$C$17),0,(SUM(B17:F17)))</f>
        <v>18258.458109400002</v>
      </c>
      <c r="H17" s="5">
        <f>IF(A17&gt;=(Title_RESULTS!$H$7+Title_RESULTS!$C$17),0,(+'Sheet3(F_21)'!$J17+'Sheet4(F_22)'!$H17))</f>
        <v>6225.950858572723</v>
      </c>
      <c r="I17" s="5">
        <f>IF(A17&gt;=(Title_RESULTS!$H$7+Title_RESULTS!$C$17),0,(+'Sheet4(F_22)'!$D17+'Sheet4(F_22)'!$G17))</f>
        <v>1492.5097539512722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7718.460612523995</v>
      </c>
      <c r="M17" s="23">
        <f>IF(A17&gt;=(Title_RESULTS!$H$7+Title_RESULTS!$C$17),0,(+L17-G17))</f>
        <v>-10539.997496876007</v>
      </c>
      <c r="N17" s="24">
        <f>(IF(A16&gt;=(Title_RESULTS!$H$7+Title_RESULTS!$C$17),0,(+$M17/((1+Title_RESULTS!$C$37)^('Sheet9(F_25)'!$A17-Title_RESULTS!$H$7))+N16)))</f>
        <v>-20819.49889473818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10388.69</v>
      </c>
      <c r="E18" s="5">
        <f>+'Sheet6(p_6)'!M18</f>
        <v>13031.976317490002</v>
      </c>
      <c r="F18">
        <f>IF(A18&gt;=(Title_RESULTS!$H$7+Title_RESULTS!$C$17),0,(+'f-11B'!$R17))</f>
        <v>0</v>
      </c>
      <c r="G18" s="5">
        <f>IF(A18&gt;=(Title_RESULTS!$H$7+Title_RESULTS!$C$17),0,(SUM(B18:F18)))</f>
        <v>23551.738317490002</v>
      </c>
      <c r="H18" s="5">
        <f>IF(A18&gt;=(Title_RESULTS!$H$7+Title_RESULTS!$C$17),0,(+'Sheet3(F_21)'!$J18+'Sheet4(F_22)'!$H18))</f>
        <v>10709.330006614904</v>
      </c>
      <c r="I18" s="5">
        <f>IF(A18&gt;=(Title_RESULTS!$H$7+Title_RESULTS!$C$17),0,(+'Sheet4(F_22)'!$D18+'Sheet4(F_22)'!$G18))</f>
        <v>1528.3299880461027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12237.659994661008</v>
      </c>
      <c r="M18" s="23">
        <f>IF(A18&gt;=(Title_RESULTS!$H$7+Title_RESULTS!$C$17),0,(+L18-G18))</f>
        <v>-11314.078322828995</v>
      </c>
      <c r="N18" s="24">
        <f>(IF(A17&gt;=(Title_RESULTS!$H$7+Title_RESULTS!$C$17),0,(+$M18/((1+Title_RESULTS!$C$37)^('Sheet9(F_25)'!$A18-Title_RESULTS!$H$7))+N17)))</f>
        <v>-30686.89257952173</v>
      </c>
    </row>
    <row r="19" spans="1:14" ht="12.75">
      <c r="A19">
        <f aca="true" t="shared" si="0" ref="A19:A28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15794.75529679788</v>
      </c>
      <c r="F19">
        <f>IF(A19&gt;=(Title_RESULTS!$H$7+Title_RESULTS!$C$17),0,(+'f-11B'!$R18))</f>
        <v>0</v>
      </c>
      <c r="G19" s="5">
        <f>IF(A19&gt;=(Title_RESULTS!$H$7+Title_RESULTS!$C$17),0,(SUM(B19:F19)))</f>
        <v>15794.75529679788</v>
      </c>
      <c r="H19" s="5">
        <f>IF(A19&gt;=(Title_RESULTS!$H$7+Title_RESULTS!$C$17),0,(+'Sheet3(F_21)'!$J19+'Sheet4(F_22)'!$H19))</f>
        <v>18118.560906251332</v>
      </c>
      <c r="I19" s="5">
        <f>IF(A19&gt;=(Title_RESULTS!$H$7+Title_RESULTS!$C$17),0,(+'Sheet4(F_22)'!$D19+'Sheet4(F_22)'!$G19))</f>
        <v>1565.0099077592092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19683.57081401054</v>
      </c>
      <c r="M19" s="23">
        <f>IF(A19&gt;=(Title_RESULTS!$H$7+Title_RESULTS!$C$17),0,(+L19-G19))</f>
        <v>3888.815517212661</v>
      </c>
      <c r="N19" s="24">
        <f>(IF(A18&gt;=(Title_RESULTS!$H$7+Title_RESULTS!$C$17),0,(+$M19/((1+Title_RESULTS!$C$37)^('Sheet9(F_25)'!$A19-Title_RESULTS!$H$7))+N18)))</f>
        <v>-27519.57031636662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15952.702849765861</v>
      </c>
      <c r="F20">
        <f>IF(A20&gt;=(Title_RESULTS!$H$7+Title_RESULTS!$C$17),0,(+'f-11B'!$R19))</f>
        <v>0</v>
      </c>
      <c r="G20" s="5">
        <f>IF(A20&gt;=(Title_RESULTS!$H$7+Title_RESULTS!$C$17),0,(SUM(B20:F20)))</f>
        <v>15952.702849765861</v>
      </c>
      <c r="H20" s="5">
        <f>IF(A20&gt;=(Title_RESULTS!$H$7+Title_RESULTS!$C$17),0,(+'Sheet3(F_21)'!$J20+'Sheet4(F_22)'!$H20))</f>
        <v>18770.676906529363</v>
      </c>
      <c r="I20" s="5">
        <f>IF(A20&gt;=(Title_RESULTS!$H$7+Title_RESULTS!$C$17),0,(+'Sheet4(F_22)'!$D20+'Sheet4(F_22)'!$G20))</f>
        <v>1602.5701455454303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20373.247052074792</v>
      </c>
      <c r="M20" s="23">
        <f>IF(A20&gt;=(Title_RESULTS!$H$7+Title_RESULTS!$C$17),0,(+L20-G20))</f>
        <v>4420.544202308931</v>
      </c>
      <c r="N20" s="24">
        <f>(IF(A19&gt;=(Title_RESULTS!$H$7+Title_RESULTS!$C$17),0,(+$M20/((1+Title_RESULTS!$C$37)^('Sheet9(F_25)'!$A20-Title_RESULTS!$H$7))+N19)))</f>
        <v>-24157.22520427438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16112.229878263517</v>
      </c>
      <c r="F21">
        <f>IF(A21&gt;=(Title_RESULTS!$H$7+Title_RESULTS!$C$17),0,(+'f-11B'!$R20))</f>
        <v>0</v>
      </c>
      <c r="G21" s="5">
        <f>IF(A21&gt;=(Title_RESULTS!$H$7+Title_RESULTS!$C$17),0,(SUM(B21:F21)))</f>
        <v>16112.229878263517</v>
      </c>
      <c r="H21" s="5">
        <f>IF(A21&gt;=(Title_RESULTS!$H$7+Title_RESULTS!$C$17),0,(+'Sheet3(F_21)'!$J21+'Sheet4(F_22)'!$H21))</f>
        <v>19933.673069375276</v>
      </c>
      <c r="I21" s="5">
        <f>IF(A21&gt;=(Title_RESULTS!$H$7+Title_RESULTS!$C$17),0,(+'Sheet4(F_22)'!$D21+'Sheet4(F_22)'!$G21))</f>
        <v>1641.0318290385208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21574.7048984138</v>
      </c>
      <c r="M21" s="23">
        <f>IF(A21&gt;=(Title_RESULTS!$H$7+Title_RESULTS!$C$17),0,(+L21-G21))</f>
        <v>5462.475020150281</v>
      </c>
      <c r="N21" s="24">
        <f>(IF(A20&gt;=(Title_RESULTS!$H$7+Title_RESULTS!$C$17),0,(+$M21/((1+Title_RESULTS!$C$37)^('Sheet9(F_25)'!$A21-Title_RESULTS!$H$7))+N20)))</f>
        <v>-20277.082920181576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16273.352177046156</v>
      </c>
      <c r="F22">
        <f>IF(A22&gt;=(Title_RESULTS!$H$7+Title_RESULTS!$C$17),0,(+'f-11B'!$R21))</f>
        <v>0</v>
      </c>
      <c r="G22" s="5">
        <f>IF(A22&gt;=(Title_RESULTS!$H$7+Title_RESULTS!$C$17),0,(SUM(B22:F22)))</f>
        <v>16273.352177046156</v>
      </c>
      <c r="H22" s="5">
        <f>IF(A22&gt;=(Title_RESULTS!$H$7+Title_RESULTS!$C$17),0,(+'Sheet3(F_21)'!$J22+'Sheet4(F_22)'!$H22))</f>
        <v>20567.373367706103</v>
      </c>
      <c r="I22" s="5">
        <f>IF(A22&gt;=(Title_RESULTS!$H$7+Title_RESULTS!$C$17),0,(+'Sheet4(F_22)'!$D22+'Sheet4(F_22)'!$G22))</f>
        <v>1680.416592935445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22247.78996064155</v>
      </c>
      <c r="M22" s="23">
        <f>IF(A22&gt;=(Title_RESULTS!$H$7+Title_RESULTS!$C$17),0,(+L22-G22))</f>
        <v>5974.437783595393</v>
      </c>
      <c r="N22" s="24">
        <f>(IF(A21&gt;=(Title_RESULTS!$H$7+Title_RESULTS!$C$17),0,(+$M22/((1+Title_RESULTS!$C$37)^('Sheet9(F_25)'!$A22-Title_RESULTS!$H$7))+N21)))</f>
        <v>-16313.874903185373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16436.085698816612</v>
      </c>
      <c r="F23">
        <f>IF(A23&gt;=(Title_RESULTS!$H$7+Title_RESULTS!$C$17),0,(+'f-11B'!$R22))</f>
        <v>0</v>
      </c>
      <c r="G23" s="5">
        <f>IF(A23&gt;=(Title_RESULTS!$H$7+Title_RESULTS!$C$17),0,(SUM(B23:F23)))</f>
        <v>16436.085698816612</v>
      </c>
      <c r="H23" s="5">
        <f>IF(A23&gt;=(Title_RESULTS!$H$7+Title_RESULTS!$C$17),0,(+'Sheet3(F_21)'!$J23+'Sheet4(F_22)'!$H23))</f>
        <v>21669.182753180932</v>
      </c>
      <c r="I23" s="5">
        <f>IF(A23&gt;=(Title_RESULTS!$H$7+Title_RESULTS!$C$17),0,(+'Sheet4(F_22)'!$D23+'Sheet4(F_22)'!$G23))</f>
        <v>1720.746591165896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23389.929344346827</v>
      </c>
      <c r="M23" s="23">
        <f>IF(A23&gt;=(Title_RESULTS!$H$7+Title_RESULTS!$C$17),0,(+L23-G23))</f>
        <v>6953.843645530214</v>
      </c>
      <c r="N23" s="24">
        <f>(IF(A22&gt;=(Title_RESULTS!$H$7+Title_RESULTS!$C$17),0,(+$M23/((1+Title_RESULTS!$C$37)^('Sheet9(F_25)'!$A23-Title_RESULTS!$H$7))+N22)))</f>
        <v>-12005.967260180383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16600.446555804785</v>
      </c>
      <c r="F24">
        <f>IF(A24&gt;=(Title_RESULTS!$H$7+Title_RESULTS!$C$17),0,(+'f-11B'!$R23))</f>
        <v>0</v>
      </c>
      <c r="G24" s="5">
        <f>IF(A24&gt;=(Title_RESULTS!$H$7+Title_RESULTS!$C$17),0,(SUM(B24:F24)))</f>
        <v>16600.446555804785</v>
      </c>
      <c r="H24" s="5">
        <f>IF(A24&gt;=(Title_RESULTS!$H$7+Title_RESULTS!$C$17),0,(+'Sheet3(F_21)'!$J24+'Sheet4(F_22)'!$H24))</f>
        <v>23524.933376368805</v>
      </c>
      <c r="I24" s="5">
        <f>IF(A24&gt;=(Title_RESULTS!$H$7+Title_RESULTS!$C$17),0,(+'Sheet4(F_22)'!$D24+'Sheet4(F_22)'!$G24))</f>
        <v>1762.0445093538772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25286.97788572268</v>
      </c>
      <c r="M24" s="23">
        <f>IF(A24&gt;=(Title_RESULTS!$H$7+Title_RESULTS!$C$17),0,(+L24-G24))</f>
        <v>8686.531329917896</v>
      </c>
      <c r="N24" s="24">
        <f>(IF(A23&gt;=(Title_RESULTS!$H$7+Title_RESULTS!$C$17),0,(+$M24/((1+Title_RESULTS!$C$37)^('Sheet9(F_25)'!$A24-Title_RESULTS!$H$7))+N23)))</f>
        <v>-6980.46479624336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16766.45102136283</v>
      </c>
      <c r="F25">
        <f>IF(A25&gt;=(Title_RESULTS!$H$7+Title_RESULTS!$C$17),0,(+'f-11B'!$R24))</f>
        <v>0</v>
      </c>
      <c r="G25" s="5">
        <f>IF(A25&gt;=(Title_RESULTS!$H$7+Title_RESULTS!$C$17),0,(SUM(B25:F25)))</f>
        <v>16766.45102136283</v>
      </c>
      <c r="H25" s="5">
        <f>IF(A25&gt;=(Title_RESULTS!$H$7+Title_RESULTS!$C$17),0,(+'Sheet3(F_21)'!$J25+'Sheet4(F_22)'!$H25))</f>
        <v>24965.776134697935</v>
      </c>
      <c r="I25" s="5">
        <f>IF(A25&gt;=(Title_RESULTS!$H$7+Title_RESULTS!$C$17),0,(+'Sheet4(F_22)'!$D25+'Sheet4(F_22)'!$G25))</f>
        <v>1804.3335775783703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26770.109712276306</v>
      </c>
      <c r="M25" s="23">
        <f>IF(A25&gt;=(Title_RESULTS!$H$7+Title_RESULTS!$C$17),0,(+L25-G25))</f>
        <v>10003.658690913475</v>
      </c>
      <c r="N25" s="24">
        <f>(IF(A24&gt;=(Title_RESULTS!$H$7+Title_RESULTS!$C$17),0,(+$M25/((1+Title_RESULTS!$C$37)^('Sheet9(F_25)'!$A25-Title_RESULTS!$H$7))+N24)))</f>
        <v>-1575.6153228356789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16934.115531576463</v>
      </c>
      <c r="F26">
        <f>IF(A26&gt;=(Title_RESULTS!$H$7+Title_RESULTS!$C$17),0,(+'f-11B'!$R25))</f>
        <v>0</v>
      </c>
      <c r="G26" s="5">
        <f>IF(A26&gt;=(Title_RESULTS!$H$7+Title_RESULTS!$C$17),0,(SUM(B26:F26)))</f>
        <v>16934.115531576463</v>
      </c>
      <c r="H26" s="5">
        <f>IF(A26&gt;=(Title_RESULTS!$H$7+Title_RESULTS!$C$17),0,(+'Sheet3(F_21)'!$J26+'Sheet4(F_22)'!$H26))</f>
        <v>27327.161237544027</v>
      </c>
      <c r="I26" s="5">
        <f>IF(A26&gt;=(Title_RESULTS!$H$7+Title_RESULTS!$C$17),0,(+'Sheet4(F_22)'!$D26+'Sheet4(F_22)'!$G26))</f>
        <v>1847.6375834402513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29174.798820984277</v>
      </c>
      <c r="M26" s="23">
        <f>IF(A26&gt;=(Title_RESULTS!$H$7+Title_RESULTS!$C$17),0,(+L26-G26))</f>
        <v>12240.683289407814</v>
      </c>
      <c r="N26" s="24">
        <f>(IF(A25&gt;=(Title_RESULTS!$H$7+Title_RESULTS!$C$17),0,(+$M26/((1+Title_RESULTS!$C$37)^('Sheet9(F_25)'!$A26-Title_RESULTS!$H$7))+N25)))</f>
        <v>4600.594420532974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17103.45668689222</v>
      </c>
      <c r="F27">
        <f>IF(A27&gt;=(Title_RESULTS!$H$7+Title_RESULTS!$C$17),0,(+'f-11B'!$R26))</f>
        <v>0</v>
      </c>
      <c r="G27" s="5">
        <f>IF(A27&gt;=(Title_RESULTS!$H$7+Title_RESULTS!$C$17),0,(SUM(B27:F27)))</f>
        <v>17103.45668689222</v>
      </c>
      <c r="H27" s="5">
        <f>IF(A27&gt;=(Title_RESULTS!$H$7+Title_RESULTS!$C$17),0,(+'Sheet3(F_21)'!$J27+'Sheet4(F_22)'!$H27))</f>
        <v>27440.407827085073</v>
      </c>
      <c r="I27" s="5">
        <f>IF(A27&gt;=(Title_RESULTS!$H$7+Title_RESULTS!$C$17),0,(+'Sheet4(F_22)'!$D27+'Sheet4(F_22)'!$G27))</f>
        <v>1891.9808854428175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29332.388712527892</v>
      </c>
      <c r="M27" s="23">
        <f>IF(A27&gt;=(Title_RESULTS!$H$7+Title_RESULTS!$C$17),0,(+L27-G27))</f>
        <v>12228.932025635673</v>
      </c>
      <c r="N27" s="24">
        <f>(IF(A26&gt;=(Title_RESULTS!$H$7+Title_RESULTS!$C$17),0,(+$M27/((1+Title_RESULTS!$C$37)^('Sheet9(F_25)'!$A27-Title_RESULTS!$H$7))+N26)))</f>
        <v>10362.903420495033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17274.491253761145</v>
      </c>
      <c r="F28">
        <f>IF(A28&gt;=(Title_RESULTS!$H$7+Title_RESULTS!$C$17),0,(+'f-11B'!$R27))</f>
        <v>0</v>
      </c>
      <c r="G28" s="5">
        <f>IF(A28&gt;=(Title_RESULTS!$H$7+Title_RESULTS!$C$17),0,(SUM(B28:F28)))</f>
        <v>17274.491253761145</v>
      </c>
      <c r="H28" s="5">
        <f>IF(A28&gt;=(Title_RESULTS!$H$7+Title_RESULTS!$C$17),0,(+'Sheet3(F_21)'!$J28+'Sheet4(F_22)'!$H28))</f>
        <v>29572.291201116906</v>
      </c>
      <c r="I28" s="5">
        <f>IF(A28&gt;=(Title_RESULTS!$H$7+Title_RESULTS!$C$17),0,(+'Sheet4(F_22)'!$D28+'Sheet4(F_22)'!$G28))</f>
        <v>1937.3884266934451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31509.67962781035</v>
      </c>
      <c r="M28" s="23">
        <f>IF(A28&gt;=(Title_RESULTS!$H$7+Title_RESULTS!$C$17),0,(+L28-G28))</f>
        <v>14235.188374049205</v>
      </c>
      <c r="N28" s="24">
        <f>(IF(A27&gt;=(Title_RESULTS!$H$7+Title_RESULTS!$C$17),0,(+$M28/((1+Title_RESULTS!$C$37)^('Sheet9(F_25)'!$A28-Title_RESULTS!$H$7))+N27)))</f>
        <v>16627.06380065709</v>
      </c>
    </row>
    <row r="29" ht="12.75">
      <c r="E29" s="5"/>
    </row>
    <row r="30" spans="1:13" ht="12.75">
      <c r="A30" t="s">
        <v>87</v>
      </c>
      <c r="B30" s="5">
        <f aca="true" t="shared" si="1" ref="B30:M30">SUM(B16:B29)</f>
        <v>0</v>
      </c>
      <c r="C30" s="5">
        <f t="shared" si="1"/>
        <v>384.072</v>
      </c>
      <c r="D30" s="5">
        <f t="shared" si="1"/>
        <v>31166.07</v>
      </c>
      <c r="E30" s="5">
        <f t="shared" si="1"/>
        <v>188576.87035697745</v>
      </c>
      <c r="F30" s="5">
        <f t="shared" si="1"/>
        <v>0</v>
      </c>
      <c r="G30" s="5">
        <f t="shared" si="1"/>
        <v>220127.01235697744</v>
      </c>
      <c r="H30" s="5">
        <f t="shared" si="1"/>
        <v>250917.65334935262</v>
      </c>
      <c r="I30" s="5">
        <f t="shared" si="1"/>
        <v>20473.99979095064</v>
      </c>
      <c r="J30" s="5">
        <f t="shared" si="1"/>
        <v>0</v>
      </c>
      <c r="K30" s="9">
        <f t="shared" si="1"/>
        <v>0</v>
      </c>
      <c r="L30" s="5">
        <f t="shared" si="1"/>
        <v>271391.65314030333</v>
      </c>
      <c r="M30" s="5">
        <f t="shared" si="1"/>
        <v>51264.64078332581</v>
      </c>
    </row>
    <row r="32" spans="1:13" ht="12.75">
      <c r="A32" t="s">
        <v>118</v>
      </c>
      <c r="B32" s="5">
        <f>NPV(Title_RESULTS!$C$37,'Sheet9(F_25)'!B17:B29)+'Sheet9(F_25)'!B16</f>
        <v>0</v>
      </c>
      <c r="C32" s="5">
        <f>NPV(Title_RESULTS!$C$37,'Sheet9(F_25)'!C17:C29)+'Sheet9(F_25)'!C16</f>
        <v>358.8491576370552</v>
      </c>
      <c r="D32" s="5">
        <f>NPV(Title_RESULTS!$C$37,'Sheet9(F_25)'!D17:D29)+'Sheet9(F_25)'!D16</f>
        <v>29150.823349585262</v>
      </c>
      <c r="E32" s="5">
        <f>NPV(Title_RESULTS!$C$37,'Sheet9(F_25)'!E17:E29)+'Sheet9(F_25)'!E16</f>
        <v>121438.8949783526</v>
      </c>
      <c r="F32" s="5">
        <f>NPV(Title_RESULTS!$C$37,'Sheet9(F_25)'!F17:F29)+'Sheet9(F_25)'!F16</f>
        <v>0</v>
      </c>
      <c r="G32" s="5">
        <f>NPV(Title_RESULTS!$C$37,'Sheet9(F_25)'!G17:G29)+'Sheet9(F_25)'!G16</f>
        <v>150948.56748557492</v>
      </c>
      <c r="H32" s="5">
        <f>NPV(Title_RESULTS!$C$37,'Sheet9(F_25)'!H17:H29)+'Sheet9(F_25)'!H16</f>
        <v>154338.3320274804</v>
      </c>
      <c r="I32" s="5">
        <f>NPV(Title_RESULTS!$C$37,'Sheet9(F_25)'!I17:I29)+'Sheet9(F_25)'!I16</f>
        <v>13237.299258751573</v>
      </c>
      <c r="J32" s="5">
        <f>NPV(Title_RESULTS!$C$37,'Sheet9(F_25)'!J17:J29)+'Sheet9(F_25)'!J16</f>
        <v>0</v>
      </c>
      <c r="K32" s="9">
        <f>NPV(Title_RESULTS!$C$37,'Sheet9(F_25)'!K17:K29)+'Sheet9(F_25)'!K16</f>
        <v>0</v>
      </c>
      <c r="L32" s="5">
        <f>NPV(Title_RESULTS!$C$37,'Sheet9(F_25)'!L17:L29)+'Sheet9(F_25)'!L16</f>
        <v>167575.63128623198</v>
      </c>
      <c r="M32" s="5">
        <f>NPV(Title_RESULTS!$C$37,'Sheet9(F_25)'!M17:M29)+'Sheet9(F_25)'!M16</f>
        <v>16627.06380065708</v>
      </c>
    </row>
    <row r="34" spans="1:10" ht="12.75">
      <c r="A34" t="s">
        <v>175</v>
      </c>
      <c r="D34">
        <f>+Title_RESULTS!C37</f>
        <v>0.0708</v>
      </c>
      <c r="F34" t="s">
        <v>183</v>
      </c>
      <c r="J34" s="10">
        <f>+L32/G32</f>
        <v>1.1101505239673506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37480.0414582744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2186.3191552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4661.008588800001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216.0570952222331</v>
      </c>
      <c r="P24" s="48">
        <f aca="true" t="shared" si="4" ref="P24:P61">N24*$L$5</f>
        <v>460.6116056326122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221.2424655075667</v>
      </c>
      <c r="P25" s="48">
        <f t="shared" si="4"/>
        <v>471.66628416779486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5156.9037258628705</v>
      </c>
      <c r="E26" s="11">
        <f>IF(B26=Title_RESULTS!$H$8,$F$16,+E25*(1+$F$7))</f>
        <v>0.09882230355451863</v>
      </c>
      <c r="F26" s="9">
        <f t="shared" si="1"/>
        <v>3703.8640342255353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300.81710048074564</v>
      </c>
      <c r="L26" s="5">
        <f t="shared" si="3"/>
        <v>641.3112585433147</v>
      </c>
      <c r="N26" s="11">
        <f>IF(+B26=Title_RESULTS!$H$9,'Value of Defferal'!$O$16,+'Value of Defferal'!N25*(1+'Value of Defferal'!$F$7))</f>
        <v>0.10362269577198292</v>
      </c>
      <c r="O26" s="5">
        <f t="shared" si="7"/>
        <v>226.5522846797483</v>
      </c>
      <c r="P26" s="48">
        <f t="shared" si="4"/>
        <v>482.98627498782196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5004.620956432029</v>
      </c>
      <c r="E27" s="11">
        <f>IF(B27=Title_RESULTS!$H$8,$F$16,+E26*(1+$F$7))</f>
        <v>0.10119403883982707</v>
      </c>
      <c r="F27" s="9">
        <f t="shared" si="1"/>
        <v>3792.7567710469484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291.93400636292813</v>
      </c>
      <c r="L27" s="5">
        <f t="shared" si="3"/>
        <v>622.3734113951573</v>
      </c>
      <c r="N27" s="11">
        <f>IF(+B27=Title_RESULTS!$H$9,'Value of Defferal'!$O$16,+'Value of Defferal'!N26*(1+'Value of Defferal'!$F$7))</f>
        <v>0.10610964047051051</v>
      </c>
      <c r="O27" s="5">
        <f t="shared" si="7"/>
        <v>231.98953951206227</v>
      </c>
      <c r="P27" s="48">
        <f t="shared" si="4"/>
        <v>494.5779455875297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4836.501889592376</v>
      </c>
      <c r="E28" s="11">
        <f>IF(B28=Title_RESULTS!$H$8,$F$16,+E27*(1+$F$7))</f>
        <v>0.10362269577198292</v>
      </c>
      <c r="F28" s="9">
        <f t="shared" si="1"/>
        <v>3883.782933552075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282.1271352420656</v>
      </c>
      <c r="L28" s="5">
        <f t="shared" si="3"/>
        <v>601.4661662590217</v>
      </c>
      <c r="N28" s="11">
        <f>IF(+B28=Title_RESULTS!$H$9,'Value of Defferal'!$O$16,+'Value of Defferal'!N27*(1+'Value of Defferal'!$F$7))</f>
        <v>0.10865627184180277</v>
      </c>
      <c r="O28" s="5">
        <f t="shared" si="7"/>
        <v>237.55728846035174</v>
      </c>
      <c r="P28" s="48">
        <f t="shared" si="4"/>
        <v>506.4478162816304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4676.434799322556</v>
      </c>
      <c r="E29" s="11">
        <f>IF(B29=Title_RESULTS!$H$8,$F$16,+E28*(1+$F$7))</f>
        <v>0.10610964047051051</v>
      </c>
      <c r="F29" s="9">
        <f t="shared" si="1"/>
        <v>3976.9937239573246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272.7899591889485</v>
      </c>
      <c r="L29" s="5">
        <f t="shared" si="3"/>
        <v>581.5602629167738</v>
      </c>
      <c r="N29" s="11">
        <f>IF(+B29=Title_RESULTS!$H$9,'Value of Defferal'!$O$16,+'Value of Defferal'!N28*(1+'Value of Defferal'!$F$7))</f>
        <v>0.11126402236600604</v>
      </c>
      <c r="O29" s="5">
        <f t="shared" si="7"/>
        <v>243.2586633834002</v>
      </c>
      <c r="P29" s="48">
        <f t="shared" si="4"/>
        <v>518.6025638723895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4523.6122575011605</v>
      </c>
      <c r="E30" s="11">
        <f>IF(B30=Title_RESULTS!$H$8,$F$16,+E29*(1+$F$7))</f>
        <v>0.10865627184180277</v>
      </c>
      <c r="F30" s="9">
        <f t="shared" si="1"/>
        <v>4072.441573332301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263.8753785873652</v>
      </c>
      <c r="L30" s="5">
        <f t="shared" si="3"/>
        <v>562.5552898090262</v>
      </c>
      <c r="N30" s="11">
        <f>IF(+B30=Title_RESULTS!$H$9,'Value of Defferal'!$O$16,+'Value of Defferal'!N29*(1+'Value of Defferal'!$F$7))</f>
        <v>0.11393435890279018</v>
      </c>
      <c r="O30" s="5">
        <f t="shared" si="7"/>
        <v>249.0968713046018</v>
      </c>
      <c r="P30" s="48">
        <f t="shared" si="4"/>
        <v>531.0490254053269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4377.3160545837345</v>
      </c>
      <c r="E31" s="11">
        <f>IF(B31=Title_RESULTS!$H$8,$F$16,+E30*(1+$F$7))</f>
        <v>0.11126402236600604</v>
      </c>
      <c r="F31" s="9">
        <f t="shared" si="1"/>
        <v>4170.180171092276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255.34149819858615</v>
      </c>
      <c r="L31" s="5">
        <f t="shared" si="3"/>
        <v>544.3619305763242</v>
      </c>
      <c r="N31" s="11">
        <f>IF(+B31=Title_RESULTS!$H$9,'Value of Defferal'!$O$16,+'Value of Defferal'!N30*(1+'Value of Defferal'!$F$7))</f>
        <v>0.11666878351645714</v>
      </c>
      <c r="O31" s="5">
        <f t="shared" si="7"/>
        <v>255.07519621591223</v>
      </c>
      <c r="P31" s="48">
        <f t="shared" si="4"/>
        <v>543.7942020150547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4235.574460019659</v>
      </c>
      <c r="E32" s="11">
        <f>IF(B32=Title_RESULTS!$H$8,$F$16,+E31*(1+$F$7))</f>
        <v>0.11393435890279018</v>
      </c>
      <c r="F32" s="9">
        <f t="shared" si="1"/>
        <v>4270.26449519849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247.07330128026032</v>
      </c>
      <c r="L32" s="5">
        <f t="shared" si="3"/>
        <v>526.7349813001647</v>
      </c>
      <c r="N32" s="11">
        <f>IF(+B32=Title_RESULTS!$H$9,'Value of Defferal'!$O$16,+'Value of Defferal'!N31*(1+'Value of Defferal'!$F$7))</f>
        <v>0.11946883432085212</v>
      </c>
      <c r="O32" s="5">
        <f t="shared" si="7"/>
        <v>261.19700092509413</v>
      </c>
      <c r="P32" s="48">
        <f t="shared" si="4"/>
        <v>556.8452628634161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4095.291589188736</v>
      </c>
      <c r="E33" s="11">
        <f>IF(B33=Title_RESULTS!$H$8,$F$16,+E32*(1+$F$7))</f>
        <v>0.11666878351645714</v>
      </c>
      <c r="F33" s="9">
        <f t="shared" si="1"/>
        <v>4372.750843083254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238.89019593376435</v>
      </c>
      <c r="L33" s="5">
        <f t="shared" si="3"/>
        <v>509.2894385428979</v>
      </c>
      <c r="N33" s="11">
        <f>IF(+B33=Title_RESULTS!$H$9,'Value of Defferal'!$O$16,+'Value of Defferal'!N32*(1+'Value of Defferal'!$F$7))</f>
        <v>0.12233608634455258</v>
      </c>
      <c r="O33" s="5">
        <f t="shared" si="7"/>
        <v>267.46572894729644</v>
      </c>
      <c r="P33" s="48">
        <f t="shared" si="4"/>
        <v>570.2095491721382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3955.008718357811</v>
      </c>
      <c r="E34" s="11">
        <f>IF(B34=Title_RESULTS!$H$8,$F$16,+E33*(1+$F$7))</f>
        <v>0.11946883432085212</v>
      </c>
      <c r="F34" s="9">
        <f t="shared" si="1"/>
        <v>4477.696863317253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230.7070905872683</v>
      </c>
      <c r="L34" s="5">
        <f t="shared" si="3"/>
        <v>491.843895785631</v>
      </c>
      <c r="N34" s="11">
        <f>IF(+B34=Title_RESULTS!$H$9,'Value of Defferal'!$O$16,+'Value of Defferal'!N33*(1+'Value of Defferal'!$F$7))</f>
        <v>0.12527215241682185</v>
      </c>
      <c r="O34" s="5">
        <f t="shared" si="7"/>
        <v>273.8849064420316</v>
      </c>
      <c r="P34" s="48">
        <f t="shared" si="4"/>
        <v>583.8945783522695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3814.7258475268864</v>
      </c>
      <c r="E35" s="11">
        <f>IF(B35=Title_RESULTS!$H$8,$F$16,+E34*(1+$F$7))</f>
        <v>0.12233608634455258</v>
      </c>
      <c r="F35" s="9">
        <f t="shared" si="1"/>
        <v>4585.161588036867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222.5239852407723</v>
      </c>
      <c r="L35" s="5">
        <f t="shared" si="3"/>
        <v>474.39835302836417</v>
      </c>
      <c r="N35" s="11">
        <f>IF(+B35=Title_RESULTS!$H$9,'Value of Defferal'!$O$16,+'Value of Defferal'!N34*(1+'Value of Defferal'!$F$7))</f>
        <v>0.12827868407482557</v>
      </c>
      <c r="O35" s="5">
        <f t="shared" si="7"/>
        <v>280.4581441966403</v>
      </c>
      <c r="P35" s="48">
        <f t="shared" si="4"/>
        <v>597.9080482327239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3674.4429766959624</v>
      </c>
      <c r="E36" s="11">
        <f>IF(B36=Title_RESULTS!$H$8,$F$16,+E35*(1+$F$7))</f>
        <v>0.12527215241682185</v>
      </c>
      <c r="F36" s="9">
        <f t="shared" si="1"/>
        <v>4695.205466149752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214.34087989427633</v>
      </c>
      <c r="L36" s="5">
        <f t="shared" si="3"/>
        <v>456.95281027109735</v>
      </c>
      <c r="N36" s="11">
        <f>IF(+B36=Title_RESULTS!$H$9,'Value of Defferal'!$O$16,+'Value of Defferal'!N35*(1+'Value of Defferal'!$F$7))</f>
        <v>0.1313573724926214</v>
      </c>
      <c r="O36" s="5">
        <f t="shared" si="7"/>
        <v>287.1891396573597</v>
      </c>
      <c r="P36" s="48">
        <f t="shared" si="4"/>
        <v>612.2578413903093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3534.1601058650376</v>
      </c>
      <c r="E37" s="11">
        <f>IF(B37&gt;Title_RESULTS!$H$8-1+Title_RESULTS!$C$18,0,+E36*(1+$F$7))</f>
        <v>0.12827868407482557</v>
      </c>
      <c r="F37" s="9">
        <f t="shared" si="1"/>
        <v>4807.890397337346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206.15777454778026</v>
      </c>
      <c r="L37" s="5">
        <f t="shared" si="3"/>
        <v>439.50726751383047</v>
      </c>
      <c r="N37" s="11">
        <f>IF(+B37=Title_RESULTS!$H$9,'Value of Defferal'!$O$16,+'Value of Defferal'!N36*(1+'Value of Defferal'!$F$7))</f>
        <v>0.1345099494324443</v>
      </c>
      <c r="O37" s="5">
        <f t="shared" si="7"/>
        <v>294.0816790091363</v>
      </c>
      <c r="P37" s="48">
        <f t="shared" si="4"/>
        <v>626.9520295836767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3393.877235034113</v>
      </c>
      <c r="E38" s="11">
        <f>IF(B38&gt;Title_RESULTS!$H$8-1+Title_RESULTS!$C$18,0,+E37*(1+$F$7))</f>
        <v>0.1313573724926214</v>
      </c>
      <c r="F38" s="9">
        <f t="shared" si="1"/>
        <v>4923.279766873443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197.97466920128423</v>
      </c>
      <c r="L38" s="5">
        <f t="shared" si="3"/>
        <v>422.06172475656354</v>
      </c>
      <c r="N38" s="11">
        <f>IF(+B38=Title_RESULTS!$H$9,'Value of Defferal'!$O$16,+'Value of Defferal'!N37*(1+'Value of Defferal'!$F$7))</f>
        <v>0.13773818821882297</v>
      </c>
      <c r="O38" s="5">
        <f t="shared" si="7"/>
        <v>301.1396393053556</v>
      </c>
      <c r="P38" s="48">
        <f t="shared" si="4"/>
        <v>641.998878293685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3253.594364203188</v>
      </c>
      <c r="E39" s="11">
        <f>IF(B39&gt;Title_RESULTS!$H$8-1+Title_RESULTS!$C$18,0,+E38*(1+$F$7))</f>
        <v>0.1345099494324443</v>
      </c>
      <c r="F39" s="9">
        <f t="shared" si="1"/>
        <v>5041.438481278405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189.7915638547882</v>
      </c>
      <c r="L39" s="5">
        <f t="shared" si="3"/>
        <v>404.61618199929666</v>
      </c>
      <c r="N39" s="11">
        <f>IF(+B39&gt;Title_RESULTS!$H$9+Title_RESULTS!$C$19-1,0,+'Value of Defferal'!N38*(1+'Value of Defferal'!$F$7))</f>
        <v>0.14104390473607473</v>
      </c>
      <c r="O39" s="5">
        <f t="shared" si="7"/>
        <v>308.3669906486842</v>
      </c>
      <c r="P39" s="48">
        <f t="shared" si="4"/>
        <v>657.4068513727335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3113.3114933722645</v>
      </c>
      <c r="E40" s="11">
        <f>IF(B40&gt;Title_RESULTS!$H$8-1+Title_RESULTS!$C$18,0,+E39*(1+$F$7))</f>
        <v>0.13773818821882297</v>
      </c>
      <c r="F40" s="9">
        <f t="shared" si="1"/>
        <v>5162.433004829088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181.60845850829224</v>
      </c>
      <c r="L40" s="5">
        <f t="shared" si="3"/>
        <v>387.17063924202995</v>
      </c>
      <c r="N40" s="11">
        <f>IF(+B40&gt;Title_RESULTS!$H$9+Title_RESULTS!$C$19-1,0,+'Value of Defferal'!N39*(1+'Value of Defferal'!$F$7))</f>
        <v>0.14442895844974052</v>
      </c>
      <c r="O40" s="5">
        <f t="shared" si="7"/>
        <v>315.7677984242526</v>
      </c>
      <c r="P40" s="48">
        <f t="shared" si="4"/>
        <v>673.1846158056791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2986.201745428162</v>
      </c>
      <c r="E41" s="11">
        <f>IF(B41&gt;Title_RESULTS!$H$8-1+Title_RESULTS!$C$18,0,+E40*(1+$F$7))</f>
        <v>0.14104390473607473</v>
      </c>
      <c r="F41" s="9">
        <f t="shared" si="1"/>
        <v>5286.3313969449855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174.19377949700524</v>
      </c>
      <c r="L41" s="5">
        <f t="shared" si="3"/>
        <v>371.36330275476286</v>
      </c>
      <c r="N41" s="11">
        <f>IF(+B41&gt;Title_RESULTS!$H$9+Title_RESULTS!$C$19-1,0,+'Value of Defferal'!N40*(1+'Value of Defferal'!$F$7))</f>
        <v>0.1478952534525343</v>
      </c>
      <c r="O41" s="5">
        <f t="shared" si="7"/>
        <v>323.3462255864346</v>
      </c>
      <c r="P41" s="48">
        <f t="shared" si="4"/>
        <v>689.3410465850154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2885.433782328859</v>
      </c>
      <c r="E42" s="11">
        <f>IF(B42&gt;Title_RESULTS!$H$8-1+Title_RESULTS!$C$18,0,+E41*(1+$F$7))</f>
        <v>0.14442895844974052</v>
      </c>
      <c r="F42" s="9">
        <f t="shared" si="1"/>
        <v>5413.203350471665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168.3156929372622</v>
      </c>
      <c r="L42" s="5">
        <f t="shared" si="3"/>
        <v>358.83182404749897</v>
      </c>
      <c r="N42" s="11">
        <f>IF(+B42&gt;Title_RESULTS!$H$9+Title_RESULTS!$C$19-1,0,+'Value of Defferal'!N41*(1+'Value of Defferal'!$F$7))</f>
        <v>0.1514447395353951</v>
      </c>
      <c r="O42" s="5">
        <f t="shared" si="7"/>
        <v>331.10653500050904</v>
      </c>
      <c r="P42" s="48">
        <f t="shared" si="4"/>
        <v>705.8852317030558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2797.8344811875313</v>
      </c>
      <c r="E43" s="11">
        <f>IF(B43&gt;Title_RESULTS!$H$8-1+Title_RESULTS!$C$18,0,+E42*(1+$F$7))</f>
        <v>0.1478952534525343</v>
      </c>
      <c r="F43" s="9">
        <f t="shared" si="1"/>
        <v>5543.120230882985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163.20577249385417</v>
      </c>
      <c r="L43" s="5">
        <f t="shared" si="3"/>
        <v>347.93799685023833</v>
      </c>
      <c r="N43" s="11">
        <f>IF(+B43&gt;Title_RESULTS!$H$9+Title_RESULTS!$C$19-1,0,+'Value of Defferal'!N42*(1+'Value of Defferal'!$F$7))</f>
        <v>0.1550794132842446</v>
      </c>
      <c r="O43" s="5">
        <f t="shared" si="7"/>
        <v>339.0530918405213</v>
      </c>
      <c r="P43" s="48">
        <f t="shared" si="4"/>
        <v>722.8264772639291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2710.2351800462043</v>
      </c>
      <c r="E44" s="11">
        <f>IF(B44&gt;Title_RESULTS!$H$8-1+Title_RESULTS!$C$18,0,+E43*(1+$F$7))</f>
        <v>0.1514447395353951</v>
      </c>
      <c r="F44" s="9">
        <f t="shared" si="1"/>
        <v>5676.155116424176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158.09585205044613</v>
      </c>
      <c r="L44" s="5">
        <f t="shared" si="3"/>
        <v>337.04416965297776</v>
      </c>
      <c r="N44" s="11">
        <f>IF(+B44&gt;Title_RESULTS!$H$9+Title_RESULTS!$C$19-1,0,+'Value of Defferal'!N43*(1+'Value of Defferal'!$F$7))</f>
        <v>0.15880131920306648</v>
      </c>
      <c r="O44" s="5">
        <f t="shared" si="7"/>
        <v>347.1903660446938</v>
      </c>
      <c r="P44" s="48">
        <f t="shared" si="4"/>
        <v>740.1743127182634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2622.6358789048754</v>
      </c>
      <c r="E45" s="11">
        <f>IF(B45&gt;Title_RESULTS!$H$8-1+Title_RESULTS!$C$18,0,+E44*(1+$F$7))</f>
        <v>0.1550794132842446</v>
      </c>
      <c r="F45" s="9">
        <f t="shared" si="1"/>
        <v>5812.382839218357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152.98593160703803</v>
      </c>
      <c r="L45" s="5">
        <f t="shared" si="3"/>
        <v>326.15034245571695</v>
      </c>
      <c r="N45" s="11">
        <f>IF(+B45&gt;Title_RESULTS!$H$9+Title_RESULTS!$C$19-1,0,+'Value of Defferal'!N44*(1+'Value of Defferal'!$F$7))</f>
        <v>0.16261255086394008</v>
      </c>
      <c r="O45" s="5">
        <f t="shared" si="7"/>
        <v>355.5229348297665</v>
      </c>
      <c r="P45" s="48">
        <f t="shared" si="4"/>
        <v>757.9384962235018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2535.036577763548</v>
      </c>
      <c r="E46" s="11">
        <f>IF(B46&gt;Title_RESULTS!$H$8-1+Title_RESULTS!$C$18,0,+E45*(1+$F$7))</f>
        <v>0.15880131920306648</v>
      </c>
      <c r="F46" s="9">
        <f t="shared" si="1"/>
        <v>5951.880027359598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147.87601116362995</v>
      </c>
      <c r="L46" s="5">
        <f t="shared" si="3"/>
        <v>315.2565152584563</v>
      </c>
      <c r="N46" s="11">
        <f>IF(+B46&gt;Title_RESULTS!$H$9+Title_RESULTS!$C$19-1,0,+'Value of Defferal'!N45*(1+'Value of Defferal'!$F$7))</f>
        <v>0.16651525208467466</v>
      </c>
      <c r="O46" s="5">
        <f t="shared" si="7"/>
        <v>364.0554852656809</v>
      </c>
      <c r="P46" s="48">
        <f t="shared" si="4"/>
        <v>776.1290201328659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2447.437276622221</v>
      </c>
      <c r="E47" s="11">
        <f>IF(B47&gt;Title_RESULTS!$H$8-1+Title_RESULTS!$C$18,0,+E46*(1+$F$7))</f>
        <v>0.16261255086394008</v>
      </c>
      <c r="F47" s="9">
        <f t="shared" si="1"/>
        <v>6094.725148016229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142.76609072022194</v>
      </c>
      <c r="L47" s="5">
        <f t="shared" si="3"/>
        <v>304.36268806119574</v>
      </c>
      <c r="N47" s="11">
        <f>IF(+B47&gt;Title_RESULTS!$H$9+Title_RESULTS!$C$19-1,0,+'Value of Defferal'!N46*(1+'Value of Defferal'!$F$7))</f>
        <v>0.17051161813470686</v>
      </c>
      <c r="O47" s="5">
        <f t="shared" si="7"/>
        <v>372.7928169120573</v>
      </c>
      <c r="P47" s="48">
        <f t="shared" si="4"/>
        <v>794.7561166160547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2359.837975480893</v>
      </c>
      <c r="E48" s="11">
        <f>IF(B48&gt;Title_RESULTS!$H$8-1+Title_RESULTS!$C$18,0,+E47*(1+$F$7))</f>
        <v>0.16651525208467466</v>
      </c>
      <c r="F48" s="9">
        <f t="shared" si="1"/>
        <v>6240.9985515686185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137.6561702768139</v>
      </c>
      <c r="L48" s="5">
        <f t="shared" si="3"/>
        <v>293.4688608639351</v>
      </c>
      <c r="N48" s="11">
        <f>IF(+B48&gt;Title_RESULTS!$H$9+Title_RESULTS!$C$19-1,0,+'Value of Defferal'!N47*(1+'Value of Defferal'!$F$7))</f>
        <v>0.17460389696993983</v>
      </c>
      <c r="O48" s="5">
        <f t="shared" si="7"/>
        <v>381.73984451794666</v>
      </c>
      <c r="P48" s="48">
        <f t="shared" si="4"/>
        <v>813.83026341484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2272.2386743395646</v>
      </c>
      <c r="E49" s="11">
        <f>IF(B49&gt;Title_RESULTS!$H$8-1+Title_RESULTS!$C$18,0,+E48*(1+$F$7))</f>
        <v>0.17051161813470686</v>
      </c>
      <c r="F49" s="9">
        <f t="shared" si="1"/>
        <v>6390.782516806265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132.54624983340577</v>
      </c>
      <c r="L49" s="5">
        <f t="shared" si="3"/>
        <v>282.5750336666744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2184.639373198237</v>
      </c>
      <c r="E50" s="11">
        <f>IF(B50&gt;Title_RESULTS!$H$8-1+Title_RESULTS!$C$18,0,+E49*(1+$F$7))</f>
        <v>0.17460389696993983</v>
      </c>
      <c r="F50" s="9">
        <f t="shared" si="1"/>
        <v>6544.161297209616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127.43632938999772</v>
      </c>
      <c r="L50" s="5">
        <f t="shared" si="3"/>
        <v>271.6812064694138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2097.0400720569096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122.32640894658968</v>
      </c>
      <c r="L51" s="5">
        <f t="shared" si="3"/>
        <v>260.78737927215315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89543.94749091542</v>
      </c>
      <c r="F63" s="9">
        <f>SUM(F23:F61)</f>
        <v>124889.88058821285</v>
      </c>
      <c r="J63" t="s">
        <v>87</v>
      </c>
      <c r="K63" s="9">
        <f>SUM(K23:K61)</f>
        <v>5223.35728602539</v>
      </c>
      <c r="O63" s="9">
        <f>SUM(O23:O61)</f>
        <v>7285.187731839336</v>
      </c>
    </row>
    <row r="64" spans="3:15" ht="12.75">
      <c r="C64" t="s">
        <v>89</v>
      </c>
      <c r="D64" s="9">
        <f>NPV(+Title_RESULTS!$C$37,'Value of Defferal'!D24:D61)+'Value of Defferal'!D23</f>
        <v>39981.914107238306</v>
      </c>
      <c r="F64" s="9">
        <f>NPV(+Title_RESULTS!$C$37,'Value of Defferal'!F24:F61)+'Value of Defferal'!F23</f>
        <v>46439.74649302665</v>
      </c>
      <c r="J64" t="s">
        <v>89</v>
      </c>
      <c r="K64" s="9">
        <f>NPV(+Title_RESULTS!$C$37,'Value of Defferal'!K24:K61)+'Value of Defferal'!K23</f>
        <v>2332.260618535634</v>
      </c>
      <c r="O64" s="9">
        <f>NPV(+Title_RESULTS!$C$37,'Value of Defferal'!O24:O61)+'Value of Defferal'!O23</f>
        <v>3106.1331068413906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20.45824595022569</v>
      </c>
      <c r="C25" t="s">
        <v>372</v>
      </c>
    </row>
    <row r="26" spans="2:3" ht="18">
      <c r="B26" s="15">
        <f>+((Input!$C$6*'EUE_Line Losses'!C4)+(Input!$C$7*'EUE_Line Losses'!C3))/'EUE_Line Losses'!C22</f>
        <v>20.39225160845077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17.93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18.42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136762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13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27987.8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10388.69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Compressed Air Controls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43599.32253125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18.42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20.39225160845077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144263.7130801688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136762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13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27987.8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10388.69</v>
      </c>
      <c r="D39" s="13" t="s">
        <v>189</v>
      </c>
      <c r="G39" s="20" t="s">
        <v>346</v>
      </c>
      <c r="H39" s="79">
        <f>+'Sheet7(F_23)'!H34</f>
        <v>2.078330253622055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+'Sheet8(F_24)'!K32</f>
        <v>168672.43170742458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+'Sheet9(F_25)'!J34</f>
        <v>1.1101505239673506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2019-05-14T11:44:28Z</dcterms:created>
  <dcterms:modified xsi:type="dcterms:W3CDTF">2019-05-14T11:44:36Z</dcterms:modified>
  <cp:category/>
  <cp:version/>
  <cp:contentType/>
  <cp:contentStatus/>
</cp:coreProperties>
</file>