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<sst xmlns="http://schemas.openxmlformats.org/spreadsheetml/2006/main" count="1258" uniqueCount="468">
  <si>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</si>
  <si>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</si>
  <si>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</si>
  <si>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</si>
  <si>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</si>
  <si>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</si>
  <si>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</si>
  <si>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</si>
  <si>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</si>
  <si>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</si>
  <si>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</si>
  <si>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</si>
  <si>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</si>
  <si>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</si>
  <si>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</si>
  <si>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</si>
  <si>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</si>
  <si>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</si>
  <si>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</si>
  <si>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</si>
  <si>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</si>
  <si>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</si>
  <si>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</si>
  <si>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</si>
  <si>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</si>
  <si>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</si>
  <si>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</si>
  <si>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</si>
  <si>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</si>
  <si>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</si>
  <si>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</si>
  <si>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</si>
  <si>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</si>
  <si>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</si>
  <si>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</si>
  <si>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</si>
  <si>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</si>
  <si>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</si>
  <si>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</si>
  <si>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</si>
  <si>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</si>
  <si>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</si>
  <si>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</si>
  <si>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</si>
  <si>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</si>
  <si>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</si>
  <si>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</si>
  <si>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</si>
  <si>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</si>
  <si>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</si>
  <si>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</si>
  <si>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</si>
  <si>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</si>
  <si>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</si>
  <si>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</si>
  <si>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</si>
  <si>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</si>
  <si>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</si>
  <si>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</si>
  <si>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</si>
  <si>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</si>
  <si>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</si>
  <si>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</si>
  <si>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</si>
  <si>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</si>
  <si>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</si>
  <si>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</si>
  <si>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</si>
  <si>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</si>
  <si>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</si>
  <si>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</si>
  <si>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</si>
  <si>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</si>
  <si>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</si>
  <si>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</si>
  <si>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</si>
  <si>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</si>
  <si>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</si>
  <si>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</si>
  <si>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</si>
  <si>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</si>
  <si>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</si>
  <si>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</si>
  <si>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</si>
  <si>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</si>
  <si>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</si>
  <si>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</si>
  <si>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</si>
  <si>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</si>
  <si>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</si>
  <si>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</si>
  <si>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</si>
  <si>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</si>
  <si>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</si>
  <si>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</si>
  <si>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</si>
  <si>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</si>
  <si>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</si>
  <si>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</si>
  <si>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</si>
  <si>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</si>
  <si>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</si>
  <si>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</si>
  <si>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</si>
  <si>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</si>
  <si>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</si>
  <si>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</si>
  <si>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</si>
  <si>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</si>
  <si>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</si>
  <si>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</si>
  <si>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</si>
  <si>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</si>
  <si>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</si>
  <si>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</si>
  <si>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</si>
  <si>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</si>
  <si>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</si>
  <si>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</si>
  <si>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</si>
  <si>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</si>
  <si>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</si>
  <si>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</si>
  <si>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</si>
  <si>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</si>
  <si>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</si>
  <si>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</si>
  <si>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</si>
  <si>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</si>
  <si>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</si>
  <si>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</si>
  <si>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</si>
  <si>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</si>
  <si>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</si>
  <si>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</si>
  <si>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</si>
  <si>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</si>
  <si>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</si>
  <si>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</si>
  <si>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</si>
  <si>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</si>
  <si>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</si>
  <si>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</si>
  <si>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</si>
  <si>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</si>
  <si>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</si>
  <si>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</si>
  <si>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</si>
  <si>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</si>
  <si>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</si>
  <si>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</si>
  <si>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</si>
  <si>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</si>
  <si>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</si>
  <si>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</si>
  <si>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</si>
  <si>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</si>
  <si>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</si>
  <si>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</si>
  <si>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</si>
  <si>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</si>
  <si>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</si>
  <si>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</si>
  <si>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</si>
  <si>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</si>
  <si>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</si>
  <si>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</si>
  <si>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</si>
  <si>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</si>
  <si>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</si>
  <si>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</si>
  <si>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</si>
  <si>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</si>
  <si>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</si>
  <si>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</si>
  <si>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</si>
  <si>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</si>
  <si>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</si>
  <si>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</si>
  <si>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</si>
  <si>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</si>
  <si>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</si>
  <si>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</si>
  <si>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</si>
  <si>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</si>
  <si>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</si>
  <si>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</si>
  <si>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</si>
  <si>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</si>
  <si>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</si>
  <si>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</si>
  <si>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</si>
  <si>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</si>
  <si>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</si>
  <si>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</si>
  <si>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</si>
  <si>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</si>
  <si>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</si>
  <si>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</si>
  <si>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</si>
  <si>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</si>
  <si>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</si>
  <si>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</si>
  <si>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</si>
  <si>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</si>
  <si>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</si>
  <si>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</si>
  <si>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</si>
  <si>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</si>
  <si>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</si>
  <si>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</si>
  <si>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</si>
  <si>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</si>
  <si>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</si>
  <si>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</si>
  <si>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</si>
  <si>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</si>
  <si>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</si>
  <si>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</si>
  <si>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</si>
  <si>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</si>
  <si>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</si>
  <si>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</si>
  <si>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</si>
  <si>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</si>
  <si>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</si>
  <si>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</si>
  <si>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</si>
  <si>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</si>
  <si>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</si>
  <si>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</si>
  <si>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</si>
  <si>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</si>
  <si>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</si>
  <si>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</si>
  <si>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</si>
  <si>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</si>
  <si>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</si>
  <si>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</si>
  <si>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</si>
  <si>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</si>
  <si>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</si>
  <si>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</si>
  <si>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</si>
  <si>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</si>
  <si>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</si>
  <si>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</si>
  <si>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</si>
  <si>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</si>
  <si>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</si>
  <si>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</si>
  <si>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</si>
  <si>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</si>
  <si>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</si>
  <si>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</si>
  <si>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</si>
  <si>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</si>
  <si>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</si>
  <si>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</si>
  <si>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</si>
  <si>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</si>
  <si>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</si>
  <si>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</si>
  <si>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</si>
  <si>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</si>
  <si>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</si>
  <si>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</si>
  <si>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</si>
  <si>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</si>
  <si>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</si>
  <si>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</si>
  <si>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</si>
  <si>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</si>
  <si>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</si>
  <si>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</si>
  <si>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</si>
  <si>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</si>
  <si>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</si>
  <si>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</si>
  <si>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</si>
  <si>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</si>
  <si>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</si>
  <si>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</si>
  <si>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</si>
  <si>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</si>
  <si>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</si>
  <si>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</si>
  <si>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</si>
  <si>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</si>
  <si>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</si>
  <si>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</si>
  <si>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</si>
  <si>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</si>
  <si>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</si>
  <si>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</si>
  <si>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</si>
  <si>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</si>
  <si>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</si>
  <si>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</si>
  <si>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</si>
  <si>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</si>
  <si>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</si>
  <si>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</si>
  <si>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</si>
  <si>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</si>
  <si>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</si>
  <si>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</si>
  <si>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</si>
  <si>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</si>
  <si>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</si>
  <si>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</si>
  <si>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</si>
  <si>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</si>
  <si>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</si>
  <si>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</si>
  <si>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</si>
  <si>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</si>
  <si>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</si>
  <si>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</si>
  <si>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</si>
  <si>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</si>
  <si>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</si>
  <si>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</si>
  <si>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</si>
  <si>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</si>
  <si>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</si>
  <si>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</si>
  <si>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</si>
  <si>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</si>
  <si>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</si>
  <si>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</si>
  <si>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</si>
  <si>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</si>
  <si>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</si>
  <si>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</si>
  <si>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</si>
  <si>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</si>
  <si>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</si>
  <si>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</si>
  <si>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</si>
  <si>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</si>
  <si>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</si>
  <si>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</si>
  <si>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</si>
  <si>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</si>
  <si>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</si>
  <si>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</si>
  <si>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</si>
  <si>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</si>
  <si>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</si>
  <si>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</si>
  <si>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</si>
  <si>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</si>
  <si>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</si>
  <si>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</si>
  <si>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</si>
  <si>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</si>
  <si>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</si>
  <si>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</si>
  <si>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</si>
  <si>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</si>
  <si>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</si>
  <si>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</si>
  <si>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</si>
  <si>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</si>
  <si>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</si>
  <si>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</si>
  <si>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</si>
  <si>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</si>
  <si>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</si>
  <si>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</si>
  <si>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</si>
  <si>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</si>
  <si>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</si>
  <si>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</si>
  <si>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</si>
  <si>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</si>
  <si>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</si>
  <si>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</si>
  <si>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</si>
  <si>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</si>
  <si>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</si>
  <si>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</si>
  <si>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</si>
  <si>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</si>
  <si>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</si>
  <si>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</si>
  <si>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</si>
  <si>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</si>
  <si>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</si>
  <si>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</si>
  <si>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</si>
  <si>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</si>
  <si>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</si>
  <si>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</si>
  <si>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</si>
  <si>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</si>
  <si>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</si>
  <si>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</si>
  <si>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</si>
  <si>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</si>
  <si>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</si>
  <si>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</si>
  <si>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</si>
  <si>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</si>
  <si>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</si>
  <si>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</si>
  <si>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</si>
  <si>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</si>
  <si>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</si>
  <si>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</si>
  <si>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</si>
  <si>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</si>
  <si>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</si>
  <si>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</si>
  <si>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</si>
  <si>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</si>
  <si>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</si>
  <si>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</si>
  <si>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</si>
  <si>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</si>
  <si>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</si>
  <si>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</si>
  <si>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</si>
  <si>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</si>
  <si>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</si>
  <si>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</si>
  <si>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</si>
  <si>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</si>
  <si>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</si>
  <si>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</si>
  <si>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</si>
  <si>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</si>
  <si>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</si>
  <si>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</si>
  <si>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</si>
  <si>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</si>
  <si>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</si>
  <si>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</si>
  <si>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</si>
  <si>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</si>
  <si>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</si>
  <si>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</si>
  <si>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</si>
  <si>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</si>
  <si>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</si>
  <si>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</si>
  <si>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</si>
  <si>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</si>
  <si>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</si>
  <si>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</si>
  <si>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</si>
  <si>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</si>
  <si>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</si>
  <si>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</si>
  <si>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</si>
  <si>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</si>
  <si>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</si>
  <si>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</si>
  <si>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</si>
  <si>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</si>
  <si>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</si>
  <si>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</si>
  <si>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</si>
  <si>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</si>
  <si>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</si>
  <si>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</si>
  <si>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Pump Equipment Upgrade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</si>
</sst>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43599.326368981485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4521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43599.326368981485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Pump Equipment Upgrade</v>
      </c>
      <c r="J2" t="s">
        <v>55</v>
      </c>
    </row>
    <row r="3" ht="12.75">
      <c r="J3" s="35">
        <f>+Title_RESULTS!I4</f>
        <v>43599.326368981485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4521</v>
      </c>
      <c r="H5" t="s">
        <v>59</v>
      </c>
    </row>
    <row r="6" spans="3:7" ht="12.75">
      <c r="C6" t="s">
        <v>61</v>
      </c>
      <c r="G6" s="36">
        <f>+'Value of Defferal'!E3</f>
        <v>2769.787132956152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273.7167448343927</v>
      </c>
      <c r="D19" s="5">
        <f>IF((Title_RESULTS!$H$8-Title_RESULTS!$H$7)&lt;=('Sheet3(F_21)'!A19-Title_RESULTS!$H$7),((Title_RESULTS!$C$8*Partcipation!$C$26*8760*Title_RESULTS!$H$21/100000)),0)</f>
        <v>3604.009180925666</v>
      </c>
      <c r="E19" s="5">
        <f>IF($G19=0,0,((Title_RESULTS!$H$14*((1+Title_RESULTS!$H$15/100)^($A19-Title_RESULTS!$H$7))*'EUE_Line Losses'!$B$25*Partcipation!$C$26))/1000)</f>
        <v>28.393048823772364</v>
      </c>
      <c r="F19" s="5">
        <f>IF($G19=0,0,(Title_RESULTS!$H$19/100*((1+Title_RESULTS!$H$20/100)^($A19-Title_RESULTS!$H$7))*$D19*1000)/1000)</f>
        <v>8.126528322443727</v>
      </c>
      <c r="G19" s="5">
        <f>(+Title_RESULTS!$H$22/100*((1+Title_RESULTS!$H$23/100)^(+'Sheet4(F_22)'!A19-Title_RESULTS!$H$7)))*'Sheet3(F_21)'!D19</f>
        <v>154.4061675455246</v>
      </c>
      <c r="H19" s="5">
        <f>IF($G19=0,0,(($D19))*(Partcipation!$G19/100))</f>
        <v>114.34178918495591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350.3007003411775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280.2859467104181</v>
      </c>
      <c r="D20" s="5">
        <f>IF((Title_RESULTS!$H$8-Title_RESULTS!$H$7)&lt;=('Sheet3(F_21)'!A20-Title_RESULTS!$H$7),((Title_RESULTS!$C$8*Partcipation!$C$26*8760*Title_RESULTS!$H$21/100000)),0)</f>
        <v>3604.009180925666</v>
      </c>
      <c r="E20" s="5">
        <f>IF($G20=0,0,((Title_RESULTS!$H$14*((1+Title_RESULTS!$H$15/100)^($A20-Title_RESULTS!$H$7))*'EUE_Line Losses'!$B$25*Partcipation!$C$26))/1000)</f>
        <v>29.0744819955429</v>
      </c>
      <c r="F20" s="5">
        <f>IF($G20=0,0,(Title_RESULTS!$H$19/100*((1+Title_RESULTS!$H$20/100)^($A20-Title_RESULTS!$H$7))*$D20*1000)/1000)</f>
        <v>8.321565002182377</v>
      </c>
      <c r="G20" s="5">
        <f>(+Title_RESULTS!$H$22/100*((1+Title_RESULTS!$H$23/100)^(+'Sheet4(F_22)'!A20-Title_RESULTS!$H$7)))*'Sheet3(F_21)'!D20</f>
        <v>161.41620755209144</v>
      </c>
      <c r="H20" s="5">
        <f>IF($G20=0,0,(($D20))*(Partcipation!$G20/100))</f>
        <v>119.45680083082941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359.6414004294054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287.01280943146816</v>
      </c>
      <c r="D21" s="5">
        <f>IF((Title_RESULTS!$H$8-Title_RESULTS!$H$7)&lt;=('Sheet3(F_21)'!A21-Title_RESULTS!$H$7),((Title_RESULTS!$C$8*Partcipation!$C$26*8760*Title_RESULTS!$H$21/100000)),0)</f>
        <v>3604.009180925666</v>
      </c>
      <c r="E21" s="5">
        <f>IF($G21=0,0,((Title_RESULTS!$H$14*((1+Title_RESULTS!$H$15/100)^($A21-Title_RESULTS!$H$7))*'EUE_Line Losses'!$B$25*Partcipation!$C$26))/1000)</f>
        <v>29.77226956343593</v>
      </c>
      <c r="F21" s="5">
        <f>IF($G21=0,0,(Title_RESULTS!$H$19/100*((1+Title_RESULTS!$H$20/100)^($A21-Title_RESULTS!$H$7))*$D21*1000)/1000)</f>
        <v>8.521282562234754</v>
      </c>
      <c r="G21" s="5">
        <f>(+Title_RESULTS!$H$22/100*((1+Title_RESULTS!$H$23/100)^(+'Sheet4(F_22)'!A21-Title_RESULTS!$H$7)))*'Sheet3(F_21)'!D21</f>
        <v>168.7445033749564</v>
      </c>
      <c r="H21" s="5">
        <f>IF($G21=0,0,(($D21))*(Partcipation!$G21/100))</f>
        <v>124.19067236221082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369.8601925698845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293.9011168578234</v>
      </c>
      <c r="D22" s="5">
        <f>IF((Title_RESULTS!$H$8-Title_RESULTS!$H$7)&lt;=('Sheet3(F_21)'!A22-Title_RESULTS!$H$7),((Title_RESULTS!$C$8*Partcipation!$C$26*8760*Title_RESULTS!$H$21/100000)),0)</f>
        <v>3604.009180925666</v>
      </c>
      <c r="E22" s="5">
        <f>IF($G22=0,0,((Title_RESULTS!$H$14*((1+Title_RESULTS!$H$15/100)^($A22-Title_RESULTS!$H$7))*'EUE_Line Losses'!$B$25*Partcipation!$C$26))/1000)</f>
        <v>30.486804032958386</v>
      </c>
      <c r="F22" s="5">
        <f>IF($G22=0,0,(Title_RESULTS!$H$19/100*((1+Title_RESULTS!$H$20/100)^($A22-Title_RESULTS!$H$7))*$D22*1000)/1000)</f>
        <v>8.725793343728387</v>
      </c>
      <c r="G22" s="5">
        <f>(+Title_RESULTS!$H$22/100*((1+Title_RESULTS!$H$23/100)^(+'Sheet4(F_22)'!A22-Title_RESULTS!$H$7)))*'Sheet3(F_21)'!D22</f>
        <v>176.40550382817943</v>
      </c>
      <c r="H22" s="5">
        <f>IF($G22=0,0,(($D22))*(Partcipation!$G22/100))</f>
        <v>128.2144945367081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381.30472352598156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300.95474366241115</v>
      </c>
      <c r="D23" s="5">
        <f>IF((Title_RESULTS!$H$8-Title_RESULTS!$H$7)&lt;=('Sheet3(F_21)'!A23-Title_RESULTS!$H$7),((Title_RESULTS!$C$8*Partcipation!$C$26*8760*Title_RESULTS!$H$21/100000)),0)</f>
        <v>3604.009180925666</v>
      </c>
      <c r="E23" s="5">
        <f>IF($G23=0,0,((Title_RESULTS!$H$14*((1+Title_RESULTS!$H$15/100)^($A23-Title_RESULTS!$H$7))*'EUE_Line Losses'!$B$25*Partcipation!$C$26))/1000)</f>
        <v>31.218487329749394</v>
      </c>
      <c r="F23" s="5">
        <f>IF($G23=0,0,(Title_RESULTS!$H$19/100*((1+Title_RESULTS!$H$20/100)^($A23-Title_RESULTS!$H$7))*$D23*1000)/1000)</f>
        <v>8.93521238397787</v>
      </c>
      <c r="G23" s="5">
        <f>(+Title_RESULTS!$H$22/100*((1+Title_RESULTS!$H$23/100)^(+'Sheet4(F_22)'!A23-Title_RESULTS!$H$7)))*'Sheet3(F_21)'!D23</f>
        <v>184.4143137019788</v>
      </c>
      <c r="H23" s="5">
        <f>IF($G23=0,0,(($D23))*(Partcipation!$G23/100))</f>
        <v>133.95333286101297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391.56942421710414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308.177657510309</v>
      </c>
      <c r="D24" s="5">
        <f>IF((Title_RESULTS!$H$8-Title_RESULTS!$H$7)&lt;=('Sheet3(F_21)'!A24-Title_RESULTS!$H$7),((Title_RESULTS!$C$8*Partcipation!$C$26*8760*Title_RESULTS!$H$21/100000)),0)</f>
        <v>3604.009180925666</v>
      </c>
      <c r="E24" s="5">
        <f>IF($G24=0,0,((Title_RESULTS!$H$14*((1+Title_RESULTS!$H$15/100)^($A24-Title_RESULTS!$H$7))*'EUE_Line Losses'!$B$25*Partcipation!$C$26))/1000)</f>
        <v>31.967731025663376</v>
      </c>
      <c r="F24" s="5">
        <f>IF($G24=0,0,(Title_RESULTS!$H$19/100*((1+Title_RESULTS!$H$20/100)^($A24-Title_RESULTS!$H$7))*$D24*1000)/1000)</f>
        <v>9.149657481193339</v>
      </c>
      <c r="G24" s="5">
        <f>(+Title_RESULTS!$H$22/100*((1+Title_RESULTS!$H$23/100)^(+'Sheet4(F_22)'!A24-Title_RESULTS!$H$7)))*'Sheet3(F_21)'!D24</f>
        <v>192.78672354404867</v>
      </c>
      <c r="H24" s="5">
        <f>IF($G24=0,0,(($D24))*(Partcipation!$G24/100))</f>
        <v>144.16920209356232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397.9125674676521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315.5739212905564</v>
      </c>
      <c r="D25" s="5">
        <f>IF((Title_RESULTS!$H$8-Title_RESULTS!$H$7)&lt;=('Sheet3(F_21)'!A25-Title_RESULTS!$H$7),((Title_RESULTS!$C$8*Partcipation!$C$26*8760*Title_RESULTS!$H$21/100000)),0)</f>
        <v>3604.009180925666</v>
      </c>
      <c r="E25" s="5">
        <f>IF($G25=0,0,((Title_RESULTS!$H$14*((1+Title_RESULTS!$H$15/100)^($A25-Title_RESULTS!$H$7))*'EUE_Line Losses'!$B$25*Partcipation!$C$26))/1000)</f>
        <v>32.734956570279294</v>
      </c>
      <c r="F25" s="5">
        <f>IF($G25=0,0,(Title_RESULTS!$H$19/100*((1+Title_RESULTS!$H$20/100)^($A25-Title_RESULTS!$H$7))*$D25*1000)/1000)</f>
        <v>9.369249260741977</v>
      </c>
      <c r="G25" s="5">
        <f>(+Title_RESULTS!$H$22/100*((1+Title_RESULTS!$H$23/100)^(+'Sheet4(F_22)'!A25-Title_RESULTS!$H$7)))*'Sheet3(F_21)'!D25</f>
        <v>201.5392407929485</v>
      </c>
      <c r="H25" s="5">
        <f>IF($G25=0,0,(($D25))*(Partcipation!$G25/100))</f>
        <v>150.49616174892986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408.72120616559636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323.1476954015298</v>
      </c>
      <c r="D26" s="5">
        <f>IF((Title_RESULTS!$H$8-Title_RESULTS!$H$7)&lt;=('Sheet3(F_21)'!A26-Title_RESULTS!$H$7),((Title_RESULTS!$C$8*Partcipation!$C$26*8760*Title_RESULTS!$H$21/100000)),0)</f>
        <v>3604.009180925666</v>
      </c>
      <c r="E26" s="5">
        <f>IF($G26=0,0,((Title_RESULTS!$H$14*((1+Title_RESULTS!$H$15/100)^($A26-Title_RESULTS!$H$7))*'EUE_Line Losses'!$B$25*Partcipation!$C$26))/1000)</f>
        <v>33.520595527965995</v>
      </c>
      <c r="F26" s="5">
        <f>IF($G26=0,0,(Title_RESULTS!$H$19/100*((1+Title_RESULTS!$H$20/100)^($A26-Title_RESULTS!$H$7))*$D26*1000)/1000)</f>
        <v>9.594111242999785</v>
      </c>
      <c r="G26" s="5">
        <f>(+Title_RESULTS!$H$22/100*((1+Title_RESULTS!$H$23/100)^(+'Sheet4(F_22)'!A26-Title_RESULTS!$H$7)))*'Sheet3(F_21)'!D26</f>
        <v>210.68912232494839</v>
      </c>
      <c r="H26" s="5">
        <f>IF($G26=0,0,(($D26))*(Partcipation!$G26/100))</f>
        <v>161.68598882061576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415.2655356768282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330.90324009116654</v>
      </c>
      <c r="D27" s="5">
        <f>IF((Title_RESULTS!$H$8-Title_RESULTS!$H$7)&lt;=('Sheet3(F_21)'!A27-Title_RESULTS!$H$7),((Title_RESULTS!$C$8*Partcipation!$C$26*8760*Title_RESULTS!$H$21/100000)),0)</f>
        <v>3604.009180925666</v>
      </c>
      <c r="E27" s="5">
        <f>IF($G27=0,0,((Title_RESULTS!$H$14*((1+Title_RESULTS!$H$15/100)^($A27-Title_RESULTS!$H$7))*'EUE_Line Losses'!$B$25*Partcipation!$C$26))/1000)</f>
        <v>34.32508982063719</v>
      </c>
      <c r="F27" s="5">
        <f>IF($G27=0,0,(Title_RESULTS!$H$19/100*((1+Title_RESULTS!$H$20/100)^($A27-Title_RESULTS!$H$7))*$D27*1000)/1000)</f>
        <v>9.82436991283178</v>
      </c>
      <c r="G27" s="5">
        <f>(+Title_RESULTS!$H$22/100*((1+Title_RESULTS!$H$23/100)^(+'Sheet4(F_22)'!A27-Title_RESULTS!$H$7)))*'Sheet3(F_21)'!D27</f>
        <v>220.25440847850106</v>
      </c>
      <c r="H27" s="5">
        <f>IF($G27=0,0,(($D27))*(Partcipation!$G27/100))</f>
        <v>165.7066434696187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429.6004648335179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338.84491785335456</v>
      </c>
      <c r="D28" s="5">
        <f>IF((Title_RESULTS!$H$8-Title_RESULTS!$H$7)&lt;=('Sheet3(F_21)'!A28-Title_RESULTS!$H$7),((Title_RESULTS!$C$8*Partcipation!$C$26*8760*Title_RESULTS!$H$21/100000)),0)</f>
        <v>3604.009180925666</v>
      </c>
      <c r="E28" s="5">
        <f>IF($G28=0,0,((Title_RESULTS!$H$14*((1+Title_RESULTS!$H$15/100)^($A28-Title_RESULTS!$H$7))*'EUE_Line Losses'!$B$25*Partcipation!$C$26))/1000)</f>
        <v>35.14889197633248</v>
      </c>
      <c r="F28" s="5">
        <f>IF($G28=0,0,(Title_RESULTS!$H$19/100*((1+Title_RESULTS!$H$20/100)^($A28-Title_RESULTS!$H$7))*$D28*1000)/1000)</f>
        <v>10.060154790739743</v>
      </c>
      <c r="G28" s="5">
        <f>(+Title_RESULTS!$H$22/100*((1+Title_RESULTS!$H$23/100)^(+'Sheet4(F_22)'!A28-Title_RESULTS!$H$7)))*'Sheet3(F_21)'!D28</f>
        <v>230.253958623425</v>
      </c>
      <c r="H28" s="5">
        <f>IF($G28=0,0,(($D28))*(Partcipation!$G28/100))</f>
        <v>175.65068447697075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438.657238766881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346.9771958818351</v>
      </c>
      <c r="D29" s="5">
        <f>IF((Title_RESULTS!$H$8-Title_RESULTS!$H$7)&lt;=('Sheet3(F_21)'!A29-Title_RESULTS!$H$7),((Title_RESULTS!$C$8*Partcipation!$C$26*8760*Title_RESULTS!$H$21/100000)),0)</f>
        <v>3604.009180925666</v>
      </c>
      <c r="E29" s="5">
        <f>IF($G29=0,0,((Title_RESULTS!$H$14*((1+Title_RESULTS!$H$15/100)^($A29-Title_RESULTS!$H$7))*'EUE_Line Losses'!$B$25*Partcipation!$C$26))/1000)</f>
        <v>35.99246538376446</v>
      </c>
      <c r="F29" s="5">
        <f>IF($G29=0,0,(Title_RESULTS!$H$19/100*((1+Title_RESULTS!$H$20/100)^($A29-Title_RESULTS!$H$7))*$D29*1000)/1000)</f>
        <v>10.301598505717497</v>
      </c>
      <c r="G29" s="5">
        <f>(+Title_RESULTS!$H$22/100*((1+Title_RESULTS!$H$23/100)^(+'Sheet4(F_22)'!A29-Title_RESULTS!$H$7)))*'Sheet3(F_21)'!D29</f>
        <v>240.70748834492852</v>
      </c>
      <c r="H29" s="5">
        <f>IF($G29=0,0,(($D29))*(Partcipation!$G29/100))</f>
        <v>179.65683023288338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454.3219178833622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355.3046485829991</v>
      </c>
      <c r="D30" s="5">
        <f>IF((Title_RESULTS!$H$8-Title_RESULTS!$H$7)&lt;=('Sheet3(F_21)'!A30-Title_RESULTS!$H$7),((Title_RESULTS!$C$8*Partcipation!$C$26*8760*Title_RESULTS!$H$21/100000)),0)</f>
        <v>3604.009180925666</v>
      </c>
      <c r="E30" s="5">
        <f>IF($G30=0,0,((Title_RESULTS!$H$14*((1+Title_RESULTS!$H$15/100)^($A30-Title_RESULTS!$H$7))*'EUE_Line Losses'!$B$25*Partcipation!$C$26))/1000)</f>
        <v>36.8562845529748</v>
      </c>
      <c r="F30" s="5">
        <f>IF($G30=0,0,(Title_RESULTS!$H$19/100*((1+Title_RESULTS!$H$20/100)^($A30-Title_RESULTS!$H$7))*$D30*1000)/1000)</f>
        <v>10.548836869854716</v>
      </c>
      <c r="G30" s="5">
        <f>(+Title_RESULTS!$H$22/100*((1+Title_RESULTS!$H$23/100)^(+'Sheet4(F_22)'!A30-Title_RESULTS!$H$7)))*'Sheet3(F_21)'!D30</f>
        <v>251.63560831578832</v>
      </c>
      <c r="H30" s="5">
        <f>IF($G30=0,0,(($D30))*(Partcipation!$G30/100))</f>
        <v>191.24956413599793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463.095814185619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3754.800638108264</v>
      </c>
      <c r="D32" s="9">
        <f t="shared" si="1"/>
        <v>43248.11017110798</v>
      </c>
      <c r="E32" s="9">
        <f t="shared" si="1"/>
        <v>389.49110660307656</v>
      </c>
      <c r="F32" s="9">
        <f t="shared" si="1"/>
        <v>111.47835967864594</v>
      </c>
      <c r="G32" s="9">
        <f t="shared" si="1"/>
        <v>2393.253246427319</v>
      </c>
      <c r="H32" s="9">
        <f t="shared" si="1"/>
        <v>1788.7721647542958</v>
      </c>
      <c r="I32" s="9">
        <f t="shared" si="1"/>
        <v>0</v>
      </c>
      <c r="J32" s="9">
        <f t="shared" si="1"/>
        <v>4860.25118606301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2117.224206153449</v>
      </c>
      <c r="D34" s="5"/>
      <c r="E34" s="5">
        <f>NPV(Title_RESULTS!$C$37,E17:E31)+'Sheet3(F_21)'!E16</f>
        <v>219.62284511515247</v>
      </c>
      <c r="F34" s="5">
        <f>NPV(Title_RESULTS!$C$37,F17:F31)+'Sheet3(F_21)'!F16</f>
        <v>62.85944430136862</v>
      </c>
      <c r="G34" s="5">
        <f>NPV(Title_RESULTS!$C$37,G17:G31)+'Sheet3(F_21)'!G16</f>
        <v>1326.9935050246581</v>
      </c>
      <c r="H34" s="5">
        <f>NPV(Title_RESULTS!$C$37,H17:H31)+'Sheet3(F_21)'!H16</f>
        <v>989.1455044187811</v>
      </c>
      <c r="I34" s="5">
        <f>NPV(Title_RESULTS!$C$37,I17:I31)+'Sheet3(F_21)'!I16</f>
        <v>0</v>
      </c>
      <c r="J34" s="5">
        <f>NPV(Title_RESULTS!$C$37,J17:J31)+'Sheet3(F_21)'!J16</f>
        <v>2737.554496175846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Pump Equipment Upgrade</v>
      </c>
      <c r="F2" t="s">
        <v>55</v>
      </c>
    </row>
    <row r="3" spans="6:7" ht="12.75">
      <c r="F3" s="35">
        <f>+Title_RESULTS!I4</f>
        <v>43599.326368981485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5341.2447257383965</v>
      </c>
      <c r="C16" s="5">
        <f>$B16*'Sheet2(F_12)'!$E16/100</f>
        <v>154.93399977727694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154.93399977727694</v>
      </c>
      <c r="G16" s="5">
        <f>+$F16*'Sheet2(F_12)'!$I16</f>
        <v>154.93399977727694</v>
      </c>
    </row>
    <row r="17" spans="1:7" ht="12.75">
      <c r="A17">
        <f>+A16+1</f>
        <v>2021</v>
      </c>
      <c r="B17" s="5">
        <f>(+Partcipation!$C16+(Partcipation!$C17-Partcipation!$C16)/2)*Title_RESULTS!$C$10/1000</f>
        <v>16023.734177215189</v>
      </c>
      <c r="C17" s="5">
        <f>$B17*'Sheet2(F_12)'!$E17/100</f>
        <v>461.02136810492647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461.02136810492647</v>
      </c>
      <c r="G17" s="5">
        <f>+$F17*'Sheet2(F_12)'!$I17</f>
        <v>461.02136810492647</v>
      </c>
    </row>
    <row r="18" spans="1:7" ht="12.75">
      <c r="A18">
        <f>+A17+1</f>
        <v>2022</v>
      </c>
      <c r="B18" s="5">
        <f>(+Partcipation!$C17+(Partcipation!$C18-Partcipation!$C17)/2)*Title_RESULTS!$C$10/1000</f>
        <v>26706.223628691983</v>
      </c>
      <c r="C18" s="5">
        <f>$B18*'Sheet2(F_12)'!$E18/100</f>
        <v>793.0081819291114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793.0081819291114</v>
      </c>
      <c r="G18" s="5">
        <f>+$F18*'Sheet2(F_12)'!$I18</f>
        <v>793.0081819291114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32047.468354430377</v>
      </c>
      <c r="C19" s="5">
        <f>$B19*'Sheet2(F_12)'!$E19/100</f>
        <v>990.6484638412038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990.6484638412038</v>
      </c>
      <c r="G19" s="5">
        <f>+$F19*'Sheet2(F_12)'!$I19</f>
        <v>990.6484638412038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32047.468354430377</v>
      </c>
      <c r="C20" s="5">
        <f>$B20*'Sheet2(F_12)'!$E20/100</f>
        <v>1029.5772144933635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1029.5772144933635</v>
      </c>
      <c r="G20" s="5">
        <f>+$F20*'Sheet2(F_12)'!$I20</f>
        <v>1029.5772144933635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32047.468354430377</v>
      </c>
      <c r="C21" s="5">
        <f>$B21*'Sheet2(F_12)'!$E21/100</f>
        <v>1105.4559583501914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1105.4559583501914</v>
      </c>
      <c r="G21" s="5">
        <f>+$F21*'Sheet2(F_12)'!$I21</f>
        <v>1105.4559583501914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32047.468354430377</v>
      </c>
      <c r="C22" s="5">
        <f>$B22*'Sheet2(F_12)'!$E22/100</f>
        <v>1140.9130432007782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1140.9130432007782</v>
      </c>
      <c r="G22" s="5">
        <f>+$F22*'Sheet2(F_12)'!$I22</f>
        <v>1140.9130432007782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32047.468354430377</v>
      </c>
      <c r="C23" s="5">
        <f>$B23*'Sheet2(F_12)'!$E23/100</f>
        <v>1212.2150019025873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1212.2150019025873</v>
      </c>
      <c r="G23" s="5">
        <f>+$F23*'Sheet2(F_12)'!$I23</f>
        <v>1212.2150019025873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32047.468354430377</v>
      </c>
      <c r="C24" s="5">
        <f>$B24*'Sheet2(F_12)'!$E24/100</f>
        <v>1343.274403307125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1343.274403307125</v>
      </c>
      <c r="G24" s="5">
        <f>+$F24*'Sheet2(F_12)'!$I24</f>
        <v>1343.274403307125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32047.468354430377</v>
      </c>
      <c r="C25" s="5">
        <f>$B25*'Sheet2(F_12)'!$E25/100</f>
        <v>1439.136198774637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1439.136198774637</v>
      </c>
      <c r="G25" s="5">
        <f>+$F25*'Sheet2(F_12)'!$I25</f>
        <v>1439.136198774637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32047.468354430377</v>
      </c>
      <c r="C26" s="5">
        <f>$B26*'Sheet2(F_12)'!$E26/100</f>
        <v>1607.4354055883095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1607.4354055883095</v>
      </c>
      <c r="G26" s="5">
        <f>+$F26*'Sheet2(F_12)'!$I26</f>
        <v>1607.4354055883095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32047.468354430377</v>
      </c>
      <c r="C27" s="5">
        <f>$B27*'Sheet2(F_12)'!$E27/100</f>
        <v>1601.4576015596401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1601.4576015596401</v>
      </c>
      <c r="G27" s="5">
        <f>+$F27*'Sheet2(F_12)'!$I27</f>
        <v>1601.4576015596401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32047.468354430377</v>
      </c>
      <c r="C28" s="5">
        <f>$B28*'Sheet2(F_12)'!$E28/100</f>
        <v>1750.2451455657763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1750.2451455657763</v>
      </c>
      <c r="G28" s="5">
        <f>+$F28*'Sheet2(F_12)'!$I28</f>
        <v>1750.2451455657763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32047.468354430377</v>
      </c>
      <c r="C29" s="5">
        <f>$B29*'Sheet2(F_12)'!$E29/100</f>
        <v>1866.477238550758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1866.477238550758</v>
      </c>
      <c r="G29" s="5">
        <f>+$F29*'Sheet2(F_12)'!$I29</f>
        <v>1866.477238550758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32047.468354430377</v>
      </c>
      <c r="C30" s="5">
        <f>$B30*'Sheet2(F_12)'!$E30/100</f>
        <v>1953.3846558724927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1953.3846558724927</v>
      </c>
      <c r="G30" s="5">
        <f>+$F30*'Sheet2(F_12)'!$I30</f>
        <v>1953.3846558724927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432640.82278481015</v>
      </c>
      <c r="C32" s="5">
        <f t="shared" si="2"/>
        <v>18449.18388081818</v>
      </c>
      <c r="D32" s="5">
        <f t="shared" si="2"/>
        <v>0</v>
      </c>
      <c r="E32" s="5">
        <f t="shared" si="2"/>
        <v>0</v>
      </c>
      <c r="F32" s="5">
        <f t="shared" si="2"/>
        <v>18449.18388081818</v>
      </c>
      <c r="G32" s="5">
        <f t="shared" si="2"/>
        <v>18449.18388081818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10567.335394602835</v>
      </c>
      <c r="D34" s="5"/>
      <c r="E34" s="5">
        <f>NPV(+Title_RESULTS!$C$37,E17:E31)+E16</f>
        <v>0</v>
      </c>
      <c r="F34" s="5">
        <f>NPV(+Title_RESULTS!$C$37,F17:F31)+F16</f>
        <v>10567.335394602835</v>
      </c>
      <c r="G34" s="5">
        <f>NPV(+Title_RESULTS!$C$37,G17:G31)+G16</f>
        <v>10567.335394602835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Pump Equipment Upgrade</v>
      </c>
      <c r="J2" t="s">
        <v>42</v>
      </c>
    </row>
    <row r="3" spans="9:10" ht="12.75">
      <c r="I3" s="4"/>
      <c r="J3" s="35">
        <f>+Title_RESULTS!I4</f>
        <v>43599.326368981485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Pump Equipment Upgrade</v>
      </c>
      <c r="H2" t="s">
        <v>108</v>
      </c>
    </row>
    <row r="3" ht="12.75">
      <c r="H3" s="35">
        <f>+Title_RESULTS!I4</f>
        <v>43599.326368981485</v>
      </c>
    </row>
    <row r="5" spans="3:6" ht="12.75">
      <c r="C5" t="s">
        <v>60</v>
      </c>
      <c r="F5" s="38">
        <f>+'Value of Defferal'!L4</f>
        <v>161.56968959999998</v>
      </c>
    </row>
    <row r="6" spans="3:6" ht="12.75">
      <c r="C6" t="s">
        <v>62</v>
      </c>
      <c r="F6" s="38">
        <f>+'Value of Defferal'!L5</f>
        <v>344.1352704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154.93399977727694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15.96668891086055</v>
      </c>
      <c r="C17" s="5">
        <f>IF(+Title_RESULTS!$H$9&lt;='Sheet4(F_22)'!$A17,(+Title_RESULTS!$H$16*((1+Title_RESULTS!$H$18/100)^('Sheet4(F_22)'!$A17-Title_RESULTS!$H$7))*Title_RESULTS!$C$8*Partcipation!$C$26/1000),0)</f>
        <v>12.87019546330061</v>
      </c>
      <c r="D17" s="5">
        <f>(+B17+C17)*+Partcipation!$H17</f>
        <v>28.83688437416116</v>
      </c>
      <c r="E17" s="5">
        <f>VLOOKUP(A17,'Value of Defferal'!$I24:$P$58,'Value of Defferal'!$K$13)</f>
        <v>34.00824015528515</v>
      </c>
      <c r="F17" s="5">
        <f>IF(+'Value of Defferal'!P24=0,0,Title_RESULTS!$H$17*Title_RESULTS!$C$7*Partcipation!$C$26*(1+Title_RESULTS!$H$18/100)^('Sheet4(F_22)'!A17-Title_RESULTS!$H$7))/1000</f>
        <v>47.3776128</v>
      </c>
      <c r="G17" s="5">
        <f>(+E17+F17)*Partcipation!$H17</f>
        <v>81.38585295528515</v>
      </c>
      <c r="H17" s="5">
        <f>+'Sheet5(p_5)'!$F17*'Sheet2(F_12)'!$I17</f>
        <v>461.02136810492647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16.3498894447212</v>
      </c>
      <c r="C18" s="5">
        <f>IF(+Title_RESULTS!$H$9&lt;='Sheet4(F_22)'!$A18,(+Title_RESULTS!$H$16*((1+Title_RESULTS!$H$18/100)^('Sheet4(F_22)'!$A18-Title_RESULTS!$H$7))*Title_RESULTS!$C$8*Partcipation!$C$26/1000),0)</f>
        <v>13.17908015441982</v>
      </c>
      <c r="D18" s="5">
        <f>(+B18+C18)*+Partcipation!$H18</f>
        <v>29.52896959914102</v>
      </c>
      <c r="E18" s="5">
        <f>VLOOKUP(A18,'Value of Defferal'!$I25:$P$58,'Value of Defferal'!$K$13)</f>
        <v>34.82443791901199</v>
      </c>
      <c r="F18" s="5">
        <f>IF(+'Value of Defferal'!P25=0,0,Title_RESULTS!$H$17*Title_RESULTS!$C$7*Partcipation!$C$26*(1+Title_RESULTS!$H$18/100)^('Sheet4(F_22)'!A18-Title_RESULTS!$H$7))/1000</f>
        <v>48.5146755072</v>
      </c>
      <c r="G18" s="5">
        <f>(+E18+F18)*Partcipation!$H18</f>
        <v>83.339113426212</v>
      </c>
      <c r="H18" s="5">
        <f>+'Sheet5(p_5)'!$F18*'Sheet2(F_12)'!$I18</f>
        <v>793.0081819291114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16.74228679139451</v>
      </c>
      <c r="C19" s="5">
        <f>IF(+Title_RESULTS!$H$9&lt;='Sheet4(F_22)'!$A19,(+Title_RESULTS!$H$16*((1+Title_RESULTS!$H$18/100)^('Sheet4(F_22)'!$A19-Title_RESULTS!$H$7))*Title_RESULTS!$C$8*Partcipation!$C$26/1000),0)</f>
        <v>13.4953780781259</v>
      </c>
      <c r="D19" s="5">
        <f>(+B19+C19)*+Partcipation!$H19</f>
        <v>30.237664869520408</v>
      </c>
      <c r="E19" s="5">
        <f>VLOOKUP(A19,'Value of Defferal'!$I26:$P$58,'Value of Defferal'!$K$13)</f>
        <v>35.66022442906828</v>
      </c>
      <c r="F19" s="5">
        <f>IF(+'Value of Defferal'!P26=0,0,Title_RESULTS!$H$17*Title_RESULTS!$C$7*Partcipation!$C$26*(1+Title_RESULTS!$H$18/100)^('Sheet4(F_22)'!A19-Title_RESULTS!$H$7))/1000</f>
        <v>49.67902771937281</v>
      </c>
      <c r="G19" s="5">
        <f>(+E19+F19)*Partcipation!$H19</f>
        <v>85.33925214844109</v>
      </c>
      <c r="H19" s="5">
        <f>+'Sheet5(p_5)'!$F19*'Sheet2(F_12)'!$I19</f>
        <v>990.6484638412038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17.14410167438798</v>
      </c>
      <c r="C20" s="5">
        <f>IF(+Title_RESULTS!$H$9&lt;='Sheet4(F_22)'!$A20,(+Title_RESULTS!$H$16*((1+Title_RESULTS!$H$18/100)^('Sheet4(F_22)'!$A20-Title_RESULTS!$H$7))*Title_RESULTS!$C$8*Partcipation!$C$26/1000),0)</f>
        <v>13.819267152000918</v>
      </c>
      <c r="D20" s="5">
        <f>(+B20+C20)*+Partcipation!$H20</f>
        <v>30.963368826388898</v>
      </c>
      <c r="E20" s="5">
        <f>VLOOKUP(A20,'Value of Defferal'!$I27:$P$58,'Value of Defferal'!$K$13)</f>
        <v>36.51606981536592</v>
      </c>
      <c r="F20" s="5">
        <f>IF(+'Value of Defferal'!P27=0,0,Title_RESULTS!$H$17*Title_RESULTS!$C$7*Partcipation!$C$26*(1+Title_RESULTS!$H$18/100)^('Sheet4(F_22)'!A20-Title_RESULTS!$H$7))/1000</f>
        <v>50.87132438463775</v>
      </c>
      <c r="G20" s="5">
        <f>(+E20+F20)*Partcipation!$H20</f>
        <v>87.38739420000367</v>
      </c>
      <c r="H20" s="5">
        <f>+'Sheet5(p_5)'!$F20*'Sheet2(F_12)'!$I20</f>
        <v>1029.5772144933635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17.55556011457329</v>
      </c>
      <c r="C21" s="5">
        <f>IF(+Title_RESULTS!$H$9&lt;='Sheet4(F_22)'!$A21,(+Title_RESULTS!$H$16*((1+Title_RESULTS!$H$18/100)^('Sheet4(F_22)'!$A21-Title_RESULTS!$H$7))*Title_RESULTS!$C$8*Partcipation!$C$26/1000),0)</f>
        <v>14.150929563648942</v>
      </c>
      <c r="D21" s="5">
        <f>(+B21+C21)*+Partcipation!$H21</f>
        <v>31.706489678222233</v>
      </c>
      <c r="E21" s="5">
        <f>VLOOKUP(A21,'Value of Defferal'!$I28:$P$58,'Value of Defferal'!$K$13)</f>
        <v>37.3924554909347</v>
      </c>
      <c r="F21" s="5">
        <f>IF(+'Value of Defferal'!P28=0,0,Title_RESULTS!$H$17*Title_RESULTS!$C$7*Partcipation!$C$26*(1+Title_RESULTS!$H$18/100)^('Sheet4(F_22)'!A21-Title_RESULTS!$H$7))/1000</f>
        <v>52.09223616986907</v>
      </c>
      <c r="G21" s="5">
        <f>(+E21+F21)*Partcipation!$H21</f>
        <v>89.48469166080378</v>
      </c>
      <c r="H21" s="5">
        <f>+'Sheet5(p_5)'!$F21*'Sheet2(F_12)'!$I21</f>
        <v>1105.4559583501914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17.97689355732305</v>
      </c>
      <c r="C22" s="5">
        <f>IF(+Title_RESULTS!$H$9&lt;='Sheet4(F_22)'!$A22,(+Title_RESULTS!$H$16*((1+Title_RESULTS!$H$18/100)^('Sheet4(F_22)'!$A22-Title_RESULTS!$H$7))*Title_RESULTS!$C$8*Partcipation!$C$26/1000),0)</f>
        <v>14.490551873176516</v>
      </c>
      <c r="D22" s="5">
        <f>(+B22+C22)*+Partcipation!$H22</f>
        <v>32.467445430499566</v>
      </c>
      <c r="E22" s="5">
        <f>VLOOKUP(A22,'Value of Defferal'!$I29:$P$58,'Value of Defferal'!$K$13)</f>
        <v>38.28987442271714</v>
      </c>
      <c r="F22" s="5">
        <f>IF(+'Value of Defferal'!P29=0,0,Title_RESULTS!$H$17*Title_RESULTS!$C$7*Partcipation!$C$26*(1+Title_RESULTS!$H$18/100)^('Sheet4(F_22)'!A22-Title_RESULTS!$H$7))/1000</f>
        <v>53.342449837945914</v>
      </c>
      <c r="G22" s="5">
        <f>(+E22+F22)*Partcipation!$H22</f>
        <v>91.63232426066305</v>
      </c>
      <c r="H22" s="5">
        <f>+'Sheet5(p_5)'!$F22*'Sheet2(F_12)'!$I22</f>
        <v>1140.9130432007782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18.408339002698803</v>
      </c>
      <c r="C23" s="5">
        <f>IF(+Title_RESULTS!$H$9&lt;='Sheet4(F_22)'!$A23,(+Title_RESULTS!$H$16*((1+Title_RESULTS!$H$18/100)^('Sheet4(F_22)'!$A23-Title_RESULTS!$H$7))*Title_RESULTS!$C$8*Partcipation!$C$26/1000),0)</f>
        <v>14.838325118132754</v>
      </c>
      <c r="D23" s="5">
        <f>(+B23+C23)*+Partcipation!$H23</f>
        <v>33.246664120831554</v>
      </c>
      <c r="E23" s="5">
        <f>VLOOKUP(A23,'Value of Defferal'!$I30:$P$58,'Value of Defferal'!$K$13)</f>
        <v>39.208831408862345</v>
      </c>
      <c r="F23" s="5">
        <f>IF(+'Value of Defferal'!P30=0,0,Title_RESULTS!$H$17*Title_RESULTS!$C$7*Partcipation!$C$26*(1+Title_RESULTS!$H$18/100)^('Sheet4(F_22)'!A23-Title_RESULTS!$H$7))/1000</f>
        <v>54.62266863405662</v>
      </c>
      <c r="G23" s="5">
        <f>(+E23+F23)*Partcipation!$H23</f>
        <v>93.83150004291898</v>
      </c>
      <c r="H23" s="5">
        <f>+'Sheet5(p_5)'!$F23*'Sheet2(F_12)'!$I23</f>
        <v>1212.2150019025873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18.850139138763573</v>
      </c>
      <c r="C24" s="5">
        <f>IF(+Title_RESULTS!$H$9&lt;='Sheet4(F_22)'!$A24,(+Title_RESULTS!$H$16*((1+Title_RESULTS!$H$18/100)^('Sheet4(F_22)'!$A24-Title_RESULTS!$H$7))*Title_RESULTS!$C$8*Partcipation!$C$26/1000),0)</f>
        <v>15.194444920967937</v>
      </c>
      <c r="D24" s="5">
        <f>(+B24+C24)*+Partcipation!$H24</f>
        <v>34.04458405973151</v>
      </c>
      <c r="E24" s="5">
        <f>VLOOKUP(A24,'Value of Defferal'!$I31:$P$58,'Value of Defferal'!$K$13)</f>
        <v>40.14984336267504</v>
      </c>
      <c r="F24" s="5">
        <f>IF(+'Value of Defferal'!P31=0,0,Title_RESULTS!$H$17*Title_RESULTS!$C$7*Partcipation!$C$26*(1+Title_RESULTS!$H$18/100)^('Sheet4(F_22)'!A24-Title_RESULTS!$H$7))/1000</f>
        <v>55.93361268127398</v>
      </c>
      <c r="G24" s="5">
        <f>(+E24+F24)*Partcipation!$H24</f>
        <v>96.08345604394901</v>
      </c>
      <c r="H24" s="5">
        <f>+'Sheet5(p_5)'!$F24*'Sheet2(F_12)'!$I24</f>
        <v>1343.274403307125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19.3025424780939</v>
      </c>
      <c r="C25" s="5">
        <f>IF(+Title_RESULTS!$H$9&lt;='Sheet4(F_22)'!$A25,(+Title_RESULTS!$H$16*((1+Title_RESULTS!$H$18/100)^('Sheet4(F_22)'!$A25-Title_RESULTS!$H$7))*Title_RESULTS!$C$8*Partcipation!$C$26/1000),0)</f>
        <v>15.559111599071166</v>
      </c>
      <c r="D25" s="5">
        <f>(+B25+C25)*+Partcipation!$H25</f>
        <v>34.86165407716507</v>
      </c>
      <c r="E25" s="5">
        <f>VLOOKUP(A25,'Value of Defferal'!$I32:$P$58,'Value of Defferal'!$K$13)</f>
        <v>41.11343960337925</v>
      </c>
      <c r="F25" s="5">
        <f>IF(+'Value of Defferal'!P32=0,0,Title_RESULTS!$H$17*Title_RESULTS!$C$7*Partcipation!$C$26*(1+Title_RESULTS!$H$18/100)^('Sheet4(F_22)'!A25-Title_RESULTS!$H$7))/1000</f>
        <v>57.276019385624544</v>
      </c>
      <c r="G25" s="5">
        <f>(+E25+F25)*Partcipation!$H25</f>
        <v>98.3894589890038</v>
      </c>
      <c r="H25" s="5">
        <f>+'Sheet5(p_5)'!$F25*'Sheet2(F_12)'!$I25</f>
        <v>1439.136198774637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19.765803497568157</v>
      </c>
      <c r="C26" s="5">
        <f>IF(+Title_RESULTS!$H$9&lt;='Sheet4(F_22)'!$A26,(+Title_RESULTS!$H$16*((1+Title_RESULTS!$H$18/100)^('Sheet4(F_22)'!$A26-Title_RESULTS!$H$7))*Title_RESULTS!$C$8*Partcipation!$C$26/1000),0)</f>
        <v>15.932530277448878</v>
      </c>
      <c r="D26" s="5">
        <f>(+B26+C26)*+Partcipation!$H26</f>
        <v>35.69833377501703</v>
      </c>
      <c r="E26" s="5">
        <f>VLOOKUP(A26,'Value of Defferal'!$I33:$P$58,'Value of Defferal'!$K$13)</f>
        <v>42.10016215386035</v>
      </c>
      <c r="F26" s="5">
        <f>IF(+'Value of Defferal'!P33=0,0,Title_RESULTS!$H$17*Title_RESULTS!$C$7*Partcipation!$C$26*(1+Title_RESULTS!$H$18/100)^('Sheet4(F_22)'!A26-Title_RESULTS!$H$7))/1000</f>
        <v>58.65064385087953</v>
      </c>
      <c r="G26" s="5">
        <f>(+E26+F26)*Partcipation!$H26</f>
        <v>100.75080600473989</v>
      </c>
      <c r="H26" s="5">
        <f>+'Sheet5(p_5)'!$F26*'Sheet2(F_12)'!$I26</f>
        <v>1607.4354055883095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20.240182781509795</v>
      </c>
      <c r="C27" s="5">
        <f>IF(+Title_RESULTS!$H$9&lt;='Sheet4(F_22)'!$A27,(+Title_RESULTS!$H$16*((1+Title_RESULTS!$H$18/100)^('Sheet4(F_22)'!$A27-Title_RESULTS!$H$7))*Title_RESULTS!$C$8*Partcipation!$C$26/1000),0)</f>
        <v>16.31491100410765</v>
      </c>
      <c r="D27" s="5">
        <f>(+B27+C27)*+Partcipation!$H27</f>
        <v>36.555093785617444</v>
      </c>
      <c r="E27" s="5">
        <f>VLOOKUP(A27,'Value of Defferal'!$I34:$P$58,'Value of Defferal'!$K$13)</f>
        <v>43.11056604555301</v>
      </c>
      <c r="F27" s="5">
        <f>IF(+'Value of Defferal'!P34=0,0,Title_RESULTS!$H$17*Title_RESULTS!$C$7*Partcipation!$C$26*(1+Title_RESULTS!$H$18/100)^('Sheet4(F_22)'!A27-Title_RESULTS!$H$7))/1000</f>
        <v>60.05825930330066</v>
      </c>
      <c r="G27" s="5">
        <f>(+E27+F27)*Partcipation!$H27</f>
        <v>103.16882534885366</v>
      </c>
      <c r="H27" s="5">
        <f>+'Sheet5(p_5)'!$F27*'Sheet2(F_12)'!$I27</f>
        <v>1601.4576015596401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20.72594716826603</v>
      </c>
      <c r="C28" s="5">
        <f>IF(+Title_RESULTS!$H$9&lt;='Sheet4(F_22)'!$A28,(+Title_RESULTS!$H$16*((1+Title_RESULTS!$H$18/100)^('Sheet4(F_22)'!$A28-Title_RESULTS!$H$7))*Title_RESULTS!$C$8*Partcipation!$C$26/1000),0)</f>
        <v>16.706468868206233</v>
      </c>
      <c r="D28" s="5">
        <f>(+B28+C28)*+Partcipation!$H28</f>
        <v>37.43241603647226</v>
      </c>
      <c r="E28" s="5">
        <f>VLOOKUP(A28,'Value of Defferal'!$I35:$P$58,'Value of Defferal'!$K$13)</f>
        <v>44.145219630646274</v>
      </c>
      <c r="F28" s="5">
        <f>IF(+'Value of Defferal'!P35=0,0,Title_RESULTS!$H$17*Title_RESULTS!$C$7*Partcipation!$C$26*(1+Title_RESULTS!$H$18/100)^('Sheet4(F_22)'!A28-Title_RESULTS!$H$7))/1000</f>
        <v>61.49965752657986</v>
      </c>
      <c r="G28" s="5">
        <f>(+E28+F28)*Partcipation!$H28</f>
        <v>105.64487715722613</v>
      </c>
      <c r="H28" s="5">
        <f>+'Sheet5(p_5)'!$F28*'Sheet2(F_12)'!$I28</f>
        <v>1750.2451455657763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21.223369900304412</v>
      </c>
      <c r="C29" s="5">
        <f>IF(+Title_RESULTS!$H$9&lt;='Sheet4(F_22)'!$A29,(+Title_RESULTS!$H$16*((1+Title_RESULTS!$H$18/100)^('Sheet4(F_22)'!$A29-Title_RESULTS!$H$7))*Title_RESULTS!$C$8*Partcipation!$C$26/1000),0)</f>
        <v>17.107424121043184</v>
      </c>
      <c r="D29" s="5">
        <f>(+B29+C29)*+Partcipation!$H29</f>
        <v>38.3307940213476</v>
      </c>
      <c r="E29" s="5">
        <f>VLOOKUP(A29,'Value of Defferal'!$I36:$P$58,'Value of Defferal'!$K$13)</f>
        <v>45.20470490178179</v>
      </c>
      <c r="F29" s="5">
        <f>IF(+'Value of Defferal'!P36=0,0,Title_RESULTS!$H$17*Title_RESULTS!$C$7*Partcipation!$C$26*(1+Title_RESULTS!$H$18/100)^('Sheet4(F_22)'!A29-Title_RESULTS!$H$7))/1000</f>
        <v>62.97564930721778</v>
      </c>
      <c r="G29" s="5">
        <f>(+E29+F29)*Partcipation!$H29</f>
        <v>108.18035420899957</v>
      </c>
      <c r="H29" s="5">
        <f>+'Sheet5(p_5)'!$F29*'Sheet2(F_12)'!$I29</f>
        <v>1866.477238550758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21.732730777911716</v>
      </c>
      <c r="C30" s="5">
        <f>IF(+Title_RESULTS!$H$9&lt;='Sheet4(F_22)'!$A30,(+Title_RESULTS!$H$16*((1+Title_RESULTS!$H$18/100)^('Sheet4(F_22)'!$A30-Title_RESULTS!$H$7))*Title_RESULTS!$C$8*Partcipation!$C$26/1000),0)</f>
        <v>17.51800229994822</v>
      </c>
      <c r="D30" s="5">
        <f>(+B30+C30)*+Partcipation!$H30</f>
        <v>39.250733077859934</v>
      </c>
      <c r="E30" s="5">
        <f>VLOOKUP(A30,'Value of Defferal'!$I37:$P$58,'Value of Defferal'!$K$13)</f>
        <v>46.28961781942455</v>
      </c>
      <c r="F30" s="5">
        <f>IF(+'Value of Defferal'!P37=0,0,Title_RESULTS!$H$17*Title_RESULTS!$C$7*Partcipation!$C$26*(1+Title_RESULTS!$H$18/100)^('Sheet4(F_22)'!A30-Title_RESULTS!$H$7))/1000</f>
        <v>64.487064890591</v>
      </c>
      <c r="G30" s="5">
        <f>(+E30+F30)*Partcipation!$H30</f>
        <v>110.77668271001555</v>
      </c>
      <c r="H30" s="5">
        <f>+'Sheet5(p_5)'!$F30*'Sheet2(F_12)'!$I30</f>
        <v>1953.3846558724927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261.984475238377</v>
      </c>
      <c r="C32" s="5">
        <f t="shared" si="1"/>
        <v>211.1766204935987</v>
      </c>
      <c r="D32" s="5">
        <f t="shared" si="1"/>
        <v>473.16109573197565</v>
      </c>
      <c r="E32" s="5">
        <f t="shared" si="1"/>
        <v>558.0136871585659</v>
      </c>
      <c r="F32" s="5">
        <f t="shared" si="1"/>
        <v>777.3809019985496</v>
      </c>
      <c r="G32" s="5">
        <f t="shared" si="1"/>
        <v>1335.3945891571154</v>
      </c>
      <c r="H32" s="5">
        <f t="shared" si="1"/>
        <v>18449.18388081818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158.67341592581033</v>
      </c>
      <c r="C34" s="5">
        <f>NPV(Title_RESULTS!$C$37,'Sheet4(F_22)'!C17:C31)+'Sheet4(F_22)'!C16</f>
        <v>127.90115027579058</v>
      </c>
      <c r="D34" s="5">
        <f>NPV(Title_RESULTS!$C$37,'Sheet4(F_22)'!D17:D31)+'Sheet4(F_22)'!D16</f>
        <v>286.57456620160093</v>
      </c>
      <c r="E34" s="5">
        <f>NPV(Title_RESULTS!$C$37,'Sheet4(F_22)'!E17:E31)+'Sheet4(F_22)'!E16</f>
        <v>337.96635390033214</v>
      </c>
      <c r="F34" s="5">
        <f>NPV(Title_RESULTS!$C$37,'Sheet4(F_22)'!F17:F31)+'Sheet4(F_22)'!F16</f>
        <v>470.82821637947376</v>
      </c>
      <c r="G34" s="5">
        <f>NPV(Title_RESULTS!$C$37,'Sheet4(F_22)'!G17:G31)+'Sheet4(F_22)'!G16</f>
        <v>808.794570279806</v>
      </c>
      <c r="H34" s="5">
        <f>NPV(Title_RESULTS!$C$37,'Sheet4(F_22)'!H17:H31)+'Sheet4(F_22)'!H16</f>
        <v>10567.335394602835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Pump Equipment Upgrade</v>
      </c>
      <c r="P2" t="s">
        <v>121</v>
      </c>
    </row>
    <row r="3" ht="12.75">
      <c r="P3" s="35">
        <f>+Title_RESULTS!I4</f>
        <v>43599.326368981485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998.28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998.28</v>
      </c>
      <c r="H16" s="5">
        <f>IF(Partcipation!$B17&lt;Partcipation!$B16,0,IF(Partcipation!$B16=0,0,(Partcipation!$B16-Partcipation!$B15)*(+Title_RESULTS!$C$29*(1+Title_RESULTS!$C$30/100)^(+'Sheet8(F_24)'!$A16-Title_RESULTS!$H$7))/1000))</f>
        <v>2301.08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2301.08</v>
      </c>
      <c r="K16" s="5">
        <f>(+Partcipation!$B15+(Partcipation!$B16-Partcipation!$B15)/2)*(+Title_RESULTS!$C$14)/1000</f>
        <v>5063.5</v>
      </c>
      <c r="L16" s="5">
        <f>($K16)*Partcipation!$E73*Title_RESULTS!$C$12/100</f>
        <v>123.27660604197568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188.91363</v>
      </c>
      <c r="N16" s="5">
        <f>'Sheet2(F_12)'!$I16*('Sheet6(p_6)'!$L16+'Sheet6(p_6)'!$M16)</f>
        <v>312.1902360419757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998.28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998.28</v>
      </c>
      <c r="H17" s="5">
        <f>IF(Partcipation!$B18&lt;Partcipation!$B17,0,IF(Partcipation!$B17=0,0,(Partcipation!$B17-Partcipation!$B16)*(+Title_RESULTS!$C$29*(1+Title_RESULTS!$C$30/100)^(+'Sheet8(F_24)'!$A17-Title_RESULTS!$H$7))/1000))</f>
        <v>2354.0048399999996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2354.0048399999996</v>
      </c>
      <c r="K17" s="5">
        <f>(+Partcipation!$B16+(Partcipation!$B17-Partcipation!$B16)/2)*(+Title_RESULTS!$C$14)/1000</f>
        <v>15190.5</v>
      </c>
      <c r="L17" s="5">
        <f>($K17)*Partcipation!$E74*Title_RESULTS!$C$12/100</f>
        <v>387.4313075835425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572.4082989000001</v>
      </c>
      <c r="N17" s="5">
        <f>'Sheet2(F_12)'!$I17*('Sheet6(p_6)'!$L17+'Sheet6(p_6)'!$M17)</f>
        <v>959.8396064835426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998.28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998.28</v>
      </c>
      <c r="H18" s="5">
        <f>IF(Partcipation!$B19&lt;Partcipation!$B18,0,IF(Partcipation!$B18=0,0,(Partcipation!$B18-Partcipation!$B17)*(+Title_RESULTS!$C$29*(1+Title_RESULTS!$C$30/100)^(+'Sheet8(F_24)'!$A18-Title_RESULTS!$H$7))/1000))</f>
        <v>2408.1469513199995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2408.1469513199995</v>
      </c>
      <c r="K18" s="5">
        <f>(+Partcipation!$B17+(Partcipation!$B18-Partcipation!$B17)/2)*(+Title_RESULTS!$C$14)/1000</f>
        <v>25317.5</v>
      </c>
      <c r="L18" s="5">
        <f>($K18)*Partcipation!$E75*Title_RESULTS!$C$12/100</f>
        <v>669.5041502544104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963.5539698150001</v>
      </c>
      <c r="N18" s="5">
        <f>'Sheet2(F_12)'!$I18*('Sheet6(p_6)'!$L18+'Sheet6(p_6)'!$M18)</f>
        <v>1633.0581200694105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30381</v>
      </c>
      <c r="L19" s="5">
        <f>($K19)*Partcipation!$E76*Title_RESULTS!$C$12/100</f>
        <v>796.8191575766085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1167.82741141578</v>
      </c>
      <c r="N19" s="5">
        <f>'Sheet2(F_12)'!$I19*('Sheet6(p_6)'!$L19+'Sheet6(p_6)'!$M19)</f>
        <v>1964.6465689923884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30381</v>
      </c>
      <c r="L20" s="5">
        <f>($K20)*Partcipation!$E77*Title_RESULTS!$C$12/100</f>
        <v>842.0145278780903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1179.5056855299379</v>
      </c>
      <c r="N20" s="5">
        <f>'Sheet2(F_12)'!$I20*('Sheet6(p_6)'!$L20+'Sheet6(p_6)'!$M20)</f>
        <v>2021.5202134080282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30381</v>
      </c>
      <c r="L21" s="5">
        <f>($K21)*Partcipation!$E78*Title_RESULTS!$C$12/100</f>
        <v>890.3450477382169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1191.3007423852373</v>
      </c>
      <c r="N21" s="5">
        <f>'Sheet2(F_12)'!$I21*('Sheet6(p_6)'!$L21+'Sheet6(p_6)'!$M21)</f>
        <v>2081.6457901234544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30381</v>
      </c>
      <c r="L22" s="5">
        <f>($K22)*Partcipation!$E79*Title_RESULTS!$C$12/100</f>
        <v>930.6012569350376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1203.2137498090897</v>
      </c>
      <c r="N22" s="5">
        <f>'Sheet2(F_12)'!$I22*('Sheet6(p_6)'!$L22+'Sheet6(p_6)'!$M22)</f>
        <v>2133.8150067441275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30381</v>
      </c>
      <c r="L23" s="5">
        <f>($K23)*Partcipation!$E80*Title_RESULTS!$C$12/100</f>
        <v>985.3959596969303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1215.2458873071805</v>
      </c>
      <c r="N23" s="5">
        <f>'Sheet2(F_12)'!$I23*('Sheet6(p_6)'!$L23+'Sheet6(p_6)'!$M23)</f>
        <v>2200.641847004111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30381</v>
      </c>
      <c r="L24" s="5">
        <f>($K24)*Partcipation!$E81*Title_RESULTS!$C$12/100</f>
        <v>1078.7081399158058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1227.3983461802525</v>
      </c>
      <c r="N24" s="5">
        <f>'Sheet2(F_12)'!$I24*('Sheet6(p_6)'!$L24+'Sheet6(p_6)'!$M24)</f>
        <v>2306.1064860960582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30381</v>
      </c>
      <c r="L25" s="5">
        <f>($K25)*Partcipation!$E82*Title_RESULTS!$C$12/100</f>
        <v>1133.6658906768275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1239.672329642055</v>
      </c>
      <c r="N25" s="5">
        <f>'Sheet2(F_12)'!$I25*('Sheet6(p_6)'!$L25+'Sheet6(p_6)'!$M25)</f>
        <v>2373.3382203188826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30381</v>
      </c>
      <c r="L26" s="5">
        <f>($K26)*Partcipation!$E83*Title_RESULTS!$C$12/100</f>
        <v>1235.1879240308267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1252.0690529384756</v>
      </c>
      <c r="N26" s="5">
        <f>'Sheet2(F_12)'!$I26*('Sheet6(p_6)'!$L26+'Sheet6(p_6)'!$M26)</f>
        <v>2487.2569769693023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30381</v>
      </c>
      <c r="L27" s="5">
        <f>($K27)*Partcipation!$E84*Title_RESULTS!$C$12/100</f>
        <v>1277.767423555502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1264.58974346786</v>
      </c>
      <c r="N27" s="5">
        <f>'Sheet2(F_12)'!$I27*('Sheet6(p_6)'!$L27+'Sheet6(p_6)'!$M27)</f>
        <v>2542.3571670233623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30381</v>
      </c>
      <c r="L28" s="5">
        <f>($K28)*Partcipation!$E85*Title_RESULTS!$C$12/100</f>
        <v>1368.9374681253942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1277.2356409025388</v>
      </c>
      <c r="N28" s="5">
        <f>'Sheet2(F_12)'!$I28*('Sheet6(p_6)'!$L28+'Sheet6(p_6)'!$M28)</f>
        <v>2646.1731090279327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30381</v>
      </c>
      <c r="L29" s="5">
        <f>($K29)*Partcipation!$E86*Title_RESULTS!$C$12/100</f>
        <v>1397.6514569288388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1290.0079973115642</v>
      </c>
      <c r="N29" s="5">
        <f>'Sheet2(F_12)'!$I29*('Sheet6(p_6)'!$L29+'Sheet6(p_6)'!$M29)</f>
        <v>2687.6594542404027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30381</v>
      </c>
      <c r="L30" s="5">
        <f>($K30)*Partcipation!$E87*Title_RESULTS!$C$12/100</f>
        <v>1489.9590192593946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1302.90807728468</v>
      </c>
      <c r="N30" s="5">
        <f>'Sheet2(F_12)'!$I30*('Sheet6(p_6)'!$L30+'Sheet6(p_6)'!$M30)</f>
        <v>2792.8670965440747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2994.84</v>
      </c>
      <c r="F32" s="5">
        <f t="shared" si="4"/>
        <v>0</v>
      </c>
      <c r="G32" s="5">
        <f t="shared" si="4"/>
        <v>2994.84</v>
      </c>
      <c r="H32" s="5">
        <f t="shared" si="4"/>
        <v>7063.231791319999</v>
      </c>
      <c r="I32" s="5">
        <f t="shared" si="4"/>
        <v>0</v>
      </c>
      <c r="J32" s="5">
        <f t="shared" si="4"/>
        <v>7063.231791319999</v>
      </c>
      <c r="K32" s="5">
        <f t="shared" si="4"/>
        <v>410143.5</v>
      </c>
      <c r="L32" s="5">
        <f t="shared" si="4"/>
        <v>14607.265336197403</v>
      </c>
      <c r="M32" s="5">
        <f t="shared" si="4"/>
        <v>16535.85056288965</v>
      </c>
      <c r="N32" s="5">
        <f t="shared" si="4"/>
        <v>31143.11589908705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2801.1889789207275</v>
      </c>
      <c r="F34" s="5">
        <f>NPV(Title_RESULTS!$C$37,'Sheet6(p_6)'!F17:F31)+'Sheet6(p_6)'!F16</f>
        <v>0</v>
      </c>
      <c r="G34" s="5">
        <f>NPV(Title_RESULTS!$C$37,'Sheet6(p_6)'!G17:G31)+'Sheet6(p_6)'!G16</f>
        <v>2801.1889789207275</v>
      </c>
      <c r="H34" s="5">
        <f>NPV(Title_RESULTS!$C$37,'Sheet6(p_6)'!H17:H31)+'Sheet6(p_6)'!H16</f>
        <v>6599.667999162472</v>
      </c>
      <c r="I34" s="5">
        <f>NPV(Title_RESULTS!$C$37,'Sheet6(p_6)'!I17:I31)+'Sheet6(p_6)'!I16</f>
        <v>0</v>
      </c>
      <c r="J34" s="5">
        <f>NPV(Title_RESULTS!$C$37,'Sheet6(p_6)'!J17:J31)+'Sheet6(p_6)'!J16</f>
        <v>6599.667999162472</v>
      </c>
      <c r="K34" s="5"/>
      <c r="L34" s="5">
        <f>NPV(Title_RESULTS!$C$37,'Sheet6(p_6)'!L17:L31)+'Sheet6(p_6)'!L16</f>
        <v>8429.121315689106</v>
      </c>
      <c r="M34" s="5">
        <f>NPV(Title_RESULTS!$C$37,'Sheet6(p_6)'!M17:M31)+'Sheet6(p_6)'!M16</f>
        <v>10009.071326465815</v>
      </c>
      <c r="N34" s="5">
        <f>NPV(Title_RESULTS!$C$37,'Sheet6(p_6)'!N17:N31)+'Sheet6(p_6)'!N16</f>
        <v>18438.19264215492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Pump Equipment Upgrade</v>
      </c>
      <c r="M2" t="s">
        <v>55</v>
      </c>
    </row>
    <row r="3" ht="12.75">
      <c r="M3" s="35">
        <f>+Title_RESULTS!I4</f>
        <v>43599.326368981485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2301.08</v>
      </c>
      <c r="E16" s="5">
        <f>IF(A16&gt;=(Title_RESULTS!$H$7+Title_RESULTS!$C$17),0,(+'f-11B'!$N15))</f>
        <v>0</v>
      </c>
      <c r="F16" s="5">
        <f>IF(A16&gt;=(Title_RESULTS!$H$7+Title_RESULTS!$C$17),0,(SUM(B16:E16)))</f>
        <v>2426.08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154.93399977727694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154.93399977727694</v>
      </c>
      <c r="L16" s="23">
        <f>IF(A16&gt;=(Title_RESULTS!$H$7+Title_RESULTS!$C$17),0,(+$K16-$F16))</f>
        <v>-2271.146000222723</v>
      </c>
      <c r="M16" s="23">
        <f>IF(A16&gt;=(Title_RESULTS!$H$7+Title_RESULTS!$C$17),0,(+$L16/(1+Title_RESULTS!$C$37)^('Sheet7(F_23)'!$A16-Title_RESULTS!$H$7)))</f>
        <v>-2271.146000222723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2354.0048399999996</v>
      </c>
      <c r="E17" s="5">
        <f>IF(A17&gt;=(Title_RESULTS!$H$7+Title_RESULTS!$C$17),0,(+'f-11B'!$N16))</f>
        <v>0</v>
      </c>
      <c r="F17" s="5">
        <f>IF(A17&gt;=(Title_RESULTS!$H$7+Title_RESULTS!$C$17),0,(SUM(B17:E17)))</f>
        <v>2482.0048399999996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110.2227373294463</v>
      </c>
      <c r="I17" s="5">
        <f>IF(A17&gt;=(Title_RESULTS!$H$7+Title_RESULTS!$C$17),0,(+'Sheet4(F_22)'!$H17))</f>
        <v>461.02136810492647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571.2441054343727</v>
      </c>
      <c r="L17" s="23">
        <f>IF(A17&gt;=(Title_RESULTS!$H$7+Title_RESULTS!$C$17),0,(+$K17-$F17))</f>
        <v>-1910.760734565627</v>
      </c>
      <c r="M17" s="23">
        <f>IF(A17&gt;=(Title_RESULTS!$H$7+Title_RESULTS!$C$17),0,(+M16+$L17/(1+Title_RESULTS!$C$37)^('Sheet7(F_23)'!$A17-Title_RESULTS!$H$7)))</f>
        <v>-4055.5695476317883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2408.1469513199995</v>
      </c>
      <c r="E18" s="5">
        <f>IF(A18&gt;=(Title_RESULTS!$H$7+Title_RESULTS!$C$17),0,(+'f-11B'!$N17))</f>
        <v>0</v>
      </c>
      <c r="F18" s="5">
        <f>IF(A18&gt;=(Title_RESULTS!$H$7+Title_RESULTS!$C$17),0,(SUM(B18:E18)))</f>
        <v>2539.2189513199996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112.86808302535302</v>
      </c>
      <c r="I18" s="5">
        <f>IF(A18&gt;=(Title_RESULTS!$H$7+Title_RESULTS!$C$17),0,(+'Sheet4(F_22)'!$H18))</f>
        <v>793.0081819291114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905.8762649544644</v>
      </c>
      <c r="L18" s="23">
        <f>IF(A18&gt;=(Title_RESULTS!$H$7+Title_RESULTS!$C$17),0,(+$K18-$F18))</f>
        <v>-1633.3426863655352</v>
      </c>
      <c r="M18" s="23">
        <f>IF(A18&gt;=(Title_RESULTS!$H$7+Title_RESULTS!$C$17),0,(+M17+$L18/(1+Title_RESULTS!$C$37)^('Sheet7(F_23)'!$A18-Title_RESULTS!$H$7)))</f>
        <v>-5480.0634258481805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350.3007003411775</v>
      </c>
      <c r="H19" s="5">
        <f>IF(A19&gt;=(Title_RESULTS!$H$7+Title_RESULTS!$C$17),0,(+'Sheet4(F_22)'!$D19+'Sheet4(F_22)'!$G19))</f>
        <v>115.5769170179615</v>
      </c>
      <c r="I19" s="5">
        <f>IF(A19&gt;=(Title_RESULTS!$H$7+Title_RESULTS!$C$17),0,(+'Sheet4(F_22)'!$H19))</f>
        <v>990.6484638412038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1456.5260812003428</v>
      </c>
      <c r="L19" s="23">
        <f>IF(A19&gt;=(Title_RESULTS!$H$7+Title_RESULTS!$C$17),0,(+$K19-$F19))</f>
        <v>1456.5260812003428</v>
      </c>
      <c r="M19" s="23">
        <f>IF(A19&gt;=(Title_RESULTS!$H$7+Title_RESULTS!$C$17),0,(+M18+$L19/(1+Title_RESULTS!$C$37)^('Sheet7(F_23)'!$A19-Title_RESULTS!$H$7)))</f>
        <v>-4293.767119573789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359.6414004294054</v>
      </c>
      <c r="H20" s="5">
        <f>IF(A20&gt;=(Title_RESULTS!$H$7+Title_RESULTS!$C$17),0,(+'Sheet4(F_22)'!$D20+'Sheet4(F_22)'!$G20))</f>
        <v>118.35076302639257</v>
      </c>
      <c r="I20" s="5">
        <f>IF(A20&gt;=(Title_RESULTS!$H$7+Title_RESULTS!$C$17),0,(+'Sheet4(F_22)'!$H20))</f>
        <v>1029.5772144933635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1507.5693779491614</v>
      </c>
      <c r="L20" s="23">
        <f>IF(A20&gt;=(Title_RESULTS!$H$7+Title_RESULTS!$C$17),0,(+$K20-$F20))</f>
        <v>1507.5693779491614</v>
      </c>
      <c r="M20" s="23">
        <f>IF(A20&gt;=(Title_RESULTS!$H$7+Title_RESULTS!$C$17),0,(+M19+$L20/(1+Title_RESULTS!$C$37)^('Sheet7(F_23)'!$A20-Title_RESULTS!$H$7)))</f>
        <v>-3147.082843361896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369.8601925698845</v>
      </c>
      <c r="H21" s="5">
        <f>IF(A21&gt;=(Title_RESULTS!$H$7+Title_RESULTS!$C$17),0,(+'Sheet4(F_22)'!$D21+'Sheet4(F_22)'!$G21))</f>
        <v>121.191181339026</v>
      </c>
      <c r="I21" s="5">
        <f>IF(A21&gt;=(Title_RESULTS!$H$7+Title_RESULTS!$C$17),0,(+'Sheet4(F_22)'!$H21))</f>
        <v>1105.4559583501914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1596.507332259102</v>
      </c>
      <c r="L21" s="23">
        <f>IF(A21&gt;=(Title_RESULTS!$H$7+Title_RESULTS!$C$17),0,(+$K21-$F21))</f>
        <v>1596.507332259102</v>
      </c>
      <c r="M21" s="23">
        <f>IF(A21&gt;=(Title_RESULTS!$H$7+Title_RESULTS!$C$17),0,(+M20+$L21/(1+Title_RESULTS!$C$37)^('Sheet7(F_23)'!$A21-Title_RESULTS!$H$7)))</f>
        <v>-2013.040933071876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381.30472352598156</v>
      </c>
      <c r="H22" s="5">
        <f>IF(A22&gt;=(Title_RESULTS!$H$7+Title_RESULTS!$C$17),0,(+'Sheet4(F_22)'!$D22+'Sheet4(F_22)'!$G22))</f>
        <v>124.09976969116262</v>
      </c>
      <c r="I22" s="5">
        <f>IF(A22&gt;=(Title_RESULTS!$H$7+Title_RESULTS!$C$17),0,(+'Sheet4(F_22)'!$H22))</f>
        <v>1140.9130432007782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1646.3175364179224</v>
      </c>
      <c r="L22" s="23">
        <f>IF(A22&gt;=(Title_RESULTS!$H$7+Title_RESULTS!$C$17),0,(+$K22-$F22))</f>
        <v>1646.3175364179224</v>
      </c>
      <c r="M22" s="23">
        <f>IF(A22&gt;=(Title_RESULTS!$H$7+Title_RESULTS!$C$17),0,(+M21+$L22/(1+Title_RESULTS!$C$37)^('Sheet7(F_23)'!$A22-Title_RESULTS!$H$7)))</f>
        <v>-920.9383628905507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391.56942421710414</v>
      </c>
      <c r="H23" s="5">
        <f>IF(A23&gt;=(Title_RESULTS!$H$7+Title_RESULTS!$C$17),0,(+'Sheet4(F_22)'!$D23+'Sheet4(F_22)'!$G23))</f>
        <v>127.07816416375053</v>
      </c>
      <c r="I23" s="5">
        <f>IF(A23&gt;=(Title_RESULTS!$H$7+Title_RESULTS!$C$17),0,(+'Sheet4(F_22)'!$H23))</f>
        <v>1212.2150019025873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1730.862590283442</v>
      </c>
      <c r="L23" s="23">
        <f>IF(A23&gt;=(Title_RESULTS!$H$7+Title_RESULTS!$C$17),0,(+$K23-$F23))</f>
        <v>1730.862590283442</v>
      </c>
      <c r="M23" s="23">
        <f>IF(A23&gt;=(Title_RESULTS!$H$7+Title_RESULTS!$C$17),0,(+M22+$L23/(1+Title_RESULTS!$C$37)^('Sheet7(F_23)'!$A23-Title_RESULTS!$H$7)))</f>
        <v>151.33138629575274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397.9125674676521</v>
      </c>
      <c r="H24" s="5">
        <f>IF(A24&gt;=(Title_RESULTS!$H$7+Title_RESULTS!$C$17),0,(+'Sheet4(F_22)'!$D24+'Sheet4(F_22)'!$G24))</f>
        <v>130.12804010368052</v>
      </c>
      <c r="I24" s="5">
        <f>IF(A24&gt;=(Title_RESULTS!$H$7+Title_RESULTS!$C$17),0,(+'Sheet4(F_22)'!$H24))</f>
        <v>1343.274403307125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1871.3150108784578</v>
      </c>
      <c r="L24" s="23">
        <f>IF(A24&gt;=(Title_RESULTS!$H$7+Title_RESULTS!$C$17),0,(+$K24-$F24))</f>
        <v>1871.3150108784578</v>
      </c>
      <c r="M24" s="23">
        <f>IF(A24&gt;=(Title_RESULTS!$H$7+Title_RESULTS!$C$17),0,(+M23+$L24/(1+Title_RESULTS!$C$37)^('Sheet7(F_23)'!$A24-Title_RESULTS!$H$7)))</f>
        <v>1233.9612463391995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408.72120616559636</v>
      </c>
      <c r="H25" s="5">
        <f>IF(A25&gt;=(Title_RESULTS!$H$7+Title_RESULTS!$C$17),0,(+'Sheet4(F_22)'!$D25+'Sheet4(F_22)'!$G25))</f>
        <v>133.25111306616887</v>
      </c>
      <c r="I25" s="5">
        <f>IF(A25&gt;=(Title_RESULTS!$H$7+Title_RESULTS!$C$17),0,(+'Sheet4(F_22)'!$H25))</f>
        <v>1439.136198774637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1981.1085180064024</v>
      </c>
      <c r="L25" s="23">
        <f>IF(A25&gt;=(Title_RESULTS!$H$7+Title_RESULTS!$C$17),0,(+$K25-$F25))</f>
        <v>1981.1085180064024</v>
      </c>
      <c r="M25" s="23">
        <f>IF(A25&gt;=(Title_RESULTS!$H$7+Title_RESULTS!$C$17),0,(+M24+$L25/(1+Title_RESULTS!$C$37)^('Sheet7(F_23)'!$A25-Title_RESULTS!$H$7)))</f>
        <v>2304.3289649056373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415.2655356768282</v>
      </c>
      <c r="H26" s="5">
        <f>IF(A26&gt;=(Title_RESULTS!$H$7+Title_RESULTS!$C$17),0,(+'Sheet4(F_22)'!$D26+'Sheet4(F_22)'!$G26))</f>
        <v>136.44913977975693</v>
      </c>
      <c r="I26" s="5">
        <f>IF(A26&gt;=(Title_RESULTS!$H$7+Title_RESULTS!$C$17),0,(+'Sheet4(F_22)'!$H26))</f>
        <v>1607.4354055883095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2159.1500810448947</v>
      </c>
      <c r="L26" s="23">
        <f>IF(A26&gt;=(Title_RESULTS!$H$7+Title_RESULTS!$C$17),0,(+$K26-$F26))</f>
        <v>2159.1500810448947</v>
      </c>
      <c r="M26" s="23">
        <f>IF(A26&gt;=(Title_RESULTS!$H$7+Title_RESULTS!$C$17),0,(+M25+$L26/(1+Title_RESULTS!$C$37)^('Sheet7(F_23)'!$A26-Title_RESULTS!$H$7)))</f>
        <v>3393.758652175149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429.6004648335179</v>
      </c>
      <c r="H27" s="5">
        <f>IF(A27&gt;=(Title_RESULTS!$H$7+Title_RESULTS!$C$17),0,(+'Sheet4(F_22)'!$D27+'Sheet4(F_22)'!$G27))</f>
        <v>139.7239191344711</v>
      </c>
      <c r="I27" s="5">
        <f>IF(A27&gt;=(Title_RESULTS!$H$7+Title_RESULTS!$C$17),0,(+'Sheet4(F_22)'!$H27))</f>
        <v>1601.4576015596401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2170.7819855276293</v>
      </c>
      <c r="L27" s="23">
        <f>IF(A27&gt;=(Title_RESULTS!$H$7+Title_RESULTS!$C$17),0,(+$K27-$F27))</f>
        <v>2170.7819855276293</v>
      </c>
      <c r="M27" s="23">
        <f>IF(A27&gt;=(Title_RESULTS!$H$7+Title_RESULTS!$C$17),0,(+M26+$L27/(1+Title_RESULTS!$C$37)^('Sheet7(F_23)'!$A27-Title_RESULTS!$H$7)))</f>
        <v>4416.63755492309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438.657238766881</v>
      </c>
      <c r="H28" s="5">
        <f>IF(A28&gt;=(Title_RESULTS!$H$7+Title_RESULTS!$C$17),0,(+'Sheet4(F_22)'!$D28+'Sheet4(F_22)'!$G28))</f>
        <v>143.07729319369838</v>
      </c>
      <c r="I28" s="5">
        <f>IF(A28&gt;=(Title_RESULTS!$H$7+Title_RESULTS!$C$17),0,(+'Sheet4(F_22)'!$H28))</f>
        <v>1750.2451455657763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2331.9796775263558</v>
      </c>
      <c r="L28" s="23">
        <f>IF(A28&gt;=(Title_RESULTS!$H$7+Title_RESULTS!$C$17),0,(+$K28-$F28))</f>
        <v>2331.9796775263558</v>
      </c>
      <c r="M28" s="23">
        <f>IF(A28&gt;=(Title_RESULTS!$H$7+Title_RESULTS!$C$17),0,(+M27+$L28/(1+Title_RESULTS!$C$37)^('Sheet7(F_23)'!$A28-Title_RESULTS!$H$7)))</f>
        <v>5442.8195989860915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454.3219178833622</v>
      </c>
      <c r="H29" s="5">
        <f>IF(A29&gt;=(Title_RESULTS!$H$7+Title_RESULTS!$C$17),0,(+'Sheet4(F_22)'!$D29+'Sheet4(F_22)'!$G29))</f>
        <v>146.51114823034717</v>
      </c>
      <c r="I29" s="5">
        <f>IF(A29&gt;=(Title_RESULTS!$H$7+Title_RESULTS!$C$17),0,(+'Sheet4(F_22)'!$H29))</f>
        <v>1866.477238550758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2467.3103046644674</v>
      </c>
      <c r="L29" s="23">
        <f>IF(A29&gt;=(Title_RESULTS!$H$7+Title_RESULTS!$C$17),0,(+$K29-$F29))</f>
        <v>2467.3103046644674</v>
      </c>
      <c r="M29" s="23">
        <f>IF(A29&gt;=(Title_RESULTS!$H$7+Title_RESULTS!$C$17),0,(+M28+$L29/(1+Title_RESULTS!$C$37)^('Sheet7(F_23)'!$A29-Title_RESULTS!$H$7)))</f>
        <v>6456.7661443697125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463.095814185619</v>
      </c>
      <c r="H30" s="5">
        <f>IF(A30&gt;=(Title_RESULTS!$H$7+Title_RESULTS!$C$17),0,(+'Sheet4(F_22)'!$D30+'Sheet4(F_22)'!$G30))</f>
        <v>150.0274157878755</v>
      </c>
      <c r="I30" s="5">
        <f>IF(A30&gt;=(Title_RESULTS!$H$7+Title_RESULTS!$C$17),0,(+'Sheet4(F_22)'!$H30))</f>
        <v>1953.3846558724927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2566.5078858459874</v>
      </c>
      <c r="L30" s="23">
        <f>IF(A30&gt;=(Title_RESULTS!$H$7+Title_RESULTS!$C$17),0,(+$K30-$F30))</f>
        <v>2566.5078858459874</v>
      </c>
      <c r="M30" s="23">
        <f>IF(A30&gt;=(Title_RESULTS!$H$7+Title_RESULTS!$C$17),0,(+M29+$L30/(1+Title_RESULTS!$C$37)^('Sheet7(F_23)'!$A30-Title_RESULTS!$H$7)))</f>
        <v>7441.741870460561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7063.231791319999</v>
      </c>
      <c r="E32" s="5">
        <f t="shared" si="1"/>
        <v>0</v>
      </c>
      <c r="F32" s="5">
        <f t="shared" si="1"/>
        <v>7447.303791319999</v>
      </c>
      <c r="G32" s="5">
        <f t="shared" si="1"/>
        <v>4860.25118606301</v>
      </c>
      <c r="H32" s="5">
        <f t="shared" si="1"/>
        <v>1808.5556848890908</v>
      </c>
      <c r="I32" s="5">
        <f t="shared" si="1"/>
        <v>18449.18388081818</v>
      </c>
      <c r="J32" s="5">
        <f t="shared" si="1"/>
        <v>0</v>
      </c>
      <c r="K32" s="5">
        <f t="shared" si="1"/>
        <v>25117.99075177028</v>
      </c>
      <c r="L32" s="5">
        <f t="shared" si="1"/>
        <v>17670.68696045028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6599.667999162472</v>
      </c>
      <c r="E34" s="5">
        <f>NPV(Title_RESULTS!$C$37,'Sheet7(F_23)'!E17:E31)+'Sheet7(F_23)'!E16</f>
        <v>0</v>
      </c>
      <c r="F34" s="5">
        <f>NPV(Title_RESULTS!$C$37,'Sheet7(F_23)'!F17:F31)+'Sheet7(F_23)'!F16</f>
        <v>6958.517156799527</v>
      </c>
      <c r="G34" s="5">
        <f>NPV(Title_RESULTS!$C$37,'Sheet7(F_23)'!G17:G31)+'Sheet7(F_23)'!G16</f>
        <v>2737.554496175846</v>
      </c>
      <c r="H34" s="5">
        <f>NPV(Title_RESULTS!$C$37,'Sheet7(F_23)'!H17:H31)+'Sheet7(F_23)'!H16</f>
        <v>1095.3691364814065</v>
      </c>
      <c r="I34" s="5">
        <f>NPV(Title_RESULTS!$C$37,'Sheet7(F_23)'!I17:I31)+'Sheet7(F_23)'!I16</f>
        <v>10567.335394602835</v>
      </c>
      <c r="J34" s="5">
        <f>NPV(Title_RESULTS!$C$37,'Sheet7(F_23)'!J17:J31)+'Sheet7(F_23)'!J16</f>
        <v>0</v>
      </c>
      <c r="K34" s="5">
        <f>NPV(Title_RESULTS!$C$37,'Sheet7(F_23)'!K17:K31)+'Sheet7(F_23)'!K16</f>
        <v>14400.259027260086</v>
      </c>
      <c r="L34" s="5">
        <f>NPV(Title_RESULTS!$C$37,'Sheet7(F_23)'!L17:L31)+'Sheet7(F_23)'!L16</f>
        <v>7441.741870460559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2.069443633287424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Pump Equipment Upgrade</v>
      </c>
      <c r="L2" t="s">
        <v>55</v>
      </c>
    </row>
    <row r="3" ht="12.75">
      <c r="L3" s="35">
        <f>+Title_RESULTS!I4</f>
        <v>43599.326368981485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312.1902360419757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998.28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1310.4702360419756</v>
      </c>
      <c r="G16" s="5">
        <f>IF(A16&gt;=(Title_RESULTS!$H$7+Title_RESULTS!$C$17),0,(+'Sheet6(p_6)'!$H16))</f>
        <v>2301.08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2301.08</v>
      </c>
      <c r="K16" s="23">
        <f>IF(A16&gt;=(Title_RESULTS!$H$7+Title_RESULTS!$C$17),0,(+F16-J16))</f>
        <v>-990.6097639580244</v>
      </c>
      <c r="L16" s="23">
        <f>IF(A16&gt;=(Title_RESULTS!$H$7+Title_RESULTS!$C$17),0,(+$K16/((1+Title_RESULTS!$C$37)^('Sheet8(F_24)'!$A16-Title_RESULTS!$H$7))))</f>
        <v>-990.6097639580244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959.8396064835426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998.28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1958.1196064835426</v>
      </c>
      <c r="G17" s="5">
        <f>IF(A17&gt;=(Title_RESULTS!$H$7+Title_RESULTS!$C$17),0,(+'Sheet6(p_6)'!$H17))</f>
        <v>2354.0048399999996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2354.0048399999996</v>
      </c>
      <c r="K17" s="23">
        <f>IF(A17&gt;=(Title_RESULTS!$H$7+Title_RESULTS!$C$17),0,(+F17-J17))</f>
        <v>-395.885233516457</v>
      </c>
      <c r="L17" s="23">
        <f>IF(A16&gt;=(Title_RESULTS!$H$7+Title_RESULTS!$C$17),0,(+$K17/((1+Title_RESULTS!$C$37)^('Sheet8(F_24)'!$A17-Title_RESULTS!$H$7))+L16))</f>
        <v>-1360.3195449782495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1633.0581200694105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998.28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2631.3381200694103</v>
      </c>
      <c r="G18" s="5">
        <f>IF(A18&gt;=(Title_RESULTS!$H$7+Title_RESULTS!$C$17),0,(+'Sheet6(p_6)'!$H18))</f>
        <v>2408.1469513199995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2408.1469513199995</v>
      </c>
      <c r="K18" s="23">
        <f>IF(A18&gt;=(Title_RESULTS!$H$7+Title_RESULTS!$C$17),0,(+F18-J18))</f>
        <v>223.19116874941074</v>
      </c>
      <c r="L18" s="23">
        <f>IF(A17&gt;=(Title_RESULTS!$H$7+Title_RESULTS!$C$17),0,(+$K18/((1+Title_RESULTS!$C$37)^('Sheet8(F_24)'!$A18-Title_RESULTS!$H$7))+L17))</f>
        <v>-1165.6669125518263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1964.6465689923884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1964.6465689923884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1964.6465689923884</v>
      </c>
      <c r="L19" s="23">
        <f>IF(A18&gt;=(Title_RESULTS!$H$7+Title_RESULTS!$C$17),0,(+$K19/((1+Title_RESULTS!$C$37)^('Sheet8(F_24)'!$A19-Title_RESULTS!$H$7))+L18))</f>
        <v>434.47811609716564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2021.5202134080282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2021.5202134080282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2021.5202134080282</v>
      </c>
      <c r="L20" s="23">
        <f>IF(A19&gt;=(Title_RESULTS!$H$7+Title_RESULTS!$C$17),0,(+$K20/((1+Title_RESULTS!$C$37)^('Sheet8(F_24)'!$A20-Title_RESULTS!$H$7))+L19))</f>
        <v>1972.0826049286356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2081.6457901234544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2081.6457901234544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2081.6457901234544</v>
      </c>
      <c r="L21" s="23">
        <f>IF(A20&gt;=(Title_RESULTS!$H$7+Title_RESULTS!$C$17),0,(+$K21/((1+Title_RESULTS!$C$37)^('Sheet8(F_24)'!$A21-Title_RESULTS!$H$7))+L20))</f>
        <v>3450.731353154779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2133.8150067441275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2133.8150067441275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2133.8150067441275</v>
      </c>
      <c r="L22" s="23">
        <f>IF(A21&gt;=(Title_RESULTS!$H$7+Title_RESULTS!$C$17),0,(+$K22/((1+Title_RESULTS!$C$37)^('Sheet8(F_24)'!$A22-Title_RESULTS!$H$7))+L21))</f>
        <v>4866.220650697667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2200.641847004111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2200.641847004111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2200.641847004111</v>
      </c>
      <c r="L23" s="23">
        <f>IF(A22&gt;=(Title_RESULTS!$H$7+Title_RESULTS!$C$17),0,(+$K23/((1+Title_RESULTS!$C$37)^('Sheet8(F_24)'!$A23-Title_RESULTS!$H$7))+L22))</f>
        <v>6229.5187510682845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2306.1064860960582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2306.1064860960582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2306.1064860960582</v>
      </c>
      <c r="L24" s="23">
        <f>IF(A23&gt;=(Title_RESULTS!$H$7+Title_RESULTS!$C$17),0,(+$K24/((1+Title_RESULTS!$C$37)^('Sheet8(F_24)'!$A24-Title_RESULTS!$H$7))+L23))</f>
        <v>7563.692702419984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2373.3382203188826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2373.3382203188826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2373.3382203188826</v>
      </c>
      <c r="L25" s="23">
        <f>IF(A24&gt;=(Title_RESULTS!$H$7+Title_RESULTS!$C$17),0,(+$K25/((1+Title_RESULTS!$C$37)^('Sheet8(F_24)'!$A25-Title_RESULTS!$H$7))+L24))</f>
        <v>8845.977137209862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2487.2569769693023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2487.2569769693023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2487.2569769693023</v>
      </c>
      <c r="L26" s="23">
        <f>IF(A25&gt;=(Title_RESULTS!$H$7+Title_RESULTS!$C$17),0,(+$K26/((1+Title_RESULTS!$C$37)^('Sheet8(F_24)'!$A26-Title_RESULTS!$H$7))+L25))</f>
        <v>10100.9577957416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2542.3571670233623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2542.3571670233623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2542.3571670233623</v>
      </c>
      <c r="L27" s="23">
        <f>IF(A26&gt;=(Title_RESULTS!$H$7+Title_RESULTS!$C$17),0,(+$K27/((1+Title_RESULTS!$C$37)^('Sheet8(F_24)'!$A27-Title_RESULTS!$H$7))+L26))</f>
        <v>11298.924024840437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2646.1731090279327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2646.1731090279327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2646.1731090279327</v>
      </c>
      <c r="L28" s="23">
        <f>IF(A27&gt;=(Title_RESULTS!$H$7+Title_RESULTS!$C$17),0,(+$K28/((1+Title_RESULTS!$C$37)^('Sheet8(F_24)'!$A28-Title_RESULTS!$H$7))+L27))</f>
        <v>12463.366132177858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2687.6594542404027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2687.6594542404027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2687.6594542404027</v>
      </c>
      <c r="L29" s="23">
        <f>IF(A28&gt;=(Title_RESULTS!$H$7+Title_RESULTS!$C$17),0,(+$K29/((1+Title_RESULTS!$C$37)^('Sheet8(F_24)'!$A29-Title_RESULTS!$H$7))+L28))</f>
        <v>13567.865640668047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2792.8670965440747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2792.8670965440747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2792.8670965440747</v>
      </c>
      <c r="L30" s="23">
        <f>IF(A29&gt;=(Title_RESULTS!$H$7+Title_RESULTS!$C$17),0,(+$K30/((1+Title_RESULTS!$C$37)^('Sheet8(F_24)'!$A30-Title_RESULTS!$H$7))+L29))</f>
        <v>14639.71362191318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31143.11589908705</v>
      </c>
      <c r="C32" s="5">
        <f t="shared" si="1"/>
        <v>0</v>
      </c>
      <c r="D32" s="5">
        <f t="shared" si="1"/>
        <v>2994.84</v>
      </c>
      <c r="E32" s="5">
        <f t="shared" si="1"/>
        <v>0</v>
      </c>
      <c r="F32" s="5">
        <f t="shared" si="1"/>
        <v>34137.95589908705</v>
      </c>
      <c r="G32" s="5">
        <f t="shared" si="1"/>
        <v>7063.231791319999</v>
      </c>
      <c r="H32" s="5">
        <f t="shared" si="1"/>
        <v>0</v>
      </c>
      <c r="I32" s="5">
        <f t="shared" si="1"/>
        <v>0</v>
      </c>
      <c r="J32" s="5">
        <f t="shared" si="1"/>
        <v>7063.231791319999</v>
      </c>
      <c r="K32" s="5">
        <f t="shared" si="1"/>
        <v>27074.72410776705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18438.19264215492</v>
      </c>
      <c r="C34" s="5">
        <f>NPV(Title_RESULTS!$C$37,'Sheet8(F_24)'!C17:C31)+'Sheet8(F_24)'!C16</f>
        <v>0</v>
      </c>
      <c r="D34" s="5">
        <f>NPV(Title_RESULTS!$C$37,'Sheet8(F_24)'!D17:D31)+'Sheet8(F_24)'!D16</f>
        <v>2801.1889789207275</v>
      </c>
      <c r="E34" s="5">
        <f>NPV(Title_RESULTS!$C$37,'Sheet8(F_24)'!E17:E31)+'Sheet8(F_24)'!E16</f>
        <v>0</v>
      </c>
      <c r="F34" s="5">
        <f>NPV(Title_RESULTS!$C$37,'Sheet8(F_24)'!F17:F31)+'Sheet8(F_24)'!F16</f>
        <v>21239.38162107565</v>
      </c>
      <c r="G34" s="5">
        <f>NPV(Title_RESULTS!$C$37,'Sheet8(F_24)'!G17:G31)+'Sheet8(F_24)'!G16</f>
        <v>6599.667999162472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6599.667999162472</v>
      </c>
      <c r="K34" s="5">
        <f>NPV(Title_RESULTS!$C$37,'Sheet8(F_24)'!K17:K31)+'Sheet8(F_24)'!K16</f>
        <v>14639.71362191318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3.2182500125416946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Pump Equipment Upgrade</v>
      </c>
      <c r="N2" t="s">
        <v>55</v>
      </c>
    </row>
    <row r="3" ht="12.75">
      <c r="N3" s="35">
        <f>+Title_RESULTS!I4</f>
        <v>43599.326368981485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998.28</v>
      </c>
      <c r="E16" s="5">
        <f>+'Sheet6(p_6)'!M16</f>
        <v>188.91363</v>
      </c>
      <c r="F16">
        <f>IF(A16&gt;=(Title_RESULTS!$H$7+Title_RESULTS!$C$17),0,(+'f-11B'!$R15))</f>
        <v>0</v>
      </c>
      <c r="G16" s="5">
        <f>IF(A16&gt;=(Title_RESULTS!$H$7+Title_RESULTS!$C$17),0,(SUM(B16:F16)))</f>
        <v>1312.19363</v>
      </c>
      <c r="H16" s="5">
        <f>IF(A16&gt;=(Title_RESULTS!$H$7+Title_RESULTS!$C$17),0,(+'Sheet3(F_21)'!$J16+'Sheet4(F_22)'!$H16))</f>
        <v>154.93399977727694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154.93399977727694</v>
      </c>
      <c r="M16" s="23">
        <f>IF(A16&gt;=(Title_RESULTS!$H$7+Title_RESULTS!$C$17),0,(+L16-G16))</f>
        <v>-1157.259630222723</v>
      </c>
      <c r="N16" s="24">
        <f>IF(A16&gt;=(Title_RESULTS!$H$7+Title_RESULTS!$C$17),0,(+$M16/((1+Title_RESULTS!$C$37)^('Sheet9(F_25)'!$A16-Title_RESULTS!$H$7))))</f>
        <v>-1157.259630222723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998.28</v>
      </c>
      <c r="E17" s="5">
        <f>+'Sheet6(p_6)'!M17</f>
        <v>572.4082989000001</v>
      </c>
      <c r="F17">
        <f>IF(A17&gt;=(Title_RESULTS!$H$7+Title_RESULTS!$C$17),0,(+'f-11B'!$R16))</f>
        <v>0</v>
      </c>
      <c r="G17" s="5">
        <f>IF(A17&gt;=(Title_RESULTS!$H$7+Title_RESULTS!$C$17),0,(SUM(B17:F17)))</f>
        <v>1698.6882989</v>
      </c>
      <c r="H17" s="5">
        <f>IF(A17&gt;=(Title_RESULTS!$H$7+Title_RESULTS!$C$17),0,(+'Sheet3(F_21)'!$J17+'Sheet4(F_22)'!$H17))</f>
        <v>461.02136810492647</v>
      </c>
      <c r="I17" s="5">
        <f>IF(A17&gt;=(Title_RESULTS!$H$7+Title_RESULTS!$C$17),0,(+'Sheet4(F_22)'!$D17+'Sheet4(F_22)'!$G17))</f>
        <v>110.2227373294463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571.2441054343727</v>
      </c>
      <c r="M17" s="23">
        <f>IF(A17&gt;=(Title_RESULTS!$H$7+Title_RESULTS!$C$17),0,(+L17-G17))</f>
        <v>-1127.4441934656274</v>
      </c>
      <c r="N17" s="24">
        <f>(IF(A16&gt;=(Title_RESULTS!$H$7+Title_RESULTS!$C$17),0,(+$M17/((1+Title_RESULTS!$C$37)^('Sheet9(F_25)'!$A17-Title_RESULTS!$H$7))+N16)))</f>
        <v>-2210.1585781734398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998.28</v>
      </c>
      <c r="E18" s="5">
        <f>+'Sheet6(p_6)'!M18</f>
        <v>963.5539698150001</v>
      </c>
      <c r="F18">
        <f>IF(A18&gt;=(Title_RESULTS!$H$7+Title_RESULTS!$C$17),0,(+'f-11B'!$R17))</f>
        <v>0</v>
      </c>
      <c r="G18" s="5">
        <f>IF(A18&gt;=(Title_RESULTS!$H$7+Title_RESULTS!$C$17),0,(SUM(B18:F18)))</f>
        <v>2092.905969815</v>
      </c>
      <c r="H18" s="5">
        <f>IF(A18&gt;=(Title_RESULTS!$H$7+Title_RESULTS!$C$17),0,(+'Sheet3(F_21)'!$J18+'Sheet4(F_22)'!$H18))</f>
        <v>793.0081819291114</v>
      </c>
      <c r="I18" s="5">
        <f>IF(A18&gt;=(Title_RESULTS!$H$7+Title_RESULTS!$C$17),0,(+'Sheet4(F_22)'!$D18+'Sheet4(F_22)'!$G18))</f>
        <v>112.86808302535302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905.8762649544644</v>
      </c>
      <c r="M18" s="23">
        <f>IF(A18&gt;=(Title_RESULTS!$H$7+Title_RESULTS!$C$17),0,(+L18-G18))</f>
        <v>-1187.0297048605355</v>
      </c>
      <c r="N18" s="24">
        <f>(IF(A17&gt;=(Title_RESULTS!$H$7+Title_RESULTS!$C$17),0,(+$M18/((1+Title_RESULTS!$C$37)^('Sheet9(F_25)'!$A18-Title_RESULTS!$H$7))+N17)))</f>
        <v>-3245.407679265275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1167.82741141578</v>
      </c>
      <c r="F19">
        <f>IF(A19&gt;=(Title_RESULTS!$H$7+Title_RESULTS!$C$17),0,(+'f-11B'!$R18))</f>
        <v>0</v>
      </c>
      <c r="G19" s="5">
        <f>IF(A19&gt;=(Title_RESULTS!$H$7+Title_RESULTS!$C$17),0,(SUM(B19:F19)))</f>
        <v>1167.82741141578</v>
      </c>
      <c r="H19" s="5">
        <f>IF(A19&gt;=(Title_RESULTS!$H$7+Title_RESULTS!$C$17),0,(+'Sheet3(F_21)'!$J19+'Sheet4(F_22)'!$H19))</f>
        <v>1340.9491641823813</v>
      </c>
      <c r="I19" s="5">
        <f>IF(A19&gt;=(Title_RESULTS!$H$7+Title_RESULTS!$C$17),0,(+'Sheet4(F_22)'!$D19+'Sheet4(F_22)'!$G19))</f>
        <v>115.5769170179615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1456.5260812003428</v>
      </c>
      <c r="M19" s="23">
        <f>IF(A19&gt;=(Title_RESULTS!$H$7+Title_RESULTS!$C$17),0,(+L19-G19))</f>
        <v>288.69866978456275</v>
      </c>
      <c r="N19" s="24">
        <f>(IF(A18&gt;=(Title_RESULTS!$H$7+Title_RESULTS!$C$17),0,(+$M19/((1+Title_RESULTS!$C$37)^('Sheet9(F_25)'!$A19-Title_RESULTS!$H$7))+N18)))</f>
        <v>-3010.271371023192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1179.5056855299379</v>
      </c>
      <c r="F20">
        <f>IF(A20&gt;=(Title_RESULTS!$H$7+Title_RESULTS!$C$17),0,(+'f-11B'!$R19))</f>
        <v>0</v>
      </c>
      <c r="G20" s="5">
        <f>IF(A20&gt;=(Title_RESULTS!$H$7+Title_RESULTS!$C$17),0,(SUM(B20:F20)))</f>
        <v>1179.5056855299379</v>
      </c>
      <c r="H20" s="5">
        <f>IF(A20&gt;=(Title_RESULTS!$H$7+Title_RESULTS!$C$17),0,(+'Sheet3(F_21)'!$J20+'Sheet4(F_22)'!$H20))</f>
        <v>1389.218614922769</v>
      </c>
      <c r="I20" s="5">
        <f>IF(A20&gt;=(Title_RESULTS!$H$7+Title_RESULTS!$C$17),0,(+'Sheet4(F_22)'!$D20+'Sheet4(F_22)'!$G20))</f>
        <v>118.35076302639257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1507.5693779491614</v>
      </c>
      <c r="M20" s="23">
        <f>IF(A20&gt;=(Title_RESULTS!$H$7+Title_RESULTS!$C$17),0,(+L20-G20))</f>
        <v>328.06369241922357</v>
      </c>
      <c r="N20" s="24">
        <f>(IF(A19&gt;=(Title_RESULTS!$H$7+Title_RESULTS!$C$17),0,(+$M20/((1+Title_RESULTS!$C$37)^('Sheet9(F_25)'!$A20-Title_RESULTS!$H$7))+N19)))</f>
        <v>-2760.740249473823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1191.3007423852373</v>
      </c>
      <c r="F21">
        <f>IF(A21&gt;=(Title_RESULTS!$H$7+Title_RESULTS!$C$17),0,(+'f-11B'!$R20))</f>
        <v>0</v>
      </c>
      <c r="G21" s="5">
        <f>IF(A21&gt;=(Title_RESULTS!$H$7+Title_RESULTS!$C$17),0,(SUM(B21:F21)))</f>
        <v>1191.3007423852373</v>
      </c>
      <c r="H21" s="5">
        <f>IF(A21&gt;=(Title_RESULTS!$H$7+Title_RESULTS!$C$17),0,(+'Sheet3(F_21)'!$J21+'Sheet4(F_22)'!$H21))</f>
        <v>1475.3161509200759</v>
      </c>
      <c r="I21" s="5">
        <f>IF(A21&gt;=(Title_RESULTS!$H$7+Title_RESULTS!$C$17),0,(+'Sheet4(F_22)'!$D21+'Sheet4(F_22)'!$G21))</f>
        <v>121.191181339026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1596.507332259102</v>
      </c>
      <c r="M21" s="23">
        <f>IF(A21&gt;=(Title_RESULTS!$H$7+Title_RESULTS!$C$17),0,(+L21-G21))</f>
        <v>405.2065898738647</v>
      </c>
      <c r="N21" s="24">
        <f>(IF(A20&gt;=(Title_RESULTS!$H$7+Title_RESULTS!$C$17),0,(+$M21/((1+Title_RESULTS!$C$37)^('Sheet9(F_25)'!$A21-Title_RESULTS!$H$7))+N20)))</f>
        <v>-2472.9111578326174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1203.2137498090897</v>
      </c>
      <c r="F22">
        <f>IF(A22&gt;=(Title_RESULTS!$H$7+Title_RESULTS!$C$17),0,(+'f-11B'!$R21))</f>
        <v>0</v>
      </c>
      <c r="G22" s="5">
        <f>IF(A22&gt;=(Title_RESULTS!$H$7+Title_RESULTS!$C$17),0,(SUM(B22:F22)))</f>
        <v>1203.2137498090897</v>
      </c>
      <c r="H22" s="5">
        <f>IF(A22&gt;=(Title_RESULTS!$H$7+Title_RESULTS!$C$17),0,(+'Sheet3(F_21)'!$J22+'Sheet4(F_22)'!$H22))</f>
        <v>1522.2177667267597</v>
      </c>
      <c r="I22" s="5">
        <f>IF(A22&gt;=(Title_RESULTS!$H$7+Title_RESULTS!$C$17),0,(+'Sheet4(F_22)'!$D22+'Sheet4(F_22)'!$G22))</f>
        <v>124.09976969116262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1646.3175364179224</v>
      </c>
      <c r="M22" s="23">
        <f>IF(A22&gt;=(Title_RESULTS!$H$7+Title_RESULTS!$C$17),0,(+L22-G22))</f>
        <v>443.1037866088327</v>
      </c>
      <c r="N22" s="24">
        <f>(IF(A21&gt;=(Title_RESULTS!$H$7+Title_RESULTS!$C$17),0,(+$M22/((1+Title_RESULTS!$C$37)^('Sheet9(F_25)'!$A22-Title_RESULTS!$H$7))+N21)))</f>
        <v>-2178.9734614235203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1215.2458873071805</v>
      </c>
      <c r="F23">
        <f>IF(A23&gt;=(Title_RESULTS!$H$7+Title_RESULTS!$C$17),0,(+'f-11B'!$R22))</f>
        <v>0</v>
      </c>
      <c r="G23" s="5">
        <f>IF(A23&gt;=(Title_RESULTS!$H$7+Title_RESULTS!$C$17),0,(SUM(B23:F23)))</f>
        <v>1215.2458873071805</v>
      </c>
      <c r="H23" s="5">
        <f>IF(A23&gt;=(Title_RESULTS!$H$7+Title_RESULTS!$C$17),0,(+'Sheet3(F_21)'!$J23+'Sheet4(F_22)'!$H23))</f>
        <v>1603.7844261196915</v>
      </c>
      <c r="I23" s="5">
        <f>IF(A23&gt;=(Title_RESULTS!$H$7+Title_RESULTS!$C$17),0,(+'Sheet4(F_22)'!$D23+'Sheet4(F_22)'!$G23))</f>
        <v>127.07816416375053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1730.862590283442</v>
      </c>
      <c r="M23" s="23">
        <f>IF(A23&gt;=(Title_RESULTS!$H$7+Title_RESULTS!$C$17),0,(+L23-G23))</f>
        <v>515.6167029762614</v>
      </c>
      <c r="N23" s="24">
        <f>(IF(A22&gt;=(Title_RESULTS!$H$7+Title_RESULTS!$C$17),0,(+$M23/((1+Title_RESULTS!$C$37)^('Sheet9(F_25)'!$A23-Title_RESULTS!$H$7))+N22)))</f>
        <v>-1859.5488023660464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1227.3983461802525</v>
      </c>
      <c r="F24">
        <f>IF(A24&gt;=(Title_RESULTS!$H$7+Title_RESULTS!$C$17),0,(+'f-11B'!$R23))</f>
        <v>0</v>
      </c>
      <c r="G24" s="5">
        <f>IF(A24&gt;=(Title_RESULTS!$H$7+Title_RESULTS!$C$17),0,(SUM(B24:F24)))</f>
        <v>1227.3983461802525</v>
      </c>
      <c r="H24" s="5">
        <f>IF(A24&gt;=(Title_RESULTS!$H$7+Title_RESULTS!$C$17),0,(+'Sheet3(F_21)'!$J24+'Sheet4(F_22)'!$H24))</f>
        <v>1741.1869707747771</v>
      </c>
      <c r="I24" s="5">
        <f>IF(A24&gt;=(Title_RESULTS!$H$7+Title_RESULTS!$C$17),0,(+'Sheet4(F_22)'!$D24+'Sheet4(F_22)'!$G24))</f>
        <v>130.12804010368052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1871.3150108784575</v>
      </c>
      <c r="M24" s="23">
        <f>IF(A24&gt;=(Title_RESULTS!$H$7+Title_RESULTS!$C$17),0,(+L24-G24))</f>
        <v>643.9166646982051</v>
      </c>
      <c r="N24" s="24">
        <f>(IF(A23&gt;=(Title_RESULTS!$H$7+Title_RESULTS!$C$17),0,(+$M24/((1+Title_RESULTS!$C$37)^('Sheet9(F_25)'!$A24-Title_RESULTS!$H$7))+N23)))</f>
        <v>-1487.017505107544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1239.672329642055</v>
      </c>
      <c r="F25">
        <f>IF(A25&gt;=(Title_RESULTS!$H$7+Title_RESULTS!$C$17),0,(+'f-11B'!$R24))</f>
        <v>0</v>
      </c>
      <c r="G25" s="5">
        <f>IF(A25&gt;=(Title_RESULTS!$H$7+Title_RESULTS!$C$17),0,(SUM(B25:F25)))</f>
        <v>1239.672329642055</v>
      </c>
      <c r="H25" s="5">
        <f>IF(A25&gt;=(Title_RESULTS!$H$7+Title_RESULTS!$C$17),0,(+'Sheet3(F_21)'!$J25+'Sheet4(F_22)'!$H25))</f>
        <v>1847.8574049402334</v>
      </c>
      <c r="I25" s="5">
        <f>IF(A25&gt;=(Title_RESULTS!$H$7+Title_RESULTS!$C$17),0,(+'Sheet4(F_22)'!$D25+'Sheet4(F_22)'!$G25))</f>
        <v>133.25111306616887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1981.1085180064024</v>
      </c>
      <c r="M25" s="23">
        <f>IF(A25&gt;=(Title_RESULTS!$H$7+Title_RESULTS!$C$17),0,(+L25-G25))</f>
        <v>741.4361883643473</v>
      </c>
      <c r="N25" s="24">
        <f>(IF(A24&gt;=(Title_RESULTS!$H$7+Title_RESULTS!$C$17),0,(+$M25/((1+Title_RESULTS!$C$37)^('Sheet9(F_25)'!$A25-Title_RESULTS!$H$7))+N24)))</f>
        <v>-1086.4289688466658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1252.0690529384756</v>
      </c>
      <c r="F26">
        <f>IF(A26&gt;=(Title_RESULTS!$H$7+Title_RESULTS!$C$17),0,(+'f-11B'!$R25))</f>
        <v>0</v>
      </c>
      <c r="G26" s="5">
        <f>IF(A26&gt;=(Title_RESULTS!$H$7+Title_RESULTS!$C$17),0,(SUM(B26:F26)))</f>
        <v>1252.0690529384756</v>
      </c>
      <c r="H26" s="5">
        <f>IF(A26&gt;=(Title_RESULTS!$H$7+Title_RESULTS!$C$17),0,(+'Sheet3(F_21)'!$J26+'Sheet4(F_22)'!$H26))</f>
        <v>2022.7009412651378</v>
      </c>
      <c r="I26" s="5">
        <f>IF(A26&gt;=(Title_RESULTS!$H$7+Title_RESULTS!$C$17),0,(+'Sheet4(F_22)'!$D26+'Sheet4(F_22)'!$G26))</f>
        <v>136.44913977975693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2159.1500810448947</v>
      </c>
      <c r="M26" s="23">
        <f>IF(A26&gt;=(Title_RESULTS!$H$7+Title_RESULTS!$C$17),0,(+L26-G26))</f>
        <v>907.0810281064191</v>
      </c>
      <c r="N26" s="24">
        <f>(IF(A25&gt;=(Title_RESULTS!$H$7+Title_RESULTS!$C$17),0,(+$M26/((1+Title_RESULTS!$C$37)^('Sheet9(F_25)'!$A26-Title_RESULTS!$H$7))+N25)))</f>
        <v>-628.7484169232648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1264.58974346786</v>
      </c>
      <c r="F27">
        <f>IF(A27&gt;=(Title_RESULTS!$H$7+Title_RESULTS!$C$17),0,(+'f-11B'!$R26))</f>
        <v>0</v>
      </c>
      <c r="G27" s="5">
        <f>IF(A27&gt;=(Title_RESULTS!$H$7+Title_RESULTS!$C$17),0,(SUM(B27:F27)))</f>
        <v>1264.58974346786</v>
      </c>
      <c r="H27" s="5">
        <f>IF(A27&gt;=(Title_RESULTS!$H$7+Title_RESULTS!$C$17),0,(+'Sheet3(F_21)'!$J27+'Sheet4(F_22)'!$H27))</f>
        <v>2031.058066393158</v>
      </c>
      <c r="I27" s="5">
        <f>IF(A27&gt;=(Title_RESULTS!$H$7+Title_RESULTS!$C$17),0,(+'Sheet4(F_22)'!$D27+'Sheet4(F_22)'!$G27))</f>
        <v>139.7239191344711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2170.7819855276293</v>
      </c>
      <c r="M27" s="23">
        <f>IF(A27&gt;=(Title_RESULTS!$H$7+Title_RESULTS!$C$17),0,(+L27-G27))</f>
        <v>906.1922420597693</v>
      </c>
      <c r="N27" s="24">
        <f>(IF(A26&gt;=(Title_RESULTS!$H$7+Title_RESULTS!$C$17),0,(+$M27/((1+Title_RESULTS!$C$37)^('Sheet9(F_25)'!$A27-Title_RESULTS!$H$7))+N26)))</f>
        <v>-201.74794777597043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1277.2356409025388</v>
      </c>
      <c r="F28">
        <f>IF(A28&gt;=(Title_RESULTS!$H$7+Title_RESULTS!$C$17),0,(+'f-11B'!$R27))</f>
        <v>0</v>
      </c>
      <c r="G28" s="5">
        <f>IF(A28&gt;=(Title_RESULTS!$H$7+Title_RESULTS!$C$17),0,(SUM(B28:F28)))</f>
        <v>1277.2356409025388</v>
      </c>
      <c r="H28" s="5">
        <f>IF(A28&gt;=(Title_RESULTS!$H$7+Title_RESULTS!$C$17),0,(+'Sheet3(F_21)'!$J28+'Sheet4(F_22)'!$H28))</f>
        <v>2188.902384332657</v>
      </c>
      <c r="I28" s="5">
        <f>IF(A28&gt;=(Title_RESULTS!$H$7+Title_RESULTS!$C$17),0,(+'Sheet4(F_22)'!$D28+'Sheet4(F_22)'!$G28))</f>
        <v>143.07729319369838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2331.9796775263558</v>
      </c>
      <c r="M28" s="23">
        <f>IF(A28&gt;=(Title_RESULTS!$H$7+Title_RESULTS!$C$17),0,(+L28-G28))</f>
        <v>1054.744036623817</v>
      </c>
      <c r="N28" s="24">
        <f>(IF(A27&gt;=(Title_RESULTS!$H$7+Title_RESULTS!$C$17),0,(+$M28/((1+Title_RESULTS!$C$37)^('Sheet9(F_25)'!$A28-Title_RESULTS!$H$7))+N27)))</f>
        <v>262.38962679071756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1290.0079973115642</v>
      </c>
      <c r="F29">
        <f>IF(A29&gt;=(Title_RESULTS!$H$7+Title_RESULTS!$C$17),0,(+'f-11B'!$R28))</f>
        <v>0</v>
      </c>
      <c r="G29" s="5">
        <f>IF(A29&gt;=(Title_RESULTS!$H$7+Title_RESULTS!$C$17),0,(SUM(B29:F29)))</f>
        <v>1290.0079973115642</v>
      </c>
      <c r="H29" s="5">
        <f>IF(A29&gt;=(Title_RESULTS!$H$7+Title_RESULTS!$C$17),0,(+'Sheet3(F_21)'!$J29+'Sheet4(F_22)'!$H29))</f>
        <v>2320.79915643412</v>
      </c>
      <c r="I29" s="5">
        <f>IF(A29&gt;=(Title_RESULTS!$H$7+Title_RESULTS!$C$17),0,(+'Sheet4(F_22)'!$D29+'Sheet4(F_22)'!$G29))</f>
        <v>146.51114823034717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2467.3103046644674</v>
      </c>
      <c r="M29" s="23">
        <f>IF(A29&gt;=(Title_RESULTS!$H$7+Title_RESULTS!$C$17),0,(+L29-G29))</f>
        <v>1177.3023073529032</v>
      </c>
      <c r="N29" s="24">
        <f>(IF(A28&gt;=(Title_RESULTS!$H$7+Title_RESULTS!$C$17),0,(+$M29/((1+Title_RESULTS!$C$37)^('Sheet9(F_25)'!$A29-Title_RESULTS!$H$7))+N28)))</f>
        <v>746.2045750588388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1302.90807728468</v>
      </c>
      <c r="F30">
        <f>IF(A30&gt;=(Title_RESULTS!$H$7+Title_RESULTS!$C$17),0,(+'f-11B'!$R29))</f>
        <v>0</v>
      </c>
      <c r="G30" s="5">
        <f>IF(A30&gt;=(Title_RESULTS!$H$7+Title_RESULTS!$C$17),0,(SUM(B30:F30)))</f>
        <v>1302.90807728468</v>
      </c>
      <c r="H30" s="5">
        <f>IF(A30&gt;=(Title_RESULTS!$H$7+Title_RESULTS!$C$17),0,(+'Sheet3(F_21)'!$J30+'Sheet4(F_22)'!$H30))</f>
        <v>2416.4804700581117</v>
      </c>
      <c r="I30" s="5">
        <f>IF(A30&gt;=(Title_RESULTS!$H$7+Title_RESULTS!$C$17),0,(+'Sheet4(F_22)'!$D30+'Sheet4(F_22)'!$G30))</f>
        <v>150.0274157878755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2566.5078858459874</v>
      </c>
      <c r="M30" s="23">
        <f>IF(A30&gt;=(Title_RESULTS!$H$7+Title_RESULTS!$C$17),0,(+L30-G30))</f>
        <v>1263.5998085613073</v>
      </c>
      <c r="N30" s="24">
        <f>(IF(A29&gt;=(Title_RESULTS!$H$7+Title_RESULTS!$C$17),0,(+$M30/((1+Title_RESULTS!$C$37)^('Sheet9(F_25)'!$A30-Title_RESULTS!$H$7))+N29)))</f>
        <v>1231.1495642364866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2994.84</v>
      </c>
      <c r="E32" s="5">
        <f t="shared" si="1"/>
        <v>16535.85056288965</v>
      </c>
      <c r="F32" s="5">
        <f t="shared" si="1"/>
        <v>0</v>
      </c>
      <c r="G32" s="5">
        <f t="shared" si="1"/>
        <v>19914.76256288965</v>
      </c>
      <c r="H32" s="5">
        <f t="shared" si="1"/>
        <v>23309.43506688119</v>
      </c>
      <c r="I32" s="5">
        <f t="shared" si="1"/>
        <v>1808.5556848890908</v>
      </c>
      <c r="J32" s="5">
        <f t="shared" si="1"/>
        <v>0</v>
      </c>
      <c r="K32" s="9">
        <f t="shared" si="1"/>
        <v>0</v>
      </c>
      <c r="L32" s="5">
        <f t="shared" si="1"/>
        <v>25117.99075177028</v>
      </c>
      <c r="M32" s="5">
        <f t="shared" si="1"/>
        <v>5203.228188880627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2801.1889789207275</v>
      </c>
      <c r="E34" s="5">
        <f>NPV(Title_RESULTS!$C$37,'Sheet9(F_25)'!E17:E31)+'Sheet9(F_25)'!E16</f>
        <v>10009.071326465815</v>
      </c>
      <c r="F34" s="5">
        <f>NPV(Title_RESULTS!$C$37,'Sheet9(F_25)'!F17:F31)+'Sheet9(F_25)'!F16</f>
        <v>0</v>
      </c>
      <c r="G34" s="5">
        <f>NPV(Title_RESULTS!$C$37,'Sheet9(F_25)'!G17:G31)+'Sheet9(F_25)'!G16</f>
        <v>13169.109463023598</v>
      </c>
      <c r="H34" s="5">
        <f>NPV(Title_RESULTS!$C$37,'Sheet9(F_25)'!H17:H31)+'Sheet9(F_25)'!H16</f>
        <v>13304.889890778682</v>
      </c>
      <c r="I34" s="5">
        <f>NPV(Title_RESULTS!$C$37,'Sheet9(F_25)'!I17:I31)+'Sheet9(F_25)'!I16</f>
        <v>1095.3691364814065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14400.259027260086</v>
      </c>
      <c r="M34" s="5">
        <f>NPV(Title_RESULTS!$C$37,'Sheet9(F_25)'!M17:M31)+'Sheet9(F_25)'!M16</f>
        <v>1231.1495642364866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1.0934876855335833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2769.787132956152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161.56968959999998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344.1352704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15.96668891086055</v>
      </c>
      <c r="P24" s="48">
        <f aca="true" t="shared" si="4" ref="P24:P61">N24*$L$5</f>
        <v>34.00824015528515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16.3498894447212</v>
      </c>
      <c r="P25" s="48">
        <f t="shared" si="4"/>
        <v>34.82443791901199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381.09684594906633</v>
      </c>
      <c r="E26" s="11">
        <f>IF(B26=Title_RESULTS!$H$8,$F$16,+E25*(1+$F$7))</f>
        <v>0.09882230355451863</v>
      </c>
      <c r="F26" s="9">
        <f t="shared" si="1"/>
        <v>273.7167448343927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22.23048059358012</v>
      </c>
      <c r="L26" s="5">
        <f t="shared" si="3"/>
        <v>47.34979976215569</v>
      </c>
      <c r="N26" s="11">
        <f>IF(+B26=Title_RESULTS!$H$9,'Value of Defferal'!$O$16,+'Value of Defferal'!N25*(1+'Value of Defferal'!$F$7))</f>
        <v>0.10362269577198292</v>
      </c>
      <c r="O26" s="5">
        <f t="shared" si="7"/>
        <v>16.74228679139451</v>
      </c>
      <c r="P26" s="48">
        <f t="shared" si="4"/>
        <v>35.66022442906828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369.8431002505713</v>
      </c>
      <c r="E27" s="11">
        <f>IF(B27=Title_RESULTS!$H$8,$F$16,+E26*(1+$F$7))</f>
        <v>0.10119403883982707</v>
      </c>
      <c r="F27" s="9">
        <f t="shared" si="1"/>
        <v>280.2859467104181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21.574017077771025</v>
      </c>
      <c r="L27" s="5">
        <f t="shared" si="3"/>
        <v>45.95156566218316</v>
      </c>
      <c r="N27" s="11">
        <f>IF(+B27=Title_RESULTS!$H$9,'Value of Defferal'!$O$16,+'Value of Defferal'!N26*(1+'Value of Defferal'!$F$7))</f>
        <v>0.10610964047051051</v>
      </c>
      <c r="O27" s="5">
        <f t="shared" si="7"/>
        <v>17.14410167438798</v>
      </c>
      <c r="P27" s="48">
        <f t="shared" si="4"/>
        <v>36.51606981536592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357.4190470740168</v>
      </c>
      <c r="E28" s="11">
        <f>IF(B28=Title_RESULTS!$H$8,$F$16,+E27*(1+$F$7))</f>
        <v>0.10362269577198292</v>
      </c>
      <c r="F28" s="9">
        <f t="shared" si="1"/>
        <v>287.01280943146816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20.849286143965518</v>
      </c>
      <c r="L28" s="5">
        <f t="shared" si="3"/>
        <v>44.407925413261104</v>
      </c>
      <c r="N28" s="11">
        <f>IF(+B28=Title_RESULTS!$H$9,'Value of Defferal'!$O$16,+'Value of Defferal'!N27*(1+'Value of Defferal'!$F$7))</f>
        <v>0.10865627184180277</v>
      </c>
      <c r="O28" s="5">
        <f t="shared" si="7"/>
        <v>17.55556011457329</v>
      </c>
      <c r="P28" s="48">
        <f t="shared" si="4"/>
        <v>37.3924554909347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345.59003755884186</v>
      </c>
      <c r="E29" s="11">
        <f>IF(B29=Title_RESULTS!$H$8,$F$16,+E28*(1+$F$7))</f>
        <v>0.10610964047051051</v>
      </c>
      <c r="F29" s="9">
        <f t="shared" si="1"/>
        <v>293.9011168578234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20.159265826915934</v>
      </c>
      <c r="L29" s="5">
        <f t="shared" si="3"/>
        <v>42.938217023171134</v>
      </c>
      <c r="N29" s="11">
        <f>IF(+B29=Title_RESULTS!$H$9,'Value of Defferal'!$O$16,+'Value of Defferal'!N28*(1+'Value of Defferal'!$F$7))</f>
        <v>0.11126402236600604</v>
      </c>
      <c r="O29" s="5">
        <f t="shared" si="7"/>
        <v>17.97689355732305</v>
      </c>
      <c r="P29" s="48">
        <f t="shared" si="4"/>
        <v>38.28987442271714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334.2964025068693</v>
      </c>
      <c r="E30" s="11">
        <f>IF(B30=Title_RESULTS!$H$8,$F$16,+E29*(1+$F$7))</f>
        <v>0.10865627184180277</v>
      </c>
      <c r="F30" s="9">
        <f t="shared" si="1"/>
        <v>300.95474366241115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19.500475449817383</v>
      </c>
      <c r="L30" s="5">
        <f t="shared" si="3"/>
        <v>41.535026826290746</v>
      </c>
      <c r="N30" s="11">
        <f>IF(+B30=Title_RESULTS!$H$9,'Value of Defferal'!$O$16,+'Value of Defferal'!N29*(1+'Value of Defferal'!$F$7))</f>
        <v>0.11393435890279018</v>
      </c>
      <c r="O30" s="5">
        <f t="shared" si="7"/>
        <v>18.408339002698803</v>
      </c>
      <c r="P30" s="48">
        <f t="shared" si="4"/>
        <v>39.208831408862345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323.48506600148846</v>
      </c>
      <c r="E31" s="11">
        <f>IF(B31=Title_RESULTS!$H$8,$F$16,+E30*(1+$F$7))</f>
        <v>0.11126402236600604</v>
      </c>
      <c r="F31" s="9">
        <f t="shared" si="1"/>
        <v>308.177657510309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18.869818941036794</v>
      </c>
      <c r="L31" s="5">
        <f t="shared" si="3"/>
        <v>40.191760346568984</v>
      </c>
      <c r="N31" s="11">
        <f>IF(+B31=Title_RESULTS!$H$9,'Value of Defferal'!$O$16,+'Value of Defferal'!N30*(1+'Value of Defferal'!$F$7))</f>
        <v>0.11666878351645714</v>
      </c>
      <c r="O31" s="5">
        <f t="shared" si="7"/>
        <v>18.850139138763573</v>
      </c>
      <c r="P31" s="48">
        <f t="shared" si="4"/>
        <v>40.14984336267504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313.0103165200791</v>
      </c>
      <c r="E32" s="11">
        <f>IF(B32=Title_RESULTS!$H$8,$F$16,+E31*(1+$F$7))</f>
        <v>0.11393435890279018</v>
      </c>
      <c r="F32" s="9">
        <f t="shared" si="1"/>
        <v>315.5739212905564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18.258796526277145</v>
      </c>
      <c r="L32" s="5">
        <f t="shared" si="3"/>
        <v>38.89031349447469</v>
      </c>
      <c r="N32" s="11">
        <f>IF(+B32=Title_RESULTS!$H$9,'Value of Defferal'!$O$16,+'Value of Defferal'!N31*(1+'Value of Defferal'!$F$7))</f>
        <v>0.11946883432085212</v>
      </c>
      <c r="O32" s="5">
        <f t="shared" si="7"/>
        <v>19.3025424780939</v>
      </c>
      <c r="P32" s="48">
        <f t="shared" si="4"/>
        <v>41.11343960337925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302.6433671922826</v>
      </c>
      <c r="E33" s="11">
        <f>IF(B33=Title_RESULTS!$H$8,$F$16,+E32*(1+$F$7))</f>
        <v>0.11666878351645714</v>
      </c>
      <c r="F33" s="9">
        <f t="shared" si="1"/>
        <v>323.1476954015298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17.654062406076605</v>
      </c>
      <c r="L33" s="5">
        <f t="shared" si="3"/>
        <v>37.60226039187519</v>
      </c>
      <c r="N33" s="11">
        <f>IF(+B33=Title_RESULTS!$H$9,'Value of Defferal'!$O$16,+'Value of Defferal'!N32*(1+'Value of Defferal'!$F$7))</f>
        <v>0.12233608634455258</v>
      </c>
      <c r="O33" s="5">
        <f t="shared" si="7"/>
        <v>19.765803497568157</v>
      </c>
      <c r="P33" s="48">
        <f t="shared" si="4"/>
        <v>42.10016215386035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292.276417864486</v>
      </c>
      <c r="E34" s="11">
        <f>IF(B34=Title_RESULTS!$H$8,$F$16,+E33*(1+$F$7))</f>
        <v>0.11946883432085212</v>
      </c>
      <c r="F34" s="9">
        <f t="shared" si="1"/>
        <v>330.90324009116654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17.049328285876065</v>
      </c>
      <c r="L34" s="5">
        <f t="shared" si="3"/>
        <v>36.31420728927568</v>
      </c>
      <c r="N34" s="11">
        <f>IF(+B34=Title_RESULTS!$H$9,'Value of Defferal'!$O$16,+'Value of Defferal'!N33*(1+'Value of Defferal'!$F$7))</f>
        <v>0.12527215241682185</v>
      </c>
      <c r="O34" s="5">
        <f t="shared" si="7"/>
        <v>20.240182781509795</v>
      </c>
      <c r="P34" s="48">
        <f t="shared" si="4"/>
        <v>43.11056604555301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281.9094685366895</v>
      </c>
      <c r="E35" s="11">
        <f>IF(B35=Title_RESULTS!$H$8,$F$16,+E34*(1+$F$7))</f>
        <v>0.12233608634455258</v>
      </c>
      <c r="F35" s="9">
        <f t="shared" si="1"/>
        <v>338.84491785335456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16.44459416567552</v>
      </c>
      <c r="L35" s="5">
        <f t="shared" si="3"/>
        <v>35.02615418667617</v>
      </c>
      <c r="N35" s="11">
        <f>IF(+B35=Title_RESULTS!$H$9,'Value of Defferal'!$O$16,+'Value of Defferal'!N34*(1+'Value of Defferal'!$F$7))</f>
        <v>0.12827868407482557</v>
      </c>
      <c r="O35" s="5">
        <f t="shared" si="7"/>
        <v>20.72594716826603</v>
      </c>
      <c r="P35" s="48">
        <f t="shared" si="4"/>
        <v>44.145219630646274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271.54251920889294</v>
      </c>
      <c r="E36" s="11">
        <f>IF(B36=Title_RESULTS!$H$8,$F$16,+E35*(1+$F$7))</f>
        <v>0.12527215241682185</v>
      </c>
      <c r="F36" s="9">
        <f t="shared" si="1"/>
        <v>346.9771958818351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15.839860045474985</v>
      </c>
      <c r="L36" s="5">
        <f t="shared" si="3"/>
        <v>33.738101084076675</v>
      </c>
      <c r="N36" s="11">
        <f>IF(+B36=Title_RESULTS!$H$9,'Value of Defferal'!$O$16,+'Value of Defferal'!N35*(1+'Value of Defferal'!$F$7))</f>
        <v>0.1313573724926214</v>
      </c>
      <c r="O36" s="5">
        <f t="shared" si="7"/>
        <v>21.223369900304412</v>
      </c>
      <c r="P36" s="48">
        <f t="shared" si="4"/>
        <v>45.20470490178179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261.17556988109635</v>
      </c>
      <c r="E37" s="11">
        <f>IF(B37&gt;Title_RESULTS!$H$8-1+Title_RESULTS!$C$18,0,+E36*(1+$F$7))</f>
        <v>0.12827868407482557</v>
      </c>
      <c r="F37" s="9">
        <f t="shared" si="1"/>
        <v>355.3046485829991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15.235125925274442</v>
      </c>
      <c r="L37" s="5">
        <f t="shared" si="3"/>
        <v>32.45004798147716</v>
      </c>
      <c r="N37" s="11">
        <f>IF(+B37=Title_RESULTS!$H$9,'Value of Defferal'!$O$16,+'Value of Defferal'!N36*(1+'Value of Defferal'!$F$7))</f>
        <v>0.1345099494324443</v>
      </c>
      <c r="O37" s="5">
        <f t="shared" si="7"/>
        <v>21.732730777911716</v>
      </c>
      <c r="P37" s="48">
        <f t="shared" si="4"/>
        <v>46.28961781942455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250.8086205532998</v>
      </c>
      <c r="E38" s="11">
        <f>IF(B38&gt;Title_RESULTS!$H$8-1+Title_RESULTS!$C$18,0,+E37*(1+$F$7))</f>
        <v>0.1313573724926214</v>
      </c>
      <c r="F38" s="9">
        <f t="shared" si="1"/>
        <v>363.83196014899113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14.6303918050739</v>
      </c>
      <c r="L38" s="5">
        <f t="shared" si="3"/>
        <v>31.16199487887765</v>
      </c>
      <c r="N38" s="11">
        <f>IF(+B38=Title_RESULTS!$H$9,'Value of Defferal'!$O$16,+'Value of Defferal'!N37*(1+'Value of Defferal'!$F$7))</f>
        <v>0.13773818821882297</v>
      </c>
      <c r="O38" s="5">
        <f t="shared" si="7"/>
        <v>22.2543163165816</v>
      </c>
      <c r="P38" s="48">
        <f t="shared" si="4"/>
        <v>47.40056864709074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240.4416712255032</v>
      </c>
      <c r="E39" s="11">
        <f>IF(B39&gt;Title_RESULTS!$H$8-1+Title_RESULTS!$C$18,0,+E38*(1+$F$7))</f>
        <v>0.1345099494324443</v>
      </c>
      <c r="F39" s="9">
        <f t="shared" si="1"/>
        <v>372.5639271925669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14.025657684873357</v>
      </c>
      <c r="L39" s="5">
        <f t="shared" si="3"/>
        <v>29.87394177627814</v>
      </c>
      <c r="N39" s="11">
        <f>IF(+B39&gt;Title_RESULTS!$H$9+Title_RESULTS!$C$19-1,0,+'Value of Defferal'!N38*(1+'Value of Defferal'!$F$7))</f>
        <v>0.14104390473607473</v>
      </c>
      <c r="O39" s="5">
        <f t="shared" si="7"/>
        <v>22.78841990817956</v>
      </c>
      <c r="P39" s="48">
        <f t="shared" si="4"/>
        <v>48.53818229462092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230.07472189770672</v>
      </c>
      <c r="E40" s="11">
        <f>IF(B40&gt;Title_RESULTS!$H$8-1+Title_RESULTS!$C$18,0,+E39*(1+$F$7))</f>
        <v>0.13773818821882297</v>
      </c>
      <c r="F40" s="9">
        <f t="shared" si="1"/>
        <v>381.50546144518853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13.42092356467282</v>
      </c>
      <c r="L40" s="5">
        <f t="shared" si="3"/>
        <v>28.585888673678642</v>
      </c>
      <c r="N40" s="11">
        <f>IF(+B40&gt;Title_RESULTS!$H$9+Title_RESULTS!$C$19-1,0,+'Value of Defferal'!N39*(1+'Value of Defferal'!$F$7))</f>
        <v>0.14442895844974052</v>
      </c>
      <c r="O40" s="5">
        <f t="shared" si="7"/>
        <v>23.33534198597587</v>
      </c>
      <c r="P40" s="48">
        <f t="shared" si="4"/>
        <v>49.70309866969182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220.68127059320855</v>
      </c>
      <c r="E41" s="11">
        <f>IF(B41&gt;Title_RESULTS!$H$8-1+Title_RESULTS!$C$18,0,+E40*(1+$F$7))</f>
        <v>0.14104390473607473</v>
      </c>
      <c r="F41" s="9">
        <f t="shared" si="1"/>
        <v>390.66159251987307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12.872976398090142</v>
      </c>
      <c r="L41" s="5">
        <f t="shared" si="3"/>
        <v>27.418788911317993</v>
      </c>
      <c r="N41" s="11">
        <f>IF(+B41&gt;Title_RESULTS!$H$9+Title_RESULTS!$C$19-1,0,+'Value of Defferal'!N40*(1+'Value of Defferal'!$F$7))</f>
        <v>0.1478952534525343</v>
      </c>
      <c r="O41" s="5">
        <f t="shared" si="7"/>
        <v>23.89539019363929</v>
      </c>
      <c r="P41" s="48">
        <f t="shared" si="4"/>
        <v>50.89597303776443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213.23448567122887</v>
      </c>
      <c r="E42" s="11">
        <f>IF(B42&gt;Title_RESULTS!$H$8-1+Title_RESULTS!$C$18,0,+E41*(1+$F$7))</f>
        <v>0.14442895844974052</v>
      </c>
      <c r="F42" s="9">
        <f t="shared" si="1"/>
        <v>400.03747074035005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12.4385839084846</v>
      </c>
      <c r="L42" s="5">
        <f t="shared" si="3"/>
        <v>26.493554869956487</v>
      </c>
      <c r="N42" s="11">
        <f>IF(+B42&gt;Title_RESULTS!$H$9+Title_RESULTS!$C$19-1,0,+'Value of Defferal'!N41*(1+'Value of Defferal'!$F$7))</f>
        <v>0.1514447395353951</v>
      </c>
      <c r="O42" s="5">
        <f t="shared" si="7"/>
        <v>24.468879558286634</v>
      </c>
      <c r="P42" s="48">
        <f t="shared" si="4"/>
        <v>52.117476390670774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206.7608691084693</v>
      </c>
      <c r="E43" s="11">
        <f>IF(B43&gt;Title_RESULTS!$H$8-1+Title_RESULTS!$C$18,0,+E42*(1+$F$7))</f>
        <v>0.1478952534525343</v>
      </c>
      <c r="F43" s="9">
        <f t="shared" si="1"/>
        <v>409.6383700381184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12.060959142238335</v>
      </c>
      <c r="L43" s="5">
        <f t="shared" si="3"/>
        <v>25.68923320935527</v>
      </c>
      <c r="N43" s="11">
        <f>IF(+B43&gt;Title_RESULTS!$H$9+Title_RESULTS!$C$19-1,0,+'Value of Defferal'!N42*(1+'Value of Defferal'!$F$7))</f>
        <v>0.1550794132842446</v>
      </c>
      <c r="O43" s="5">
        <f t="shared" si="7"/>
        <v>25.056132667685514</v>
      </c>
      <c r="P43" s="48">
        <f t="shared" si="4"/>
        <v>53.36829582404687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200.28725254570978</v>
      </c>
      <c r="E44" s="11">
        <f>IF(B44&gt;Title_RESULTS!$H$8-1+Title_RESULTS!$C$18,0,+E43*(1+$F$7))</f>
        <v>0.1514447395353951</v>
      </c>
      <c r="F44" s="9">
        <f t="shared" si="1"/>
        <v>419.46969091903327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11.683334375992072</v>
      </c>
      <c r="L44" s="5">
        <f t="shared" si="3"/>
        <v>24.88491154875405</v>
      </c>
      <c r="N44" s="11">
        <f>IF(+B44&gt;Title_RESULTS!$H$9+Title_RESULTS!$C$19-1,0,+'Value of Defferal'!N43*(1+'Value of Defferal'!$F$7))</f>
        <v>0.15880131920306648</v>
      </c>
      <c r="O44" s="5">
        <f t="shared" si="7"/>
        <v>25.657479851709965</v>
      </c>
      <c r="P44" s="48">
        <f t="shared" si="4"/>
        <v>54.649134923824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193.81363598295013</v>
      </c>
      <c r="E45" s="11">
        <f>IF(B45&gt;Title_RESULTS!$H$8-1+Title_RESULTS!$C$18,0,+E44*(1+$F$7))</f>
        <v>0.1550794132842446</v>
      </c>
      <c r="F45" s="9">
        <f t="shared" si="1"/>
        <v>429.53696350109004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11.3057096097458</v>
      </c>
      <c r="L45" s="5">
        <f t="shared" si="3"/>
        <v>24.080589888152822</v>
      </c>
      <c r="N45" s="11">
        <f>IF(+B45&gt;Title_RESULTS!$H$9+Title_RESULTS!$C$19-1,0,+'Value of Defferal'!N44*(1+'Value of Defferal'!$F$7))</f>
        <v>0.16261255086394008</v>
      </c>
      <c r="O45" s="5">
        <f t="shared" si="7"/>
        <v>26.273259368151006</v>
      </c>
      <c r="P45" s="48">
        <f t="shared" si="4"/>
        <v>55.960714161995774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187.34001942019057</v>
      </c>
      <c r="E46" s="11">
        <f>IF(B46&gt;Title_RESULTS!$H$8-1+Title_RESULTS!$C$18,0,+E45*(1+$F$7))</f>
        <v>0.15880131920306648</v>
      </c>
      <c r="F46" s="9">
        <f t="shared" si="1"/>
        <v>439.84585062511627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10.928084843499533</v>
      </c>
      <c r="L46" s="5">
        <f t="shared" si="3"/>
        <v>23.276268227551604</v>
      </c>
      <c r="N46" s="11">
        <f>IF(+B46&gt;Title_RESULTS!$H$9+Title_RESULTS!$C$19-1,0,+'Value of Defferal'!N45*(1+'Value of Defferal'!$F$7))</f>
        <v>0.16651525208467466</v>
      </c>
      <c r="O46" s="5">
        <f t="shared" si="7"/>
        <v>26.903817592986634</v>
      </c>
      <c r="P46" s="48">
        <f t="shared" si="4"/>
        <v>57.30377130188368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180.86640285743104</v>
      </c>
      <c r="E47" s="11">
        <f>IF(B47&gt;Title_RESULTS!$H$8-1+Title_RESULTS!$C$18,0,+E46*(1+$F$7))</f>
        <v>0.16261255086394008</v>
      </c>
      <c r="F47" s="9">
        <f t="shared" si="1"/>
        <v>450.40215104011907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10.55046007725327</v>
      </c>
      <c r="L47" s="5">
        <f t="shared" si="3"/>
        <v>22.47194656695039</v>
      </c>
      <c r="N47" s="11">
        <f>IF(+B47&gt;Title_RESULTS!$H$9+Title_RESULTS!$C$19-1,0,+'Value of Defferal'!N46*(1+'Value of Defferal'!$F$7))</f>
        <v>0.17051161813470686</v>
      </c>
      <c r="O47" s="5">
        <f t="shared" si="7"/>
        <v>27.549509215218315</v>
      </c>
      <c r="P47" s="48">
        <f t="shared" si="4"/>
        <v>58.6790618131289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174.39278629467145</v>
      </c>
      <c r="E48" s="11">
        <f>IF(B48&gt;Title_RESULTS!$H$8-1+Title_RESULTS!$C$18,0,+E47*(1+$F$7))</f>
        <v>0.16651525208467466</v>
      </c>
      <c r="F48" s="9">
        <f t="shared" si="1"/>
        <v>461.21180266508196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10.172835311007004</v>
      </c>
      <c r="L48" s="5">
        <f t="shared" si="3"/>
        <v>21.667624906349168</v>
      </c>
      <c r="N48" s="11">
        <f>IF(+B48&gt;Title_RESULTS!$H$9+Title_RESULTS!$C$19-1,0,+'Value of Defferal'!N47*(1+'Value of Defferal'!$F$7))</f>
        <v>0.17460389696993983</v>
      </c>
      <c r="O48" s="5">
        <f t="shared" si="7"/>
        <v>28.210697436383555</v>
      </c>
      <c r="P48" s="48">
        <f t="shared" si="4"/>
        <v>60.08735929664399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167.91916973191184</v>
      </c>
      <c r="E49" s="11">
        <f>IF(B49&gt;Title_RESULTS!$H$8-1+Title_RESULTS!$C$18,0,+E48*(1+$F$7))</f>
        <v>0.17051161813470686</v>
      </c>
      <c r="F49" s="9">
        <f t="shared" si="1"/>
        <v>472.28088592904396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9.795210544760735</v>
      </c>
      <c r="L49" s="5">
        <f t="shared" si="3"/>
        <v>20.863303245747943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161.44555316915225</v>
      </c>
      <c r="E50" s="11">
        <f>IF(B50&gt;Title_RESULTS!$H$8-1+Title_RESULTS!$C$18,0,+E49*(1+$F$7))</f>
        <v>0.17460389696993983</v>
      </c>
      <c r="F50" s="9">
        <f t="shared" si="1"/>
        <v>483.61562719134105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9.41758577851447</v>
      </c>
      <c r="L50" s="5">
        <f t="shared" si="3"/>
        <v>20.05898158514672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154.97193660639272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9.039961012268204</v>
      </c>
      <c r="L51" s="5">
        <f t="shared" si="3"/>
        <v>19.254659924545507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6617.326554202207</v>
      </c>
      <c r="F63" s="9">
        <f>SUM(F23:F61)</f>
        <v>9229.402392064176</v>
      </c>
      <c r="J63" t="s">
        <v>87</v>
      </c>
      <c r="K63" s="9">
        <f>SUM(K23:K61)</f>
        <v>386.0077854442157</v>
      </c>
      <c r="O63" s="9">
        <f>SUM(O23:O61)</f>
        <v>538.3777193331749</v>
      </c>
    </row>
    <row r="64" spans="3:15" ht="12.75">
      <c r="C64" t="s">
        <v>89</v>
      </c>
      <c r="D64" s="9">
        <f>NPV(+Title_RESULTS!$C$37,'Value of Defferal'!D24:D61)+'Value of Defferal'!D23</f>
        <v>2954.6763273587203</v>
      </c>
      <c r="F64" s="9">
        <f>NPV(+Title_RESULTS!$C$37,'Value of Defferal'!F24:F61)+'Value of Defferal'!F23</f>
        <v>3431.912220196699</v>
      </c>
      <c r="J64" t="s">
        <v>89</v>
      </c>
      <c r="K64" s="9">
        <f>NPV(+Title_RESULTS!$C$37,'Value of Defferal'!K24:K61)+'Value of Defferal'!K23</f>
        <v>172.35481073605436</v>
      </c>
      <c r="O64" s="9">
        <f>NPV(+Title_RESULTS!$C$37,'Value of Defferal'!O24:O61)+'Value of Defferal'!O23</f>
        <v>229.54423682151673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1.511897503244063</v>
      </c>
      <c r="C25" t="s">
        <v>372</v>
      </c>
    </row>
    <row r="26" spans="2:3" ht="18">
      <c r="B26" s="15">
        <f>+((Input!$C$6*'EUE_Line Losses'!C4)+(Input!$C$7*'EUE_Line Losses'!C3))/'EUE_Line Losses'!C22</f>
        <v>1.507020414523921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7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1.33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1.36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10127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2301.08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998.28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Pump Equipment Upgrade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43599.326368981485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1.36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1.507020414523921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10682.489451476793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10127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2301.08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998.28</v>
      </c>
      <c r="D39" s="13" t="s">
        <v>189</v>
      </c>
      <c r="G39" s="20" t="s">
        <v>346</v>
      </c>
      <c r="H39" s="79">
        <f>+'Sheet7(F_23)'!H36</f>
        <v>2.069443633287424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14639.71362191318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1.0934876855335833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2019-05-14T11:49:59Z</dcterms:created>
  <dcterms:modified xsi:type="dcterms:W3CDTF">2019-05-14T11:50:06Z</dcterms:modified>
  <cp:category/>
  <cp:version/>
  <cp:contentType/>
  <cp:contentStatus/>
</cp:coreProperties>
</file>