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<sst xmlns="http://schemas.openxmlformats.org/spreadsheetml/2006/main" count="1258" uniqueCount="468">
  <si>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</si>
  <si>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</si>
  <si>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</si>
  <si>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</si>
  <si>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</si>
  <si>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</si>
  <si>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</si>
  <si>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</si>
  <si>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</si>
  <si>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</si>
  <si>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</si>
  <si>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</si>
  <si>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</si>
  <si>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</si>
  <si>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</si>
  <si>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</si>
  <si>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</si>
  <si>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</si>
  <si>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</si>
  <si>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</si>
  <si>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</si>
  <si>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</si>
  <si>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</si>
  <si>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</si>
  <si>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</si>
  <si>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</si>
  <si>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</si>
  <si>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</si>
  <si>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</si>
  <si>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</si>
  <si>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</si>
  <si>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</si>
  <si>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</si>
  <si>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</si>
  <si>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</si>
  <si>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</si>
  <si>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</si>
  <si>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</si>
  <si>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</si>
  <si>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</si>
  <si>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</si>
  <si>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</si>
  <si>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</si>
  <si>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</si>
  <si>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</si>
  <si>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</si>
  <si>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</si>
  <si>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</si>
  <si>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</si>
  <si>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</si>
  <si>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</si>
  <si>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</si>
  <si>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</si>
  <si>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</si>
  <si>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</si>
  <si>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</si>
  <si>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</si>
  <si>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</si>
  <si>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</si>
  <si>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</si>
  <si>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</si>
  <si>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</si>
  <si>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</si>
  <si>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</si>
  <si>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</si>
  <si>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</si>
  <si>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</si>
  <si>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</si>
  <si>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</si>
  <si>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</si>
  <si>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</si>
  <si>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</si>
  <si>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</si>
  <si>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</si>
  <si>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</si>
  <si>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</si>
  <si>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</si>
  <si>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</si>
  <si>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</si>
  <si>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</si>
  <si>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</si>
  <si>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</si>
  <si>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</si>
  <si>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</si>
  <si>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</si>
  <si>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</si>
  <si>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</si>
  <si>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</si>
  <si>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</si>
  <si>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</si>
  <si>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</si>
  <si>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</si>
  <si>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</si>
  <si>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</si>
  <si>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</si>
  <si>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</si>
  <si>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</si>
  <si>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</si>
  <si>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</si>
  <si>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</si>
  <si>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</si>
  <si>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</si>
  <si>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</si>
  <si>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</si>
  <si>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</si>
  <si>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</si>
  <si>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</si>
  <si>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</si>
  <si>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</si>
  <si>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</si>
  <si>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</si>
  <si>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</si>
  <si>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</si>
  <si>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</si>
  <si>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</si>
  <si>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</si>
  <si>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</si>
  <si>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</si>
  <si>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</si>
  <si>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</si>
  <si>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</si>
  <si>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</si>
  <si>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</si>
  <si>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</si>
  <si>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</si>
  <si>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</si>
  <si>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</si>
  <si>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</si>
  <si>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</si>
  <si>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</si>
  <si>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</si>
  <si>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</si>
  <si>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</si>
  <si>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</si>
  <si>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</si>
  <si>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</si>
  <si>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</si>
  <si>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</si>
  <si>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</si>
  <si>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</si>
  <si>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</si>
  <si>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</si>
  <si>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</si>
  <si>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</si>
  <si>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</si>
  <si>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</si>
  <si>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</si>
  <si>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</si>
  <si>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</si>
  <si>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</si>
  <si>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</si>
  <si>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</si>
  <si>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</si>
  <si>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</si>
  <si>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</si>
  <si>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</si>
  <si>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</si>
  <si>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</si>
  <si>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</si>
  <si>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</si>
  <si>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</si>
  <si>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</si>
  <si>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</si>
  <si>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</si>
  <si>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</si>
  <si>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</si>
  <si>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</si>
  <si>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</si>
  <si>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</si>
  <si>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</si>
  <si>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</si>
  <si>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</si>
  <si>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</si>
  <si>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</si>
  <si>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</si>
  <si>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</si>
  <si>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</si>
  <si>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</si>
  <si>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</si>
  <si>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</si>
  <si>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</si>
  <si>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</si>
  <si>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</si>
  <si>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</si>
  <si>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</si>
  <si>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</si>
  <si>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</si>
  <si>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</si>
  <si>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</si>
  <si>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</si>
  <si>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</si>
  <si>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</si>
  <si>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</si>
  <si>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</si>
  <si>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</si>
  <si>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</si>
  <si>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</si>
  <si>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</si>
  <si>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</si>
  <si>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</si>
  <si>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</si>
  <si>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</si>
  <si>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</si>
  <si>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</si>
  <si>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</si>
  <si>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</si>
  <si>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</si>
  <si>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</si>
  <si>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</si>
  <si>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</si>
  <si>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</si>
  <si>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</si>
  <si>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</si>
  <si>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</si>
  <si>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</si>
  <si>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</si>
  <si>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</si>
  <si>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</si>
  <si>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</si>
  <si>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</si>
  <si>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</si>
  <si>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</si>
  <si>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</si>
  <si>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</si>
  <si>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</si>
  <si>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</si>
  <si>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</si>
  <si>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</si>
  <si>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</si>
  <si>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</si>
  <si>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</si>
  <si>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</si>
  <si>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</si>
  <si>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</si>
  <si>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</si>
  <si>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</si>
  <si>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</si>
  <si>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</si>
  <si>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</si>
  <si>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</si>
  <si>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</si>
  <si>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</si>
  <si>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</si>
  <si>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</si>
  <si>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</si>
  <si>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</si>
  <si>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</si>
  <si>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</si>
  <si>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</si>
  <si>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</si>
  <si>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</si>
  <si>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</si>
  <si>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</si>
  <si>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</si>
  <si>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</si>
  <si>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</si>
  <si>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</si>
  <si>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</si>
  <si>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</si>
  <si>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</si>
  <si>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</si>
  <si>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</si>
  <si>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</si>
  <si>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</si>
  <si>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</si>
  <si>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</si>
  <si>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</si>
  <si>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</si>
  <si>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</si>
  <si>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</si>
  <si>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</si>
  <si>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</si>
  <si>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</si>
  <si>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</si>
  <si>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</si>
  <si>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</si>
  <si>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</si>
  <si>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</si>
  <si>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</si>
  <si>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</si>
  <si>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</si>
  <si>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</si>
  <si>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</si>
  <si>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</si>
  <si>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</si>
  <si>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</si>
  <si>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</si>
  <si>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</si>
  <si>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</si>
  <si>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</si>
  <si>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</si>
  <si>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</si>
  <si>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</si>
  <si>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</si>
  <si>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</si>
  <si>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</si>
  <si>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</si>
  <si>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</si>
  <si>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</si>
  <si>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</si>
  <si>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</si>
  <si>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</si>
  <si>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</si>
  <si>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</si>
  <si>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</si>
  <si>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</si>
  <si>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</si>
  <si>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</si>
  <si>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</si>
  <si>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</si>
  <si>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</si>
  <si>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</si>
  <si>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</si>
  <si>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</si>
  <si>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</si>
  <si>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</si>
  <si>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</si>
  <si>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</si>
  <si>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</si>
  <si>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</si>
  <si>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</si>
  <si>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</si>
  <si>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</si>
  <si>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</si>
  <si>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</si>
  <si>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</si>
  <si>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</si>
  <si>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</si>
  <si>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</si>
  <si>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</si>
  <si>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</si>
  <si>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</si>
  <si>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</si>
  <si>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</si>
  <si>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</si>
  <si>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</si>
  <si>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</si>
  <si>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</si>
  <si>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</si>
  <si>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</si>
  <si>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</si>
  <si>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</si>
  <si>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</si>
  <si>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</si>
  <si>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</si>
  <si>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</si>
  <si>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</si>
  <si>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</si>
  <si>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</si>
  <si>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</si>
  <si>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</si>
  <si>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</si>
  <si>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</si>
  <si>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</si>
  <si>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</si>
  <si>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</si>
  <si>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</si>
  <si>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</si>
  <si>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</si>
  <si>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</si>
  <si>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</si>
  <si>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</si>
  <si>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</si>
  <si>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</si>
  <si>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</si>
  <si>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</si>
  <si>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</si>
  <si>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</si>
  <si>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</si>
  <si>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</si>
  <si>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</si>
  <si>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</si>
  <si>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</si>
  <si>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</si>
  <si>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</si>
  <si>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</si>
  <si>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</si>
  <si>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</si>
  <si>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</si>
  <si>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</si>
  <si>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</si>
  <si>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</si>
  <si>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</si>
  <si>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</si>
  <si>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</si>
  <si>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</si>
  <si>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</si>
  <si>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</si>
  <si>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</si>
  <si>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</si>
  <si>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</si>
  <si>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</si>
  <si>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</si>
  <si>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</si>
  <si>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</si>
  <si>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</si>
  <si>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</si>
  <si>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</si>
  <si>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</si>
  <si>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</si>
  <si>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</si>
  <si>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</si>
  <si>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</si>
  <si>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</si>
  <si>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</si>
  <si>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</si>
  <si>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</si>
  <si>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</si>
  <si>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</si>
  <si>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</si>
  <si>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</si>
  <si>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</si>
  <si>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</si>
  <si>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</si>
  <si>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</si>
  <si>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</si>
  <si>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</si>
  <si>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</si>
  <si>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</si>
  <si>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</si>
  <si>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</si>
  <si>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</si>
  <si>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</si>
  <si>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</si>
  <si>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</si>
  <si>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</si>
  <si>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</si>
  <si>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</si>
  <si>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</si>
  <si>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</si>
  <si>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</si>
  <si>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</si>
  <si>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</si>
  <si>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</si>
  <si>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</si>
  <si>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</si>
  <si>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</si>
  <si>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</si>
  <si>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</si>
  <si>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</si>
  <si>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</si>
  <si>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</si>
  <si>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</si>
  <si>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</si>
  <si>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</si>
  <si>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</si>
  <si>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</si>
  <si>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</si>
  <si>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</si>
  <si>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</si>
  <si>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</si>
  <si>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</si>
  <si>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</si>
  <si>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</si>
  <si>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</si>
  <si>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</si>
  <si>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</si>
  <si>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</si>
  <si>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</si>
  <si>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</si>
  <si>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</si>
  <si>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</si>
  <si>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</si>
  <si>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</si>
  <si>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</si>
  <si>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</si>
  <si>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</si>
  <si>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Residential DR - Pool Pump Switches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</si>
</sst>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43599.326876851854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2441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43599.326876851854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Residential DR - Pool Pump Switches</v>
      </c>
      <c r="J2" t="s">
        <v>55</v>
      </c>
    </row>
    <row r="3" ht="12.75">
      <c r="J3" s="35">
        <f>+Title_RESULTS!I4</f>
        <v>43599.326876851854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2441</v>
      </c>
      <c r="H5" t="s">
        <v>59</v>
      </c>
    </row>
    <row r="6" spans="3:7" ht="12.75">
      <c r="C6" t="s">
        <v>61</v>
      </c>
      <c r="G6" s="36">
        <f>+'Value of Defferal'!E3</f>
        <v>1495.47675106082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147.78645745205765</v>
      </c>
      <c r="D19" s="5">
        <f>IF((Title_RESULTS!$H$8-Title_RESULTS!$H$7)&lt;=('Sheet3(F_21)'!A19-Title_RESULTS!$H$7),((Title_RESULTS!$C$8*Partcipation!$C$26*8760*Title_RESULTS!$H$21/100000)),0)</f>
        <v>1946.257858449416</v>
      </c>
      <c r="E19" s="5">
        <f>IF($G19=0,0,((Title_RESULTS!$H$14*((1+Title_RESULTS!$H$15/100)^($A19-Title_RESULTS!$H$7))*'EUE_Line Losses'!$B$25*Partcipation!$C$26))/1000)</f>
        <v>15.283517033896423</v>
      </c>
      <c r="F19" s="5">
        <f>IF($G19=0,0,(Title_RESULTS!$H$19/100*((1+Title_RESULTS!$H$20/100)^($A19-Title_RESULTS!$H$7))*$D19*1000)/1000)</f>
        <v>4.388534772102201</v>
      </c>
      <c r="G19" s="5">
        <f>(+Title_RESULTS!$H$22/100*((1+Title_RESULTS!$H$23/100)^(+'Sheet4(F_22)'!A19-Title_RESULTS!$H$7)))*'Sheet3(F_21)'!D19</f>
        <v>83.38331061114259</v>
      </c>
      <c r="H19" s="5">
        <f>IF($G19=0,0,(($D19))*(Partcipation!$G19/100))</f>
        <v>61.747513554676715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189.09430631452216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151.33333243090703</v>
      </c>
      <c r="D20" s="5">
        <f>IF((Title_RESULTS!$H$8-Title_RESULTS!$H$7)&lt;=('Sheet3(F_21)'!A20-Title_RESULTS!$H$7),((Title_RESULTS!$C$8*Partcipation!$C$26*8760*Title_RESULTS!$H$21/100000)),0)</f>
        <v>1946.257858449416</v>
      </c>
      <c r="E20" s="5">
        <f>IF($G20=0,0,((Title_RESULTS!$H$14*((1+Title_RESULTS!$H$15/100)^($A20-Title_RESULTS!$H$7))*'EUE_Line Losses'!$B$25*Partcipation!$C$26))/1000)</f>
        <v>15.650321442709936</v>
      </c>
      <c r="F20" s="5">
        <f>IF($G20=0,0,(Title_RESULTS!$H$19/100*((1+Title_RESULTS!$H$20/100)^($A20-Title_RESULTS!$H$7))*$D20*1000)/1000)</f>
        <v>4.493859606632653</v>
      </c>
      <c r="G20" s="5">
        <f>(+Title_RESULTS!$H$22/100*((1+Title_RESULTS!$H$23/100)^(+'Sheet4(F_22)'!A20-Title_RESULTS!$H$7)))*'Sheet3(F_21)'!D20</f>
        <v>87.16891291288849</v>
      </c>
      <c r="H20" s="5">
        <f>IF($G20=0,0,(($D20))*(Partcipation!$G20/100))</f>
        <v>64.5097516933944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194.13667469974368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154.9653324092488</v>
      </c>
      <c r="D21" s="5">
        <f>IF((Title_RESULTS!$H$8-Title_RESULTS!$H$7)&lt;=('Sheet3(F_21)'!A21-Title_RESULTS!$H$7),((Title_RESULTS!$C$8*Partcipation!$C$26*8760*Title_RESULTS!$H$21/100000)),0)</f>
        <v>1946.257858449416</v>
      </c>
      <c r="E21" s="5">
        <f>IF($G21=0,0,((Title_RESULTS!$H$14*((1+Title_RESULTS!$H$15/100)^($A21-Title_RESULTS!$H$7))*'EUE_Line Losses'!$B$25*Partcipation!$C$26))/1000)</f>
        <v>16.025929157334975</v>
      </c>
      <c r="F21" s="5">
        <f>IF($G21=0,0,(Title_RESULTS!$H$19/100*((1+Title_RESULTS!$H$20/100)^($A21-Title_RESULTS!$H$7))*$D21*1000)/1000)</f>
        <v>4.601712237191837</v>
      </c>
      <c r="G21" s="5">
        <f>(+Title_RESULTS!$H$22/100*((1+Title_RESULTS!$H$23/100)^(+'Sheet4(F_22)'!A21-Title_RESULTS!$H$7)))*'Sheet3(F_21)'!D21</f>
        <v>91.12638155913363</v>
      </c>
      <c r="H21" s="5">
        <f>IF($G21=0,0,(($D21))*(Partcipation!$G21/100))</f>
        <v>67.06616434561597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199.6531910172933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158.68450038707076</v>
      </c>
      <c r="D22" s="5">
        <f>IF((Title_RESULTS!$H$8-Title_RESULTS!$H$7)&lt;=('Sheet3(F_21)'!A22-Title_RESULTS!$H$7),((Title_RESULTS!$C$8*Partcipation!$C$26*8760*Title_RESULTS!$H$21/100000)),0)</f>
        <v>1946.257858449416</v>
      </c>
      <c r="E22" s="5">
        <f>IF($G22=0,0,((Title_RESULTS!$H$14*((1+Title_RESULTS!$H$15/100)^($A22-Title_RESULTS!$H$7))*'EUE_Line Losses'!$B$25*Partcipation!$C$26))/1000)</f>
        <v>16.410551457111012</v>
      </c>
      <c r="F22" s="5">
        <f>IF($G22=0,0,(Title_RESULTS!$H$19/100*((1+Title_RESULTS!$H$20/100)^($A22-Title_RESULTS!$H$7))*$D22*1000)/1000)</f>
        <v>4.7121533308844405</v>
      </c>
      <c r="G22" s="5">
        <f>(+Title_RESULTS!$H$22/100*((1+Title_RESULTS!$H$23/100)^(+'Sheet4(F_22)'!A22-Title_RESULTS!$H$7)))*'Sheet3(F_21)'!D22</f>
        <v>95.2635192819183</v>
      </c>
      <c r="H22" s="5">
        <f>IF($G22=0,0,(($D22))*(Partcipation!$G22/100))</f>
        <v>69.23913204213746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205.83159241484708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162.49292839636047</v>
      </c>
      <c r="D23" s="5">
        <f>IF((Title_RESULTS!$H$8-Title_RESULTS!$H$7)&lt;=('Sheet3(F_21)'!A23-Title_RESULTS!$H$7),((Title_RESULTS!$C$8*Partcipation!$C$26*8760*Title_RESULTS!$H$21/100000)),0)</f>
        <v>1946.257858449416</v>
      </c>
      <c r="E23" s="5">
        <f>IF($G23=0,0,((Title_RESULTS!$H$14*((1+Title_RESULTS!$H$15/100)^($A23-Title_RESULTS!$H$7))*'EUE_Line Losses'!$B$25*Partcipation!$C$26))/1000)</f>
        <v>16.80440469208168</v>
      </c>
      <c r="F23" s="5">
        <f>IF($G23=0,0,(Title_RESULTS!$H$19/100*((1+Title_RESULTS!$H$20/100)^($A23-Title_RESULTS!$H$7))*$D23*1000)/1000)</f>
        <v>4.825245010825667</v>
      </c>
      <c r="G23" s="5">
        <f>(+Title_RESULTS!$H$22/100*((1+Title_RESULTS!$H$23/100)^(+'Sheet4(F_22)'!A23-Title_RESULTS!$H$7)))*'Sheet3(F_21)'!D23</f>
        <v>99.5884830573174</v>
      </c>
      <c r="H23" s="5">
        <f>IF($G23=0,0,(($D23))*(Partcipation!$G23/100))</f>
        <v>72.33825266762385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211.37280848896137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166.39275867787313</v>
      </c>
      <c r="D24" s="5">
        <f>IF((Title_RESULTS!$H$8-Title_RESULTS!$H$7)&lt;=('Sheet3(F_21)'!A24-Title_RESULTS!$H$7),((Title_RESULTS!$C$8*Partcipation!$C$26*8760*Title_RESULTS!$H$21/100000)),0)</f>
        <v>1946.257858449416</v>
      </c>
      <c r="E24" s="5">
        <f>IF($G24=0,0,((Title_RESULTS!$H$14*((1+Title_RESULTS!$H$15/100)^($A24-Title_RESULTS!$H$7))*'EUE_Line Losses'!$B$25*Partcipation!$C$26))/1000)</f>
        <v>17.207710404691635</v>
      </c>
      <c r="F24" s="5">
        <f>IF($G24=0,0,(Title_RESULTS!$H$19/100*((1+Title_RESULTS!$H$20/100)^($A24-Title_RESULTS!$H$7))*$D24*1000)/1000)</f>
        <v>4.941050891085483</v>
      </c>
      <c r="G24" s="5">
        <f>(+Title_RESULTS!$H$22/100*((1+Title_RESULTS!$H$23/100)^(+'Sheet4(F_22)'!A24-Title_RESULTS!$H$7)))*'Sheet3(F_21)'!D24</f>
        <v>104.10980018811964</v>
      </c>
      <c r="H24" s="5">
        <f>IF($G24=0,0,(($D24))*(Partcipation!$G24/100))</f>
        <v>77.8550853882425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214.79623477352737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170.38618488614208</v>
      </c>
      <c r="D25" s="5">
        <f>IF((Title_RESULTS!$H$8-Title_RESULTS!$H$7)&lt;=('Sheet3(F_21)'!A25-Title_RESULTS!$H$7),((Title_RESULTS!$C$8*Partcipation!$C$26*8760*Title_RESULTS!$H$21/100000)),0)</f>
        <v>1946.257858449416</v>
      </c>
      <c r="E25" s="5">
        <f>IF($G25=0,0,((Title_RESULTS!$H$14*((1+Title_RESULTS!$H$15/100)^($A25-Title_RESULTS!$H$7))*'EUE_Line Losses'!$B$25*Partcipation!$C$26))/1000)</f>
        <v>17.62069545440424</v>
      </c>
      <c r="F25" s="5">
        <f>IF($G25=0,0,(Title_RESULTS!$H$19/100*((1+Title_RESULTS!$H$20/100)^($A25-Title_RESULTS!$H$7))*$D25*1000)/1000)</f>
        <v>5.0596361124715346</v>
      </c>
      <c r="G25" s="5">
        <f>(+Title_RESULTS!$H$22/100*((1+Title_RESULTS!$H$23/100)^(+'Sheet4(F_22)'!A25-Title_RESULTS!$H$7)))*'Sheet3(F_21)'!D25</f>
        <v>108.83638511666028</v>
      </c>
      <c r="H25" s="5">
        <f>IF($G25=0,0,(($D25))*(Partcipation!$G25/100))</f>
        <v>81.27180669253973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220.63109487713842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174.47545332340948</v>
      </c>
      <c r="D26" s="5">
        <f>IF((Title_RESULTS!$H$8-Title_RESULTS!$H$7)&lt;=('Sheet3(F_21)'!A26-Title_RESULTS!$H$7),((Title_RESULTS!$C$8*Partcipation!$C$26*8760*Title_RESULTS!$H$21/100000)),0)</f>
        <v>1946.257858449416</v>
      </c>
      <c r="E26" s="5">
        <f>IF($G26=0,0,((Title_RESULTS!$H$14*((1+Title_RESULTS!$H$15/100)^($A26-Title_RESULTS!$H$7))*'EUE_Line Losses'!$B$25*Partcipation!$C$26))/1000)</f>
        <v>18.043592145309937</v>
      </c>
      <c r="F26" s="5">
        <f>IF($G26=0,0,(Title_RESULTS!$H$19/100*((1+Title_RESULTS!$H$20/100)^($A26-Title_RESULTS!$H$7))*$D26*1000)/1000)</f>
        <v>5.181067379170851</v>
      </c>
      <c r="G26" s="5">
        <f>(+Title_RESULTS!$H$22/100*((1+Title_RESULTS!$H$23/100)^(+'Sheet4(F_22)'!A26-Title_RESULTS!$H$7)))*'Sheet3(F_21)'!D26</f>
        <v>113.77755700095666</v>
      </c>
      <c r="H26" s="5">
        <f>IF($G26=0,0,(($D26))*(Partcipation!$G26/100))</f>
        <v>87.31460175205872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224.1630680967882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178.66286420317132</v>
      </c>
      <c r="D27" s="5">
        <f>IF((Title_RESULTS!$H$8-Title_RESULTS!$H$7)&lt;=('Sheet3(F_21)'!A27-Title_RESULTS!$H$7),((Title_RESULTS!$C$8*Partcipation!$C$26*8760*Title_RESULTS!$H$21/100000)),0)</f>
        <v>1946.257858449416</v>
      </c>
      <c r="E27" s="5">
        <f>IF($G27=0,0,((Title_RESULTS!$H$14*((1+Title_RESULTS!$H$15/100)^($A27-Title_RESULTS!$H$7))*'EUE_Line Losses'!$B$25*Partcipation!$C$26))/1000)</f>
        <v>18.47663835679738</v>
      </c>
      <c r="F27" s="5">
        <f>IF($G27=0,0,(Title_RESULTS!$H$19/100*((1+Title_RESULTS!$H$20/100)^($A27-Title_RESULTS!$H$7))*$D27*1000)/1000)</f>
        <v>5.305412996270952</v>
      </c>
      <c r="G27" s="5">
        <f>(+Title_RESULTS!$H$22/100*((1+Title_RESULTS!$H$23/100)^(+'Sheet4(F_22)'!A27-Title_RESULTS!$H$7)))*'Sheet3(F_21)'!D27</f>
        <v>118.9430580888001</v>
      </c>
      <c r="H27" s="5">
        <f>IF($G27=0,0,(($D27))*(Partcipation!$G27/100))</f>
        <v>89.48585890316379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231.90211474187595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182.95077294404746</v>
      </c>
      <c r="D28" s="5">
        <f>IF((Title_RESULTS!$H$8-Title_RESULTS!$H$7)&lt;=('Sheet3(F_21)'!A28-Title_RESULTS!$H$7),((Title_RESULTS!$C$8*Partcipation!$C$26*8760*Title_RESULTS!$H$21/100000)),0)</f>
        <v>1946.257858449416</v>
      </c>
      <c r="E28" s="5">
        <f>IF($G28=0,0,((Title_RESULTS!$H$14*((1+Title_RESULTS!$H$15/100)^($A28-Title_RESULTS!$H$7))*'EUE_Line Losses'!$B$25*Partcipation!$C$26))/1000)</f>
        <v>18.920077677360517</v>
      </c>
      <c r="F28" s="5">
        <f>IF($G28=0,0,(Title_RESULTS!$H$19/100*((1+Title_RESULTS!$H$20/100)^($A28-Title_RESULTS!$H$7))*$D28*1000)/1000)</f>
        <v>5.432742908181455</v>
      </c>
      <c r="G28" s="5">
        <f>(+Title_RESULTS!$H$22/100*((1+Title_RESULTS!$H$23/100)^(+'Sheet4(F_22)'!A28-Title_RESULTS!$H$7)))*'Sheet3(F_21)'!D28</f>
        <v>124.34307292603164</v>
      </c>
      <c r="H28" s="5">
        <f>IF($G28=0,0,(($D28))*(Partcipation!$G28/100))</f>
        <v>94.85589737524428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236.79076908037678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187.3415914947046</v>
      </c>
      <c r="D29" s="5">
        <f>IF((Title_RESULTS!$H$8-Title_RESULTS!$H$7)&lt;=('Sheet3(F_21)'!A29-Title_RESULTS!$H$7),((Title_RESULTS!$C$8*Partcipation!$C$26*8760*Title_RESULTS!$H$21/100000)),0)</f>
        <v>1946.257858449416</v>
      </c>
      <c r="E29" s="5">
        <f>IF($G29=0,0,((Title_RESULTS!$H$14*((1+Title_RESULTS!$H$15/100)^($A29-Title_RESULTS!$H$7))*'EUE_Line Losses'!$B$25*Partcipation!$C$26))/1000)</f>
        <v>19.374159541617168</v>
      </c>
      <c r="F29" s="5">
        <f>IF($G29=0,0,(Title_RESULTS!$H$19/100*((1+Title_RESULTS!$H$20/100)^($A29-Title_RESULTS!$H$7))*$D29*1000)/1000)</f>
        <v>5.56312873797781</v>
      </c>
      <c r="G29" s="5">
        <f>(+Title_RESULTS!$H$22/100*((1+Title_RESULTS!$H$23/100)^(+'Sheet4(F_22)'!A29-Title_RESULTS!$H$7)))*'Sheet3(F_21)'!D29</f>
        <v>129.98824843687348</v>
      </c>
      <c r="H29" s="5">
        <f>IF($G29=0,0,(($D29))*(Partcipation!$G29/100))</f>
        <v>97.01931935008402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245.24780886108908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191.8377896905775</v>
      </c>
      <c r="D30" s="5">
        <f>IF((Title_RESULTS!$H$8-Title_RESULTS!$H$7)&lt;=('Sheet3(F_21)'!A30-Title_RESULTS!$H$7),((Title_RESULTS!$C$8*Partcipation!$C$26*8760*Title_RESULTS!$H$21/100000)),0)</f>
        <v>1946.257858449416</v>
      </c>
      <c r="E30" s="5">
        <f>IF($G30=0,0,((Title_RESULTS!$H$14*((1+Title_RESULTS!$H$15/100)^($A30-Title_RESULTS!$H$7))*'EUE_Line Losses'!$B$25*Partcipation!$C$26))/1000)</f>
        <v>19.839139370615975</v>
      </c>
      <c r="F30" s="5">
        <f>IF($G30=0,0,(Title_RESULTS!$H$19/100*((1+Title_RESULTS!$H$20/100)^($A30-Title_RESULTS!$H$7))*$D30*1000)/1000)</f>
        <v>5.696643827689277</v>
      </c>
      <c r="G30" s="5">
        <f>(+Title_RESULTS!$H$22/100*((1+Title_RESULTS!$H$23/100)^(+'Sheet4(F_22)'!A30-Title_RESULTS!$H$7)))*'Sheet3(F_21)'!D30</f>
        <v>135.88971491590755</v>
      </c>
      <c r="H30" s="5">
        <f>IF($G30=0,0,(($D30))*(Partcipation!$G30/100))</f>
        <v>103.27969448432677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249.98359332046348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2027.3099662955701</v>
      </c>
      <c r="D32" s="9">
        <f t="shared" si="1"/>
        <v>23355.09430139299</v>
      </c>
      <c r="E32" s="9">
        <f t="shared" si="1"/>
        <v>209.6567367339309</v>
      </c>
      <c r="F32" s="9">
        <f t="shared" si="1"/>
        <v>60.201187810484164</v>
      </c>
      <c r="G32" s="9">
        <f t="shared" si="1"/>
        <v>1292.4184440957495</v>
      </c>
      <c r="H32" s="9">
        <f t="shared" si="1"/>
        <v>965.9830782491083</v>
      </c>
      <c r="I32" s="9">
        <f t="shared" si="1"/>
        <v>0</v>
      </c>
      <c r="J32" s="9">
        <f t="shared" si="1"/>
        <v>2623.603256686627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1143.1418463217358</v>
      </c>
      <c r="D34" s="5"/>
      <c r="E34" s="5">
        <f>NPV(Title_RESULTS!$C$37,E17:E31)+'Sheet3(F_21)'!E16</f>
        <v>118.21941050373829</v>
      </c>
      <c r="F34" s="5">
        <f>NPV(Title_RESULTS!$C$37,F17:F31)+'Sheet3(F_21)'!F16</f>
        <v>33.94572025420858</v>
      </c>
      <c r="G34" s="5">
        <f>NPV(Title_RESULTS!$C$37,G17:G31)+'Sheet3(F_21)'!G16</f>
        <v>716.6106987003383</v>
      </c>
      <c r="H34" s="5">
        <f>NPV(Title_RESULTS!$C$37,H17:H31)+'Sheet3(F_21)'!H16</f>
        <v>534.1640696460454</v>
      </c>
      <c r="I34" s="5">
        <f>NPV(Title_RESULTS!$C$37,I17:I31)+'Sheet3(F_21)'!I16</f>
        <v>0</v>
      </c>
      <c r="J34" s="5">
        <f>NPV(Title_RESULTS!$C$37,J17:J31)+'Sheet3(F_21)'!J16</f>
        <v>1477.7536061339756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Residential DR - Pool Pump Switches</v>
      </c>
      <c r="F2" t="s">
        <v>55</v>
      </c>
    </row>
    <row r="3" spans="6:7" ht="12.75">
      <c r="F3" s="35">
        <f>+Title_RESULTS!I4</f>
        <v>43599.326876851854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0</v>
      </c>
      <c r="C16" s="5">
        <f>$B16*'Sheet2(F_12)'!$E16/100</f>
        <v>0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0</v>
      </c>
      <c r="G16" s="5">
        <f>+$F16*'Sheet2(F_12)'!$I16</f>
        <v>0</v>
      </c>
    </row>
    <row r="17" spans="1:7" ht="12.75">
      <c r="A17">
        <f>+A16+1</f>
        <v>2021</v>
      </c>
      <c r="B17" s="5">
        <f>(+Partcipation!$C16+(Partcipation!$C17-Partcipation!$C16)/2)*Title_RESULTS!$C$10/1000</f>
        <v>0</v>
      </c>
      <c r="C17" s="5">
        <f>$B17*'Sheet2(F_12)'!$E17/100</f>
        <v>0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0</v>
      </c>
      <c r="G17" s="5">
        <f>+$F17*'Sheet2(F_12)'!$I17</f>
        <v>0</v>
      </c>
    </row>
    <row r="18" spans="1:7" ht="12.75">
      <c r="A18">
        <f>+A17+1</f>
        <v>2022</v>
      </c>
      <c r="B18" s="5">
        <f>(+Partcipation!$C17+(Partcipation!$C18-Partcipation!$C17)/2)*Title_RESULTS!$C$10/1000</f>
        <v>0</v>
      </c>
      <c r="C18" s="5">
        <f>$B18*'Sheet2(F_12)'!$E18/100</f>
        <v>0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0</v>
      </c>
      <c r="G18" s="5">
        <f>+$F18*'Sheet2(F_12)'!$I18</f>
        <v>0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0</v>
      </c>
      <c r="C19" s="5">
        <f>$B19*'Sheet2(F_12)'!$E19/100</f>
        <v>0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0</v>
      </c>
      <c r="G19" s="5">
        <f>+$F19*'Sheet2(F_12)'!$I19</f>
        <v>0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0</v>
      </c>
      <c r="C20" s="5">
        <f>$B20*'Sheet2(F_12)'!$E20/100</f>
        <v>0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0</v>
      </c>
      <c r="G20" s="5">
        <f>+$F20*'Sheet2(F_12)'!$I20</f>
        <v>0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0</v>
      </c>
      <c r="C21" s="5">
        <f>$B21*'Sheet2(F_12)'!$E21/100</f>
        <v>0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0</v>
      </c>
      <c r="G21" s="5">
        <f>+$F21*'Sheet2(F_12)'!$I21</f>
        <v>0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0</v>
      </c>
      <c r="C22" s="5">
        <f>$B22*'Sheet2(F_12)'!$E22/100</f>
        <v>0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0</v>
      </c>
      <c r="G22" s="5">
        <f>+$F22*'Sheet2(F_12)'!$I22</f>
        <v>0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0</v>
      </c>
      <c r="C23" s="5">
        <f>$B23*'Sheet2(F_12)'!$E23/100</f>
        <v>0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0</v>
      </c>
      <c r="G23" s="5">
        <f>+$F23*'Sheet2(F_12)'!$I23</f>
        <v>0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0</v>
      </c>
      <c r="C24" s="5">
        <f>$B24*'Sheet2(F_12)'!$E24/100</f>
        <v>0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0</v>
      </c>
      <c r="G24" s="5">
        <f>+$F24*'Sheet2(F_12)'!$I24</f>
        <v>0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0</v>
      </c>
      <c r="C25" s="5">
        <f>$B25*'Sheet2(F_12)'!$E25/100</f>
        <v>0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0</v>
      </c>
      <c r="G25" s="5">
        <f>+$F25*'Sheet2(F_12)'!$I25</f>
        <v>0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0</v>
      </c>
      <c r="C26" s="5">
        <f>$B26*'Sheet2(F_12)'!$E26/100</f>
        <v>0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0</v>
      </c>
      <c r="G26" s="5">
        <f>+$F26*'Sheet2(F_12)'!$I26</f>
        <v>0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0</v>
      </c>
      <c r="C27" s="5">
        <f>$B27*'Sheet2(F_12)'!$E27/100</f>
        <v>0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0</v>
      </c>
      <c r="G27" s="5">
        <f>+$F27*'Sheet2(F_12)'!$I27</f>
        <v>0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0</v>
      </c>
      <c r="C28" s="5">
        <f>$B28*'Sheet2(F_12)'!$E28/100</f>
        <v>0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0</v>
      </c>
      <c r="G28" s="5">
        <f>+$F28*'Sheet2(F_12)'!$I28</f>
        <v>0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0</v>
      </c>
      <c r="C29" s="5">
        <f>$B29*'Sheet2(F_12)'!$E29/100</f>
        <v>0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0</v>
      </c>
      <c r="G29" s="5">
        <f>+$F29*'Sheet2(F_12)'!$I29</f>
        <v>0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0</v>
      </c>
      <c r="C30" s="5">
        <f>$B30*'Sheet2(F_12)'!$E30/100</f>
        <v>0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0</v>
      </c>
      <c r="G30" s="5">
        <f>+$F30*'Sheet2(F_12)'!$I30</f>
        <v>0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0</v>
      </c>
      <c r="C32" s="5">
        <f t="shared" si="2"/>
        <v>0</v>
      </c>
      <c r="D32" s="5">
        <f t="shared" si="2"/>
        <v>0</v>
      </c>
      <c r="E32" s="5">
        <f t="shared" si="2"/>
        <v>0</v>
      </c>
      <c r="F32" s="5">
        <f t="shared" si="2"/>
        <v>0</v>
      </c>
      <c r="G32" s="5">
        <f t="shared" si="2"/>
        <v>0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0</v>
      </c>
      <c r="D34" s="5"/>
      <c r="E34" s="5">
        <f>NPV(+Title_RESULTS!$C$37,E17:E31)+E16</f>
        <v>0</v>
      </c>
      <c r="F34" s="5">
        <f>NPV(+Title_RESULTS!$C$37,F17:F31)+F16</f>
        <v>0</v>
      </c>
      <c r="G34" s="5">
        <f>NPV(+Title_RESULTS!$C$37,G17:G31)+G16</f>
        <v>0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Residential DR - Pool Pump Switches</v>
      </c>
      <c r="J2" t="s">
        <v>42</v>
      </c>
    </row>
    <row r="3" spans="9:10" ht="12.75">
      <c r="I3" s="4"/>
      <c r="J3" s="35">
        <f>+Title_RESULTS!I4</f>
        <v>43599.326876851854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Residential DR - Pool Pump Switches</v>
      </c>
      <c r="H2" t="s">
        <v>108</v>
      </c>
    </row>
    <row r="3" ht="12.75">
      <c r="H3" s="35">
        <f>+Title_RESULTS!I4</f>
        <v>43599.326876851854</v>
      </c>
    </row>
    <row r="5" spans="3:6" ht="12.75">
      <c r="C5" t="s">
        <v>60</v>
      </c>
      <c r="F5" s="38">
        <f>+'Value of Defferal'!L4</f>
        <v>87.2354816</v>
      </c>
    </row>
    <row r="6" spans="3:6" ht="12.75">
      <c r="C6" t="s">
        <v>62</v>
      </c>
      <c r="F6" s="38">
        <f>+'Value of Defferal'!L5</f>
        <v>199.90210560000008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0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8.620811243399825</v>
      </c>
      <c r="C17" s="5">
        <f>IF(+Title_RESULTS!$H$9&lt;='Sheet4(F_22)'!$A17,(+Title_RESULTS!$H$16*((1+Title_RESULTS!$H$18/100)^('Sheet4(F_22)'!$A17-Title_RESULTS!$H$7))*Title_RESULTS!$C$8*Partcipation!$C$26/1000),0)</f>
        <v>6.9502373059424984</v>
      </c>
      <c r="D17" s="5">
        <f>(+B17+C17)*+Partcipation!$H17</f>
        <v>15.571048549342322</v>
      </c>
      <c r="E17" s="5">
        <f>VLOOKUP(A17,'Value of Defferal'!$I24:$P$58,'Value of Defferal'!$K$13)</f>
        <v>19.754786560790645</v>
      </c>
      <c r="F17" s="5">
        <f>IF(+'Value of Defferal'!P24=0,0,Title_RESULTS!$H$17*Title_RESULTS!$C$7*Partcipation!$C$26*(1+Title_RESULTS!$H$18/100)^('Sheet4(F_22)'!A17-Title_RESULTS!$H$7))/1000</f>
        <v>27.520819200000005</v>
      </c>
      <c r="G17" s="5">
        <f>(+E17+F17)*Partcipation!$H17</f>
        <v>47.275605760790654</v>
      </c>
      <c r="H17" s="5">
        <f>+'Sheet5(p_5)'!$F17*'Sheet2(F_12)'!$I17</f>
        <v>0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8.82771071324142</v>
      </c>
      <c r="C18" s="5">
        <f>IF(+Title_RESULTS!$H$9&lt;='Sheet4(F_22)'!$A18,(+Title_RESULTS!$H$16*((1+Title_RESULTS!$H$18/100)^('Sheet4(F_22)'!$A18-Title_RESULTS!$H$7))*Title_RESULTS!$C$8*Partcipation!$C$26/1000),0)</f>
        <v>7.117043001285118</v>
      </c>
      <c r="D18" s="5">
        <f>(+B18+C18)*+Partcipation!$H18</f>
        <v>15.944753714526538</v>
      </c>
      <c r="E18" s="5">
        <f>VLOOKUP(A18,'Value of Defferal'!$I25:$P$58,'Value of Defferal'!$K$13)</f>
        <v>20.228901438249622</v>
      </c>
      <c r="F18" s="5">
        <f>IF(+'Value of Defferal'!P25=0,0,Title_RESULTS!$H$17*Title_RESULTS!$C$7*Partcipation!$C$26*(1+Title_RESULTS!$H$18/100)^('Sheet4(F_22)'!A18-Title_RESULTS!$H$7))/1000</f>
        <v>28.1813188608</v>
      </c>
      <c r="G18" s="5">
        <f>(+E18+F18)*Partcipation!$H18</f>
        <v>48.41022029904963</v>
      </c>
      <c r="H18" s="5">
        <f>+'Sheet5(p_5)'!$F18*'Sheet2(F_12)'!$I18</f>
        <v>0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9.039575770359214</v>
      </c>
      <c r="C19" s="5">
        <f>IF(+Title_RESULTS!$H$9&lt;='Sheet4(F_22)'!$A19,(+Title_RESULTS!$H$16*((1+Title_RESULTS!$H$18/100)^('Sheet4(F_22)'!$A19-Title_RESULTS!$H$7))*Title_RESULTS!$C$8*Partcipation!$C$26/1000),0)</f>
        <v>7.287852033315961</v>
      </c>
      <c r="D19" s="5">
        <f>(+B19+C19)*+Partcipation!$H19</f>
        <v>16.327427803675175</v>
      </c>
      <c r="E19" s="5">
        <f>VLOOKUP(A19,'Value of Defferal'!$I26:$P$58,'Value of Defferal'!$K$13)</f>
        <v>20.714395072767612</v>
      </c>
      <c r="F19" s="5">
        <f>IF(+'Value of Defferal'!P26=0,0,Title_RESULTS!$H$17*Title_RESULTS!$C$7*Partcipation!$C$26*(1+Title_RESULTS!$H$18/100)^('Sheet4(F_22)'!A19-Title_RESULTS!$H$7))/1000</f>
        <v>28.857670513459205</v>
      </c>
      <c r="G19" s="5">
        <f>(+E19+F19)*Partcipation!$H19</f>
        <v>49.57206558622681</v>
      </c>
      <c r="H19" s="5">
        <f>+'Sheet5(p_5)'!$F19*'Sheet2(F_12)'!$I19</f>
        <v>0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9.256525588847834</v>
      </c>
      <c r="C20" s="5">
        <f>IF(+Title_RESULTS!$H$9&lt;='Sheet4(F_22)'!$A20,(+Title_RESULTS!$H$16*((1+Title_RESULTS!$H$18/100)^('Sheet4(F_22)'!$A20-Title_RESULTS!$H$7))*Title_RESULTS!$C$8*Partcipation!$C$26/1000),0)</f>
        <v>7.462760482115544</v>
      </c>
      <c r="D20" s="5">
        <f>(+B20+C20)*+Partcipation!$H20</f>
        <v>16.719286070963378</v>
      </c>
      <c r="E20" s="5">
        <f>VLOOKUP(A20,'Value of Defferal'!$I27:$P$58,'Value of Defferal'!$K$13)</f>
        <v>21.211540554514034</v>
      </c>
      <c r="F20" s="5">
        <f>IF(+'Value of Defferal'!P27=0,0,Title_RESULTS!$H$17*Title_RESULTS!$C$7*Partcipation!$C$26*(1+Title_RESULTS!$H$18/100)^('Sheet4(F_22)'!A20-Title_RESULTS!$H$7))/1000</f>
        <v>29.55025460578222</v>
      </c>
      <c r="G20" s="5">
        <f>(+E20+F20)*Partcipation!$H20</f>
        <v>50.76179516029626</v>
      </c>
      <c r="H20" s="5">
        <f>+'Sheet5(p_5)'!$F20*'Sheet2(F_12)'!$I20</f>
        <v>0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9.478682202980183</v>
      </c>
      <c r="C21" s="5">
        <f>IF(+Title_RESULTS!$H$9&lt;='Sheet4(F_22)'!$A21,(+Title_RESULTS!$H$16*((1+Title_RESULTS!$H$18/100)^('Sheet4(F_22)'!$A21-Title_RESULTS!$H$7))*Title_RESULTS!$C$8*Partcipation!$C$26/1000),0)</f>
        <v>7.641866733686318</v>
      </c>
      <c r="D21" s="5">
        <f>(+B21+C21)*+Partcipation!$H21</f>
        <v>17.120548936666502</v>
      </c>
      <c r="E21" s="5">
        <f>VLOOKUP(A21,'Value of Defferal'!$I28:$P$58,'Value of Defferal'!$K$13)</f>
        <v>21.720617527822373</v>
      </c>
      <c r="F21" s="5">
        <f>IF(+'Value of Defferal'!P28=0,0,Title_RESULTS!$H$17*Title_RESULTS!$C$7*Partcipation!$C$26*(1+Title_RESULTS!$H$18/100)^('Sheet4(F_22)'!A21-Title_RESULTS!$H$7))/1000</f>
        <v>30.259460716320998</v>
      </c>
      <c r="G21" s="5">
        <f>(+E21+F21)*Partcipation!$H21</f>
        <v>51.98007824414337</v>
      </c>
      <c r="H21" s="5">
        <f>+'Sheet5(p_5)'!$F21*'Sheet2(F_12)'!$I21</f>
        <v>0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9.706170575851708</v>
      </c>
      <c r="C22" s="5">
        <f>IF(+Title_RESULTS!$H$9&lt;='Sheet4(F_22)'!$A22,(+Title_RESULTS!$H$16*((1+Title_RESULTS!$H$18/100)^('Sheet4(F_22)'!$A22-Title_RESULTS!$H$7))*Title_RESULTS!$C$8*Partcipation!$C$26/1000),0)</f>
        <v>7.825271535294788</v>
      </c>
      <c r="D22" s="5">
        <f>(+B22+C22)*+Partcipation!$H22</f>
        <v>17.531442111146497</v>
      </c>
      <c r="E22" s="5">
        <f>VLOOKUP(A22,'Value of Defferal'!$I29:$P$58,'Value of Defferal'!$K$13)</f>
        <v>22.24191234849011</v>
      </c>
      <c r="F22" s="5">
        <f>IF(+'Value of Defferal'!P29=0,0,Title_RESULTS!$H$17*Title_RESULTS!$C$7*Partcipation!$C$26*(1+Title_RESULTS!$H$18/100)^('Sheet4(F_22)'!A22-Title_RESULTS!$H$7))/1000</f>
        <v>30.985687773512698</v>
      </c>
      <c r="G22" s="5">
        <f>(+E22+F22)*Partcipation!$H22</f>
        <v>53.22760012200281</v>
      </c>
      <c r="H22" s="5">
        <f>+'Sheet5(p_5)'!$F22*'Sheet2(F_12)'!$I22</f>
        <v>0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9.93911866967215</v>
      </c>
      <c r="C23" s="5">
        <f>IF(+Title_RESULTS!$H$9&lt;='Sheet4(F_22)'!$A23,(+Title_RESULTS!$H$16*((1+Title_RESULTS!$H$18/100)^('Sheet4(F_22)'!$A23-Title_RESULTS!$H$7))*Title_RESULTS!$C$8*Partcipation!$C$26/1000),0)</f>
        <v>8.013078052141864</v>
      </c>
      <c r="D23" s="5">
        <f>(+B23+C23)*+Partcipation!$H23</f>
        <v>17.952196721814012</v>
      </c>
      <c r="E23" s="5">
        <f>VLOOKUP(A23,'Value of Defferal'!$I30:$P$58,'Value of Defferal'!$K$13)</f>
        <v>22.77571824485387</v>
      </c>
      <c r="F23" s="5">
        <f>IF(+'Value of Defferal'!P30=0,0,Title_RESULTS!$H$17*Title_RESULTS!$C$7*Partcipation!$C$26*(1+Title_RESULTS!$H$18/100)^('Sheet4(F_22)'!A23-Title_RESULTS!$H$7))/1000</f>
        <v>31.72934428007701</v>
      </c>
      <c r="G23" s="5">
        <f>(+E23+F23)*Partcipation!$H23</f>
        <v>54.50506252493088</v>
      </c>
      <c r="H23" s="5">
        <f>+'Sheet5(p_5)'!$F23*'Sheet2(F_12)'!$I23</f>
        <v>0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10.17765751774428</v>
      </c>
      <c r="C24" s="5">
        <f>IF(+Title_RESULTS!$H$9&lt;='Sheet4(F_22)'!$A24,(+Title_RESULTS!$H$16*((1+Title_RESULTS!$H$18/100)^('Sheet4(F_22)'!$A24-Title_RESULTS!$H$7))*Title_RESULTS!$C$8*Partcipation!$C$26/1000),0)</f>
        <v>8.205391925393267</v>
      </c>
      <c r="D24" s="5">
        <f>(+B24+C24)*+Partcipation!$H24</f>
        <v>18.383049443137544</v>
      </c>
      <c r="E24" s="5">
        <f>VLOOKUP(A24,'Value of Defferal'!$I31:$P$58,'Value of Defferal'!$K$13)</f>
        <v>23.322335482730363</v>
      </c>
      <c r="F24" s="5">
        <f>IF(+'Value of Defferal'!P31=0,0,Title_RESULTS!$H$17*Title_RESULTS!$C$7*Partcipation!$C$26*(1+Title_RESULTS!$H$18/100)^('Sheet4(F_22)'!A24-Title_RESULTS!$H$7))/1000</f>
        <v>32.49084854279885</v>
      </c>
      <c r="G24" s="5">
        <f>(+E24+F24)*Partcipation!$H24</f>
        <v>55.81318402552921</v>
      </c>
      <c r="H24" s="5">
        <f>+'Sheet5(p_5)'!$F24*'Sheet2(F_12)'!$I24</f>
        <v>0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10.421921298170144</v>
      </c>
      <c r="C25" s="5">
        <f>IF(+Title_RESULTS!$H$9&lt;='Sheet4(F_22)'!$A25,(+Title_RESULTS!$H$16*((1+Title_RESULTS!$H$18/100)^('Sheet4(F_22)'!$A25-Title_RESULTS!$H$7))*Title_RESULTS!$C$8*Partcipation!$C$26/1000),0)</f>
        <v>8.402321331602705</v>
      </c>
      <c r="D25" s="5">
        <f>(+B25+C25)*+Partcipation!$H25</f>
        <v>18.824242629772847</v>
      </c>
      <c r="E25" s="5">
        <f>VLOOKUP(A25,'Value of Defferal'!$I32:$P$58,'Value of Defferal'!$K$13)</f>
        <v>23.882071534315894</v>
      </c>
      <c r="F25" s="5">
        <f>IF(+'Value of Defferal'!P32=0,0,Title_RESULTS!$H$17*Title_RESULTS!$C$7*Partcipation!$C$26*(1+Title_RESULTS!$H$18/100)^('Sheet4(F_22)'!A25-Title_RESULTS!$H$7))/1000</f>
        <v>33.27062890782602</v>
      </c>
      <c r="G25" s="5">
        <f>(+E25+F25)*Partcipation!$H25</f>
        <v>57.15270044214192</v>
      </c>
      <c r="H25" s="5">
        <f>+'Sheet5(p_5)'!$F25*'Sheet2(F_12)'!$I25</f>
        <v>0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10.672047409326227</v>
      </c>
      <c r="C26" s="5">
        <f>IF(+Title_RESULTS!$H$9&lt;='Sheet4(F_22)'!$A26,(+Title_RESULTS!$H$16*((1+Title_RESULTS!$H$18/100)^('Sheet4(F_22)'!$A26-Title_RESULTS!$H$7))*Title_RESULTS!$C$8*Partcipation!$C$26/1000),0)</f>
        <v>8.603977043561171</v>
      </c>
      <c r="D26" s="5">
        <f>(+B26+C26)*+Partcipation!$H26</f>
        <v>19.2760244528874</v>
      </c>
      <c r="E26" s="5">
        <f>VLOOKUP(A26,'Value of Defferal'!$I33:$P$58,'Value of Defferal'!$K$13)</f>
        <v>24.455241251139476</v>
      </c>
      <c r="F26" s="5">
        <f>IF(+'Value of Defferal'!P33=0,0,Title_RESULTS!$H$17*Title_RESULTS!$C$7*Partcipation!$C$26*(1+Title_RESULTS!$H$18/100)^('Sheet4(F_22)'!A26-Title_RESULTS!$H$7))/1000</f>
        <v>34.069124001613844</v>
      </c>
      <c r="G26" s="5">
        <f>(+E26+F26)*Partcipation!$H26</f>
        <v>58.52436525275332</v>
      </c>
      <c r="H26" s="5">
        <f>+'Sheet5(p_5)'!$F26*'Sheet2(F_12)'!$I26</f>
        <v>0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10.928176547150057</v>
      </c>
      <c r="C27" s="5">
        <f>IF(+Title_RESULTS!$H$9&lt;='Sheet4(F_22)'!$A27,(+Title_RESULTS!$H$16*((1+Title_RESULTS!$H$18/100)^('Sheet4(F_22)'!$A27-Title_RESULTS!$H$7))*Title_RESULTS!$C$8*Partcipation!$C$26/1000),0)</f>
        <v>8.810472492606639</v>
      </c>
      <c r="D27" s="5">
        <f>(+B27+C27)*+Partcipation!$H27</f>
        <v>19.738649039756694</v>
      </c>
      <c r="E27" s="5">
        <f>VLOOKUP(A27,'Value of Defferal'!$I34:$P$58,'Value of Defferal'!$K$13)</f>
        <v>25.042167041166827</v>
      </c>
      <c r="F27" s="5">
        <f>IF(+'Value of Defferal'!P34=0,0,Title_RESULTS!$H$17*Title_RESULTS!$C$7*Partcipation!$C$26*(1+Title_RESULTS!$H$18/100)^('Sheet4(F_22)'!A27-Title_RESULTS!$H$7))/1000</f>
        <v>34.88678297765259</v>
      </c>
      <c r="G27" s="5">
        <f>(+E27+F27)*Partcipation!$H27</f>
        <v>59.928950018819414</v>
      </c>
      <c r="H27" s="5">
        <f>+'Sheet5(p_5)'!$F27*'Sheet2(F_12)'!$I27</f>
        <v>0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11.190452784281659</v>
      </c>
      <c r="C28" s="5">
        <f>IF(+Title_RESULTS!$H$9&lt;='Sheet4(F_22)'!$A28,(+Title_RESULTS!$H$16*((1+Title_RESULTS!$H$18/100)^('Sheet4(F_22)'!$A28-Title_RESULTS!$H$7))*Title_RESULTS!$C$8*Partcipation!$C$26/1000),0)</f>
        <v>9.021923832429199</v>
      </c>
      <c r="D28" s="5">
        <f>(+B28+C28)*+Partcipation!$H28</f>
        <v>20.212376616710856</v>
      </c>
      <c r="E28" s="5">
        <f>VLOOKUP(A28,'Value of Defferal'!$I35:$P$58,'Value of Defferal'!$K$13)</f>
        <v>25.643179050154828</v>
      </c>
      <c r="F28" s="5">
        <f>IF(+'Value of Defferal'!P35=0,0,Title_RESULTS!$H$17*Title_RESULTS!$C$7*Partcipation!$C$26*(1+Title_RESULTS!$H$18/100)^('Sheet4(F_22)'!A28-Title_RESULTS!$H$7))/1000</f>
        <v>35.724065769116244</v>
      </c>
      <c r="G28" s="5">
        <f>(+E28+F28)*Partcipation!$H28</f>
        <v>61.36724481927107</v>
      </c>
      <c r="H28" s="5">
        <f>+'Sheet5(p_5)'!$F28*'Sheet2(F_12)'!$I28</f>
        <v>0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11.459023651104419</v>
      </c>
      <c r="C29" s="5">
        <f>IF(+Title_RESULTS!$H$9&lt;='Sheet4(F_22)'!$A29,(+Title_RESULTS!$H$16*((1+Title_RESULTS!$H$18/100)^('Sheet4(F_22)'!$A29-Title_RESULTS!$H$7))*Title_RESULTS!$C$8*Partcipation!$C$26/1000),0)</f>
        <v>9.238450004407499</v>
      </c>
      <c r="D29" s="5">
        <f>(+B29+C29)*+Partcipation!$H29</f>
        <v>20.697473655511917</v>
      </c>
      <c r="E29" s="5">
        <f>VLOOKUP(A29,'Value of Defferal'!$I36:$P$58,'Value of Defferal'!$K$13)</f>
        <v>26.258615347358546</v>
      </c>
      <c r="F29" s="5">
        <f>IF(+'Value of Defferal'!P36=0,0,Title_RESULTS!$H$17*Title_RESULTS!$C$7*Partcipation!$C$26*(1+Title_RESULTS!$H$18/100)^('Sheet4(F_22)'!A29-Title_RESULTS!$H$7))/1000</f>
        <v>36.58144334757503</v>
      </c>
      <c r="G29" s="5">
        <f>(+E29+F29)*Partcipation!$H29</f>
        <v>62.840058694933575</v>
      </c>
      <c r="H29" s="5">
        <f>+'Sheet5(p_5)'!$F29*'Sheet2(F_12)'!$I29</f>
        <v>0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11.734040218730925</v>
      </c>
      <c r="C30" s="5">
        <f>IF(+Title_RESULTS!$H$9&lt;='Sheet4(F_22)'!$A30,(+Title_RESULTS!$H$16*((1+Title_RESULTS!$H$18/100)^('Sheet4(F_22)'!$A30-Title_RESULTS!$H$7))*Title_RESULTS!$C$8*Partcipation!$C$26/1000),0)</f>
        <v>9.46017280451328</v>
      </c>
      <c r="D30" s="5">
        <f>(+B30+C30)*+Partcipation!$H30</f>
        <v>21.194213023244203</v>
      </c>
      <c r="E30" s="5">
        <f>VLOOKUP(A30,'Value of Defferal'!$I37:$P$58,'Value of Defferal'!$K$13)</f>
        <v>26.88882211569515</v>
      </c>
      <c r="F30" s="5">
        <f>IF(+'Value of Defferal'!P37=0,0,Title_RESULTS!$H$17*Title_RESULTS!$C$7*Partcipation!$C$26*(1+Title_RESULTS!$H$18/100)^('Sheet4(F_22)'!A30-Title_RESULTS!$H$7))/1000</f>
        <v>37.45939798791683</v>
      </c>
      <c r="G30" s="5">
        <f>(+E30+F30)*Partcipation!$H30</f>
        <v>64.34822010361198</v>
      </c>
      <c r="H30" s="5">
        <f>+'Sheet5(p_5)'!$F30*'Sheet2(F_12)'!$I30</f>
        <v>0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141.45191419086007</v>
      </c>
      <c r="C32" s="5">
        <f t="shared" si="1"/>
        <v>114.04081857829584</v>
      </c>
      <c r="D32" s="5">
        <f t="shared" si="1"/>
        <v>255.49273276915585</v>
      </c>
      <c r="E32" s="5">
        <f t="shared" si="1"/>
        <v>324.14030357004935</v>
      </c>
      <c r="F32" s="5">
        <f t="shared" si="1"/>
        <v>451.56684748445156</v>
      </c>
      <c r="G32" s="5">
        <f t="shared" si="1"/>
        <v>775.7071510545007</v>
      </c>
      <c r="H32" s="5">
        <f t="shared" si="1"/>
        <v>0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85.67171162904289</v>
      </c>
      <c r="C34" s="5">
        <f>NPV(Title_RESULTS!$C$37,'Sheet4(F_22)'!C17:C31)+'Sheet4(F_22)'!C16</f>
        <v>69.06991806414918</v>
      </c>
      <c r="D34" s="5">
        <f>NPV(Title_RESULTS!$C$37,'Sheet4(F_22)'!D17:D31)+'Sheet4(F_22)'!D16</f>
        <v>154.7416296931921</v>
      </c>
      <c r="E34" s="5">
        <f>NPV(Title_RESULTS!$C$37,'Sheet4(F_22)'!E17:E31)+'Sheet4(F_22)'!E16</f>
        <v>196.31869086857535</v>
      </c>
      <c r="F34" s="5">
        <f>NPV(Title_RESULTS!$C$37,'Sheet4(F_22)'!F17:F31)+'Sheet4(F_22)'!F16</f>
        <v>273.49580216160604</v>
      </c>
      <c r="G34" s="5">
        <f>NPV(Title_RESULTS!$C$37,'Sheet4(F_22)'!G17:G31)+'Sheet4(F_22)'!G16</f>
        <v>469.8144930301815</v>
      </c>
      <c r="H34" s="5">
        <f>NPV(Title_RESULTS!$C$37,'Sheet4(F_22)'!H17:H31)+'Sheet4(F_22)'!H16</f>
        <v>0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Residential DR - Pool Pump Switches</v>
      </c>
      <c r="P2" t="s">
        <v>121</v>
      </c>
    </row>
    <row r="3" ht="12.75">
      <c r="P3" s="35">
        <f>+Title_RESULTS!I4</f>
        <v>43599.326876851854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421</v>
      </c>
      <c r="C16" s="5">
        <f>(Partcipation!$C15+(Partcipation!$C16-Partcipation!$C15)/2)*(Title_RESULTS!$C$27*((1+Title_RESULTS!$C$28/100)^('Sheet9(F_25)'!$A16-Title_RESULTS!$H$7)))/1000</f>
        <v>2.5</v>
      </c>
      <c r="D16" s="5">
        <f>SUM(B16:C16)</f>
        <v>423.5</v>
      </c>
      <c r="E16" s="5">
        <f>IF(+'Sheet9(F_25)'!$A16&gt;=Title_RESULTS!$H$8,0,((Partcipation!$B16-Partcipation!$B15)*(Title_RESULTS!$C$39*((1+Title_RESULTS!$C$41/100)^('Sheet9(F_25)'!$A16-Title_RESULTS!$H$7)))/1000))</f>
        <v>0</v>
      </c>
      <c r="F16" s="5">
        <f>(Partcipation!$C15+(Partcipation!$C16-Partcipation!$C15)/2)*(Title_RESULTS!$C$40*((1+Title_RESULTS!$C$41/100)^('Sheet9(F_25)'!$A16-Title_RESULTS!$H$7)))/1000</f>
        <v>14.65215202909963</v>
      </c>
      <c r="G16" s="5">
        <f>SUM(E16:F16)</f>
        <v>14.65215202909963</v>
      </c>
      <c r="H16" s="5">
        <f>IF(Partcipation!$B17&lt;Partcipation!$B16,0,IF(Partcipation!$B16=0,0,(Partcipation!$B16-Partcipation!$B15)*(+Title_RESULTS!$C$29*(1+Title_RESULTS!$C$30/100)^(+'Sheet8(F_24)'!$A16-Title_RESULTS!$H$7))/1000))</f>
        <v>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0</v>
      </c>
      <c r="K16" s="5">
        <f>(+Partcipation!$B15+(Partcipation!$B16-Partcipation!$B15)/2)*(+Title_RESULTS!$C$14)/1000</f>
        <v>0</v>
      </c>
      <c r="L16" s="5">
        <f>($K16)*Partcipation!$E73*Title_RESULTS!$C$12/100</f>
        <v>0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0</v>
      </c>
      <c r="N16" s="5">
        <f>'Sheet2(F_12)'!$I16*('Sheet6(p_6)'!$L16+'Sheet6(p_6)'!$M16)</f>
        <v>0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431.104</v>
      </c>
      <c r="C17" s="5">
        <f>(Partcipation!$C16+(Partcipation!$C17-Partcipation!$C16)/2)*(Title_RESULTS!$C$27*((1+Title_RESULTS!$C$28/100)^('Sheet9(F_25)'!$A17-Title_RESULTS!$H$7)))/1000</f>
        <v>7.68</v>
      </c>
      <c r="D17" s="5">
        <f>SUM(B17:C17)</f>
        <v>438.784</v>
      </c>
      <c r="E17" s="5">
        <f>IF(+'Sheet9(F_25)'!$A17&gt;=Title_RESULTS!$H$8,0,((Partcipation!$B17-Partcipation!$B16)*(Title_RESULTS!$C$39*((1+Title_RESULTS!$C$41/100)^('Sheet9(F_25)'!$A17-Title_RESULTS!$H$7)))/1000))</f>
        <v>0</v>
      </c>
      <c r="F17" s="5">
        <f>(Partcipation!$C16+(Partcipation!$C17-Partcipation!$C16)/2)*(Title_RESULTS!$C$40*((1+Title_RESULTS!$C$41/100)^('Sheet9(F_25)'!$A17-Title_RESULTS!$H$7)))/1000</f>
        <v>43.95645608729889</v>
      </c>
      <c r="G17" s="5">
        <f>SUM(E17:F17)</f>
        <v>43.95645608729889</v>
      </c>
      <c r="H17" s="5">
        <f>IF(Partcipation!$B18&lt;Partcipation!$B17,0,IF(Partcipation!$B17=0,0,(Partcipation!$B17-Partcipation!$B16)*(+Title_RESULTS!$C$29*(1+Title_RESULTS!$C$30/100)^(+'Sheet8(F_24)'!$A17-Title_RESULTS!$H$7))/1000))</f>
        <v>0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0</v>
      </c>
      <c r="K17" s="5">
        <f>(+Partcipation!$B16+(Partcipation!$B17-Partcipation!$B16)/2)*(+Title_RESULTS!$C$14)/1000</f>
        <v>0</v>
      </c>
      <c r="L17" s="5">
        <f>($K17)*Partcipation!$E74*Title_RESULTS!$C$12/100</f>
        <v>0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0</v>
      </c>
      <c r="N17" s="5">
        <f>'Sheet2(F_12)'!$I17*('Sheet6(p_6)'!$L17+'Sheet6(p_6)'!$M17)</f>
        <v>0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441.450496</v>
      </c>
      <c r="C18" s="5">
        <f>(Partcipation!$C17+(Partcipation!$C18-Partcipation!$C17)/2)*(Title_RESULTS!$C$27*((1+Title_RESULTS!$C$28/100)^('Sheet9(F_25)'!$A18-Title_RESULTS!$H$7)))/1000</f>
        <v>13.107199999999999</v>
      </c>
      <c r="D18" s="5">
        <f>SUM(B18:C18)</f>
        <v>454.55769599999996</v>
      </c>
      <c r="E18" s="5">
        <f>IF(+'Sheet9(F_25)'!$A18&gt;=Title_RESULTS!$H$8,0,((Partcipation!$B18-Partcipation!$B17)*(Title_RESULTS!$C$39*((1+Title_RESULTS!$C$41/100)^('Sheet9(F_25)'!$A18-Title_RESULTS!$H$7)))/1000))</f>
        <v>0</v>
      </c>
      <c r="F18" s="5">
        <f>(Partcipation!$C17+(Partcipation!$C18-Partcipation!$C17)/2)*(Title_RESULTS!$C$40*((1+Title_RESULTS!$C$41/100)^('Sheet9(F_25)'!$A18-Title_RESULTS!$H$7)))/1000</f>
        <v>73.26076014549815</v>
      </c>
      <c r="G18" s="5">
        <f>SUM(E18:F18)</f>
        <v>73.26076014549815</v>
      </c>
      <c r="H18" s="5">
        <f>IF(Partcipation!$B19&lt;Partcipation!$B18,0,IF(Partcipation!$B18=0,0,(Partcipation!$B18-Partcipation!$B17)*(+Title_RESULTS!$C$29*(1+Title_RESULTS!$C$30/100)^(+'Sheet8(F_24)'!$A18-Title_RESULTS!$H$7))/1000))</f>
        <v>0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0</v>
      </c>
      <c r="K18" s="5">
        <f>(+Partcipation!$B17+(Partcipation!$B18-Partcipation!$B17)/2)*(+Title_RESULTS!$C$14)/1000</f>
        <v>0</v>
      </c>
      <c r="L18" s="5">
        <f>($K18)*Partcipation!$E75*Title_RESULTS!$C$12/100</f>
        <v>0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0</v>
      </c>
      <c r="N18" s="5">
        <f>'Sheet2(F_12)'!$I18*('Sheet6(p_6)'!$L18+'Sheet6(p_6)'!$M18)</f>
        <v>0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16.106127360000002</v>
      </c>
      <c r="D19" s="5">
        <f aca="true" t="shared" si="1" ref="D19:D30">SUM(B19:C19)</f>
        <v>16.106127360000002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87.91291217459778</v>
      </c>
      <c r="G19" s="5">
        <f aca="true" t="shared" si="2" ref="G19:G30">SUM(E19:F19)</f>
        <v>87.91291217459778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0</v>
      </c>
      <c r="L19" s="5">
        <f>($K19)*Partcipation!$E76*Title_RESULTS!$C$12/100</f>
        <v>0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0</v>
      </c>
      <c r="N19" s="5">
        <f>'Sheet2(F_12)'!$I19*('Sheet6(p_6)'!$L19+'Sheet6(p_6)'!$M19)</f>
        <v>0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16.49267441664</v>
      </c>
      <c r="D20" s="5">
        <f t="shared" si="1"/>
        <v>16.49267441664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87.91291217459778</v>
      </c>
      <c r="G20" s="5">
        <f t="shared" si="2"/>
        <v>87.91291217459778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0</v>
      </c>
      <c r="L20" s="5">
        <f>($K20)*Partcipation!$E77*Title_RESULTS!$C$12/100</f>
        <v>0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0</v>
      </c>
      <c r="N20" s="5">
        <f>'Sheet2(F_12)'!$I20*('Sheet6(p_6)'!$L20+'Sheet6(p_6)'!$M20)</f>
        <v>0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16.888498602639363</v>
      </c>
      <c r="D21" s="5">
        <f t="shared" si="1"/>
        <v>16.888498602639363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87.91291217459778</v>
      </c>
      <c r="G21" s="5">
        <f t="shared" si="2"/>
        <v>87.91291217459778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0</v>
      </c>
      <c r="L21" s="5">
        <f>($K21)*Partcipation!$E78*Title_RESULTS!$C$12/100</f>
        <v>0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0</v>
      </c>
      <c r="N21" s="5">
        <f>'Sheet2(F_12)'!$I21*('Sheet6(p_6)'!$L21+'Sheet6(p_6)'!$M21)</f>
        <v>0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17.293822569102705</v>
      </c>
      <c r="D22" s="5">
        <f t="shared" si="1"/>
        <v>17.293822569102705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87.91291217459778</v>
      </c>
      <c r="G22" s="5">
        <f t="shared" si="2"/>
        <v>87.91291217459778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0</v>
      </c>
      <c r="L22" s="5">
        <f>($K22)*Partcipation!$E79*Title_RESULTS!$C$12/100</f>
        <v>0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0</v>
      </c>
      <c r="N22" s="5">
        <f>'Sheet2(F_12)'!$I22*('Sheet6(p_6)'!$L22+'Sheet6(p_6)'!$M22)</f>
        <v>0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17.70887431076117</v>
      </c>
      <c r="D23" s="5">
        <f t="shared" si="1"/>
        <v>17.70887431076117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87.91291217459778</v>
      </c>
      <c r="G23" s="5">
        <f t="shared" si="2"/>
        <v>87.91291217459778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0</v>
      </c>
      <c r="L23" s="5">
        <f>($K23)*Partcipation!$E80*Title_RESULTS!$C$12/100</f>
        <v>0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0</v>
      </c>
      <c r="N23" s="5">
        <f>'Sheet2(F_12)'!$I23*('Sheet6(p_6)'!$L23+'Sheet6(p_6)'!$M23)</f>
        <v>0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18.133887294219434</v>
      </c>
      <c r="D24" s="5">
        <f t="shared" si="1"/>
        <v>18.133887294219434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87.91291217459778</v>
      </c>
      <c r="G24" s="5">
        <f t="shared" si="2"/>
        <v>87.91291217459778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0</v>
      </c>
      <c r="L24" s="5">
        <f>($K24)*Partcipation!$E81*Title_RESULTS!$C$12/100</f>
        <v>0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0</v>
      </c>
      <c r="N24" s="5">
        <f>'Sheet2(F_12)'!$I24*('Sheet6(p_6)'!$L24+'Sheet6(p_6)'!$M24)</f>
        <v>0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18.5691005892807</v>
      </c>
      <c r="D25" s="5">
        <f t="shared" si="1"/>
        <v>18.5691005892807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87.91291217459778</v>
      </c>
      <c r="G25" s="5">
        <f t="shared" si="2"/>
        <v>87.91291217459778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0</v>
      </c>
      <c r="L25" s="5">
        <f>($K25)*Partcipation!$E82*Title_RESULTS!$C$12/100</f>
        <v>0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0</v>
      </c>
      <c r="N25" s="5">
        <f>'Sheet2(F_12)'!$I25*('Sheet6(p_6)'!$L25+'Sheet6(p_6)'!$M25)</f>
        <v>0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19.014759003423443</v>
      </c>
      <c r="D26" s="5">
        <f t="shared" si="1"/>
        <v>19.014759003423443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87.91291217459778</v>
      </c>
      <c r="G26" s="5">
        <f t="shared" si="2"/>
        <v>87.91291217459778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0</v>
      </c>
      <c r="L26" s="5">
        <f>($K26)*Partcipation!$E83*Title_RESULTS!$C$12/100</f>
        <v>0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0</v>
      </c>
      <c r="N26" s="5">
        <f>'Sheet2(F_12)'!$I26*('Sheet6(p_6)'!$L26+'Sheet6(p_6)'!$M26)</f>
        <v>0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19.471113219505604</v>
      </c>
      <c r="D27" s="5">
        <f t="shared" si="1"/>
        <v>19.471113219505604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87.91291217459778</v>
      </c>
      <c r="G27" s="5">
        <f t="shared" si="2"/>
        <v>87.91291217459778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0</v>
      </c>
      <c r="L27" s="5">
        <f>($K27)*Partcipation!$E84*Title_RESULTS!$C$12/100</f>
        <v>0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0</v>
      </c>
      <c r="N27" s="5">
        <f>'Sheet2(F_12)'!$I27*('Sheet6(p_6)'!$L27+'Sheet6(p_6)'!$M27)</f>
        <v>0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19.938419936773734</v>
      </c>
      <c r="D28" s="5">
        <f t="shared" si="1"/>
        <v>19.938419936773734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87.91291217459778</v>
      </c>
      <c r="G28" s="5">
        <f t="shared" si="2"/>
        <v>87.91291217459778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0</v>
      </c>
      <c r="L28" s="5">
        <f>($K28)*Partcipation!$E85*Title_RESULTS!$C$12/100</f>
        <v>0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0</v>
      </c>
      <c r="N28" s="5">
        <f>'Sheet2(F_12)'!$I28*('Sheet6(p_6)'!$L28+'Sheet6(p_6)'!$M28)</f>
        <v>0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20.416942015256307</v>
      </c>
      <c r="D29" s="5">
        <f t="shared" si="1"/>
        <v>20.416942015256307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87.91291217459778</v>
      </c>
      <c r="G29" s="5">
        <f t="shared" si="2"/>
        <v>87.91291217459778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0</v>
      </c>
      <c r="L29" s="5">
        <f>($K29)*Partcipation!$E86*Title_RESULTS!$C$12/100</f>
        <v>0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0</v>
      </c>
      <c r="N29" s="5">
        <f>'Sheet2(F_12)'!$I29*('Sheet6(p_6)'!$L29+'Sheet6(p_6)'!$M29)</f>
        <v>0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20.90694862362246</v>
      </c>
      <c r="D30" s="5">
        <f t="shared" si="1"/>
        <v>20.90694862362246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87.91291217459778</v>
      </c>
      <c r="G30" s="5">
        <f t="shared" si="2"/>
        <v>87.91291217459778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0</v>
      </c>
      <c r="L30" s="5">
        <f>($K30)*Partcipation!$E87*Title_RESULTS!$C$12/100</f>
        <v>0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0</v>
      </c>
      <c r="N30" s="5">
        <f>'Sheet2(F_12)'!$I30*('Sheet6(p_6)'!$L30+'Sheet6(p_6)'!$M30)</f>
        <v>0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1293.554496</v>
      </c>
      <c r="C32" s="5">
        <f t="shared" si="4"/>
        <v>244.22836794122492</v>
      </c>
      <c r="D32" s="5">
        <f t="shared" si="4"/>
        <v>1537.782863941225</v>
      </c>
      <c r="E32" s="5">
        <f t="shared" si="4"/>
        <v>0</v>
      </c>
      <c r="F32" s="5">
        <f t="shared" si="4"/>
        <v>1186.8243143570699</v>
      </c>
      <c r="G32" s="5">
        <f t="shared" si="4"/>
        <v>1186.8243143570699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1208.603962921602</v>
      </c>
      <c r="C34" s="5">
        <f>NPV(Title_RESULTS!$C$37,'Sheet6(p_6)'!C17:C31)+'Sheet6(p_6)'!C16</f>
        <v>145.6858210319898</v>
      </c>
      <c r="D34" s="5">
        <f>NPV(Title_RESULTS!$C$37,'Sheet6(p_6)'!D17:D31)+'Sheet6(p_6)'!D16</f>
        <v>1354.2897839535917</v>
      </c>
      <c r="E34" s="5">
        <f>NPV(Title_RESULTS!$C$37,'Sheet6(p_6)'!E17:E31)+'Sheet6(p_6)'!E16</f>
        <v>0</v>
      </c>
      <c r="F34" s="5">
        <f>NPV(Title_RESULTS!$C$37,'Sheet6(p_6)'!F17:F31)+'Sheet6(p_6)'!F16</f>
        <v>725.9879386156676</v>
      </c>
      <c r="G34" s="5">
        <f>NPV(Title_RESULTS!$C$37,'Sheet6(p_6)'!G17:G31)+'Sheet6(p_6)'!G16</f>
        <v>725.9879386156676</v>
      </c>
      <c r="H34" s="5">
        <f>NPV(Title_RESULTS!$C$37,'Sheet6(p_6)'!H17:H31)+'Sheet6(p_6)'!H16</f>
        <v>0</v>
      </c>
      <c r="I34" s="5">
        <f>NPV(Title_RESULTS!$C$37,'Sheet6(p_6)'!I17:I31)+'Sheet6(p_6)'!I16</f>
        <v>0</v>
      </c>
      <c r="J34" s="5">
        <f>NPV(Title_RESULTS!$C$37,'Sheet6(p_6)'!J17:J31)+'Sheet6(p_6)'!J16</f>
        <v>0</v>
      </c>
      <c r="K34" s="5"/>
      <c r="L34" s="5">
        <f>NPV(Title_RESULTS!$C$37,'Sheet6(p_6)'!L17:L31)+'Sheet6(p_6)'!L16</f>
        <v>0</v>
      </c>
      <c r="M34" s="5">
        <f>NPV(Title_RESULTS!$C$37,'Sheet6(p_6)'!M17:M31)+'Sheet6(p_6)'!M16</f>
        <v>0</v>
      </c>
      <c r="N34" s="5">
        <f>NPV(Title_RESULTS!$C$37,'Sheet6(p_6)'!N17:N31)+'Sheet6(p_6)'!N16</f>
        <v>0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Residential DR - Pool Pump Switches</v>
      </c>
      <c r="M2" t="s">
        <v>55</v>
      </c>
    </row>
    <row r="3" ht="12.75">
      <c r="M3" s="35">
        <f>+Title_RESULTS!I4</f>
        <v>43599.326876851854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423.5</v>
      </c>
      <c r="D16" s="5">
        <f>IF(A16&gt;=(Title_RESULTS!$H$7+Title_RESULTS!$C$17),0,(+'Sheet6(p_6)'!$J16))</f>
        <v>0</v>
      </c>
      <c r="E16" s="5">
        <f>IF(A16&gt;=(Title_RESULTS!$H$7+Title_RESULTS!$C$17),0,(+'f-11B'!$N15))</f>
        <v>0</v>
      </c>
      <c r="F16" s="5">
        <f>IF(A16&gt;=(Title_RESULTS!$H$7+Title_RESULTS!$C$17),0,(SUM(B16:E16)))</f>
        <v>423.5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0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0</v>
      </c>
      <c r="L16" s="23">
        <f>IF(A16&gt;=(Title_RESULTS!$H$7+Title_RESULTS!$C$17),0,(+$K16-$F16))</f>
        <v>-423.5</v>
      </c>
      <c r="M16" s="23">
        <f>IF(A16&gt;=(Title_RESULTS!$H$7+Title_RESULTS!$C$17),0,(+$L16/(1+Title_RESULTS!$C$37)^('Sheet7(F_23)'!$A16-Title_RESULTS!$H$7)))</f>
        <v>-423.5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438.784</v>
      </c>
      <c r="D17" s="5">
        <f>IF(A17&gt;=(Title_RESULTS!$H$7+Title_RESULTS!$C$17),0,(+'Sheet6(p_6)'!$J17))</f>
        <v>0</v>
      </c>
      <c r="E17" s="5">
        <f>IF(A17&gt;=(Title_RESULTS!$H$7+Title_RESULTS!$C$17),0,(+'f-11B'!$N16))</f>
        <v>0</v>
      </c>
      <c r="F17" s="5">
        <f>IF(A17&gt;=(Title_RESULTS!$H$7+Title_RESULTS!$C$17),0,(SUM(B17:E17)))</f>
        <v>438.784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62.846654310132976</v>
      </c>
      <c r="I17" s="5">
        <f>IF(A17&gt;=(Title_RESULTS!$H$7+Title_RESULTS!$C$17),0,(+'Sheet4(F_22)'!$H17))</f>
        <v>0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62.846654310132976</v>
      </c>
      <c r="L17" s="23">
        <f>IF(A17&gt;=(Title_RESULTS!$H$7+Title_RESULTS!$C$17),0,(+$K17-$F17))</f>
        <v>-375.937345689867</v>
      </c>
      <c r="M17" s="23">
        <f>IF(A17&gt;=(Title_RESULTS!$H$7+Title_RESULTS!$C$17),0,(+M16+$L17/(1+Title_RESULTS!$C$37)^('Sheet7(F_23)'!$A17-Title_RESULTS!$H$7)))</f>
        <v>-774.5808233936002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454.55769599999996</v>
      </c>
      <c r="D18" s="5">
        <f>IF(A18&gt;=(Title_RESULTS!$H$7+Title_RESULTS!$C$17),0,(+'Sheet6(p_6)'!$J18))</f>
        <v>0</v>
      </c>
      <c r="E18" s="5">
        <f>IF(A18&gt;=(Title_RESULTS!$H$7+Title_RESULTS!$C$17),0,(+'f-11B'!$N17))</f>
        <v>0</v>
      </c>
      <c r="F18" s="5">
        <f>IF(A18&gt;=(Title_RESULTS!$H$7+Title_RESULTS!$C$17),0,(SUM(B18:E18)))</f>
        <v>454.55769599999996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64.35497401357617</v>
      </c>
      <c r="I18" s="5">
        <f>IF(A18&gt;=(Title_RESULTS!$H$7+Title_RESULTS!$C$17),0,(+'Sheet4(F_22)'!$H18))</f>
        <v>0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64.35497401357617</v>
      </c>
      <c r="L18" s="23">
        <f>IF(A18&gt;=(Title_RESULTS!$H$7+Title_RESULTS!$C$17),0,(+$K18-$F18))</f>
        <v>-390.2027219864238</v>
      </c>
      <c r="M18" s="23">
        <f>IF(A18&gt;=(Title_RESULTS!$H$7+Title_RESULTS!$C$17),0,(+M17+$L18/(1+Title_RESULTS!$C$37)^('Sheet7(F_23)'!$A18-Title_RESULTS!$H$7)))</f>
        <v>-1114.8899289921778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16.106127360000002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16.106127360000002</v>
      </c>
      <c r="G19" s="5">
        <f>IF(A19&gt;=(Title_RESULTS!$H$7+Title_RESULTS!$C$17),0,('Sheet3(F_21)'!$J19))</f>
        <v>189.09430631452216</v>
      </c>
      <c r="H19" s="5">
        <f>IF(A19&gt;=(Title_RESULTS!$H$7+Title_RESULTS!$C$17),0,(+'Sheet4(F_22)'!$D19+'Sheet4(F_22)'!$G19))</f>
        <v>65.89949338990199</v>
      </c>
      <c r="I19" s="5">
        <f>IF(A19&gt;=(Title_RESULTS!$H$7+Title_RESULTS!$C$17),0,(+'Sheet4(F_22)'!$H19))</f>
        <v>0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254.99379970442413</v>
      </c>
      <c r="L19" s="23">
        <f>IF(A19&gt;=(Title_RESULTS!$H$7+Title_RESULTS!$C$17),0,(+$K19-$F19))</f>
        <v>238.88767234442412</v>
      </c>
      <c r="M19" s="23">
        <f>IF(A19&gt;=(Title_RESULTS!$H$7+Title_RESULTS!$C$17),0,(+M18+$L19/(1+Title_RESULTS!$C$37)^('Sheet7(F_23)'!$A19-Title_RESULTS!$H$7)))</f>
        <v>-920.3231670409393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16.49267441664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16.49267441664</v>
      </c>
      <c r="G20" s="5">
        <f>IF(A20&gt;=(Title_RESULTS!$H$7+Title_RESULTS!$C$17),0,('Sheet3(F_21)'!$J20))</f>
        <v>194.13667469974368</v>
      </c>
      <c r="H20" s="5">
        <f>IF(A20&gt;=(Title_RESULTS!$H$7+Title_RESULTS!$C$17),0,(+'Sheet4(F_22)'!$D20+'Sheet4(F_22)'!$G20))</f>
        <v>67.48108123125964</v>
      </c>
      <c r="I20" s="5">
        <f>IF(A20&gt;=(Title_RESULTS!$H$7+Title_RESULTS!$C$17),0,(+'Sheet4(F_22)'!$H20))</f>
        <v>0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261.61775593100333</v>
      </c>
      <c r="L20" s="23">
        <f>IF(A20&gt;=(Title_RESULTS!$H$7+Title_RESULTS!$C$17),0,(+$K20-$F20))</f>
        <v>245.12508151436333</v>
      </c>
      <c r="M20" s="23">
        <f>IF(A20&gt;=(Title_RESULTS!$H$7+Title_RESULTS!$C$17),0,(+M19+$L20/(1+Title_RESULTS!$C$37)^('Sheet7(F_23)'!$A20-Title_RESULTS!$H$7)))</f>
        <v>-733.8766387491198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16.888498602639363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16.888498602639363</v>
      </c>
      <c r="G21" s="5">
        <f>IF(A21&gt;=(Title_RESULTS!$H$7+Title_RESULTS!$C$17),0,('Sheet3(F_21)'!$J21))</f>
        <v>199.6531910172933</v>
      </c>
      <c r="H21" s="5">
        <f>IF(A21&gt;=(Title_RESULTS!$H$7+Title_RESULTS!$C$17),0,(+'Sheet4(F_22)'!$D21+'Sheet4(F_22)'!$G21))</f>
        <v>69.10062718080988</v>
      </c>
      <c r="I21" s="5">
        <f>IF(A21&gt;=(Title_RESULTS!$H$7+Title_RESULTS!$C$17),0,(+'Sheet4(F_22)'!$H21))</f>
        <v>0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268.7538181981032</v>
      </c>
      <c r="L21" s="23">
        <f>IF(A21&gt;=(Title_RESULTS!$H$7+Title_RESULTS!$C$17),0,(+$K21-$F21))</f>
        <v>251.86531959546383</v>
      </c>
      <c r="M21" s="23">
        <f>IF(A21&gt;=(Title_RESULTS!$H$7+Title_RESULTS!$C$17),0,(+M20+$L21/(1+Title_RESULTS!$C$37)^('Sheet7(F_23)'!$A21-Title_RESULTS!$H$7)))</f>
        <v>-554.9699576468929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17.293822569102705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17.293822569102705</v>
      </c>
      <c r="G22" s="5">
        <f>IF(A22&gt;=(Title_RESULTS!$H$7+Title_RESULTS!$C$17),0,('Sheet3(F_21)'!$J22))</f>
        <v>205.83159241484708</v>
      </c>
      <c r="H22" s="5">
        <f>IF(A22&gt;=(Title_RESULTS!$H$7+Title_RESULTS!$C$17),0,(+'Sheet4(F_22)'!$D22+'Sheet4(F_22)'!$G22))</f>
        <v>70.7590422331493</v>
      </c>
      <c r="I22" s="5">
        <f>IF(A22&gt;=(Title_RESULTS!$H$7+Title_RESULTS!$C$17),0,(+'Sheet4(F_22)'!$H22))</f>
        <v>0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276.59063464799635</v>
      </c>
      <c r="L22" s="23">
        <f>IF(A22&gt;=(Title_RESULTS!$H$7+Title_RESULTS!$C$17),0,(+$K22-$F22))</f>
        <v>259.29681207889365</v>
      </c>
      <c r="M22" s="23">
        <f>IF(A22&gt;=(Title_RESULTS!$H$7+Title_RESULTS!$C$17),0,(+M21+$L22/(1+Title_RESULTS!$C$37)^('Sheet7(F_23)'!$A22-Title_RESULTS!$H$7)))</f>
        <v>-382.9626087320976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17.70887431076117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17.70887431076117</v>
      </c>
      <c r="G23" s="5">
        <f>IF(A23&gt;=(Title_RESULTS!$H$7+Title_RESULTS!$C$17),0,('Sheet3(F_21)'!$J23))</f>
        <v>211.37280848896137</v>
      </c>
      <c r="H23" s="5">
        <f>IF(A23&gt;=(Title_RESULTS!$H$7+Title_RESULTS!$C$17),0,(+'Sheet4(F_22)'!$D23+'Sheet4(F_22)'!$G23))</f>
        <v>72.45725924674488</v>
      </c>
      <c r="I23" s="5">
        <f>IF(A23&gt;=(Title_RESULTS!$H$7+Title_RESULTS!$C$17),0,(+'Sheet4(F_22)'!$H23))</f>
        <v>0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283.8300677357063</v>
      </c>
      <c r="L23" s="23">
        <f>IF(A23&gt;=(Title_RESULTS!$H$7+Title_RESULTS!$C$17),0,(+$K23-$F23))</f>
        <v>266.1211934249451</v>
      </c>
      <c r="M23" s="23">
        <f>IF(A23&gt;=(Title_RESULTS!$H$7+Title_RESULTS!$C$17),0,(+M22+$L23/(1+Title_RESULTS!$C$37)^('Sheet7(F_23)'!$A23-Title_RESULTS!$H$7)))</f>
        <v>-218.10047182485945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18.133887294219434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18.133887294219434</v>
      </c>
      <c r="G24" s="5">
        <f>IF(A24&gt;=(Title_RESULTS!$H$7+Title_RESULTS!$C$17),0,('Sheet3(F_21)'!$J24))</f>
        <v>214.79623477352737</v>
      </c>
      <c r="H24" s="5">
        <f>IF(A24&gt;=(Title_RESULTS!$H$7+Title_RESULTS!$C$17),0,(+'Sheet4(F_22)'!$D24+'Sheet4(F_22)'!$G24))</f>
        <v>74.19623346866675</v>
      </c>
      <c r="I24" s="5">
        <f>IF(A24&gt;=(Title_RESULTS!$H$7+Title_RESULTS!$C$17),0,(+'Sheet4(F_22)'!$H24))</f>
        <v>0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288.99246824219415</v>
      </c>
      <c r="L24" s="23">
        <f>IF(A24&gt;=(Title_RESULTS!$H$7+Title_RESULTS!$C$17),0,(+$K24-$F24))</f>
        <v>270.8585809479747</v>
      </c>
      <c r="M24" s="23">
        <f>IF(A24&gt;=(Title_RESULTS!$H$7+Title_RESULTS!$C$17),0,(+M23+$L24/(1+Title_RESULTS!$C$37)^('Sheet7(F_23)'!$A24-Title_RESULTS!$H$7)))</f>
        <v>-61.3980535368685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18.5691005892807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18.5691005892807</v>
      </c>
      <c r="G25" s="5">
        <f>IF(A25&gt;=(Title_RESULTS!$H$7+Title_RESULTS!$C$17),0,('Sheet3(F_21)'!$J25))</f>
        <v>220.63109487713842</v>
      </c>
      <c r="H25" s="5">
        <f>IF(A25&gt;=(Title_RESULTS!$H$7+Title_RESULTS!$C$17),0,(+'Sheet4(F_22)'!$D25+'Sheet4(F_22)'!$G25))</f>
        <v>75.97694307191477</v>
      </c>
      <c r="I25" s="5">
        <f>IF(A25&gt;=(Title_RESULTS!$H$7+Title_RESULTS!$C$17),0,(+'Sheet4(F_22)'!$H25))</f>
        <v>0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296.6080379490532</v>
      </c>
      <c r="L25" s="23">
        <f>IF(A25&gt;=(Title_RESULTS!$H$7+Title_RESULTS!$C$17),0,(+$K25-$F25))</f>
        <v>278.0389373597725</v>
      </c>
      <c r="M25" s="23">
        <f>IF(A25&gt;=(Title_RESULTS!$H$7+Title_RESULTS!$C$17),0,(+M24+$L25/(1+Title_RESULTS!$C$37)^('Sheet7(F_23)'!$A25-Title_RESULTS!$H$7)))</f>
        <v>88.8228456968072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19.014759003423443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19.014759003423443</v>
      </c>
      <c r="G26" s="5">
        <f>IF(A26&gt;=(Title_RESULTS!$H$7+Title_RESULTS!$C$17),0,('Sheet3(F_21)'!$J26))</f>
        <v>224.1630680967882</v>
      </c>
      <c r="H26" s="5">
        <f>IF(A26&gt;=(Title_RESULTS!$H$7+Title_RESULTS!$C$17),0,(+'Sheet4(F_22)'!$D26+'Sheet4(F_22)'!$G26))</f>
        <v>77.80038970564073</v>
      </c>
      <c r="I26" s="5">
        <f>IF(A26&gt;=(Title_RESULTS!$H$7+Title_RESULTS!$C$17),0,(+'Sheet4(F_22)'!$H26))</f>
        <v>0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301.96345780242893</v>
      </c>
      <c r="L26" s="23">
        <f>IF(A26&gt;=(Title_RESULTS!$H$7+Title_RESULTS!$C$17),0,(+$K26-$F26))</f>
        <v>282.9486987990055</v>
      </c>
      <c r="M26" s="23">
        <f>IF(A26&gt;=(Title_RESULTS!$H$7+Title_RESULTS!$C$17),0,(+M25+$L26/(1+Title_RESULTS!$C$37)^('Sheet7(F_23)'!$A26-Title_RESULTS!$H$7)))</f>
        <v>231.5886104076793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19.471113219505604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19.471113219505604</v>
      </c>
      <c r="G27" s="5">
        <f>IF(A27&gt;=(Title_RESULTS!$H$7+Title_RESULTS!$C$17),0,('Sheet3(F_21)'!$J27))</f>
        <v>231.90211474187595</v>
      </c>
      <c r="H27" s="5">
        <f>IF(A27&gt;=(Title_RESULTS!$H$7+Title_RESULTS!$C$17),0,(+'Sheet4(F_22)'!$D27+'Sheet4(F_22)'!$G27))</f>
        <v>79.66759905857612</v>
      </c>
      <c r="I27" s="5">
        <f>IF(A27&gt;=(Title_RESULTS!$H$7+Title_RESULTS!$C$17),0,(+'Sheet4(F_22)'!$H27))</f>
        <v>0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311.56971380045206</v>
      </c>
      <c r="L27" s="23">
        <f>IF(A27&gt;=(Title_RESULTS!$H$7+Title_RESULTS!$C$17),0,(+$K27-$F27))</f>
        <v>292.0986005809465</v>
      </c>
      <c r="M27" s="23">
        <f>IF(A27&gt;=(Title_RESULTS!$H$7+Title_RESULTS!$C$17),0,(+M26+$L27/(1+Title_RESULTS!$C$37)^('Sheet7(F_23)'!$A27-Title_RESULTS!$H$7)))</f>
        <v>369.2263363738941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19.938419936773734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19.938419936773734</v>
      </c>
      <c r="G28" s="5">
        <f>IF(A28&gt;=(Title_RESULTS!$H$7+Title_RESULTS!$C$17),0,('Sheet3(F_21)'!$J28))</f>
        <v>236.79076908037678</v>
      </c>
      <c r="H28" s="5">
        <f>IF(A28&gt;=(Title_RESULTS!$H$7+Title_RESULTS!$C$17),0,(+'Sheet4(F_22)'!$D28+'Sheet4(F_22)'!$G28))</f>
        <v>81.57962143598192</v>
      </c>
      <c r="I28" s="5">
        <f>IF(A28&gt;=(Title_RESULTS!$H$7+Title_RESULTS!$C$17),0,(+'Sheet4(F_22)'!$H28))</f>
        <v>0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318.3703905163587</v>
      </c>
      <c r="L28" s="23">
        <f>IF(A28&gt;=(Title_RESULTS!$H$7+Title_RESULTS!$C$17),0,(+$K28-$F28))</f>
        <v>298.43197057958497</v>
      </c>
      <c r="M28" s="23">
        <f>IF(A28&gt;=(Title_RESULTS!$H$7+Title_RESULTS!$C$17),0,(+M27+$L28/(1+Title_RESULTS!$C$37)^('Sheet7(F_23)'!$A28-Title_RESULTS!$H$7)))</f>
        <v>500.55060670714056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20.416942015256307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20.416942015256307</v>
      </c>
      <c r="G29" s="5">
        <f>IF(A29&gt;=(Title_RESULTS!$H$7+Title_RESULTS!$C$17),0,('Sheet3(F_21)'!$J29))</f>
        <v>245.24780886108908</v>
      </c>
      <c r="H29" s="5">
        <f>IF(A29&gt;=(Title_RESULTS!$H$7+Title_RESULTS!$C$17),0,(+'Sheet4(F_22)'!$D29+'Sheet4(F_22)'!$G29))</f>
        <v>83.53753235044549</v>
      </c>
      <c r="I29" s="5">
        <f>IF(A29&gt;=(Title_RESULTS!$H$7+Title_RESULTS!$C$17),0,(+'Sheet4(F_22)'!$H29))</f>
        <v>0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328.78534121153456</v>
      </c>
      <c r="L29" s="23">
        <f>IF(A29&gt;=(Title_RESULTS!$H$7+Title_RESULTS!$C$17),0,(+$K29-$F29))</f>
        <v>308.36839919627823</v>
      </c>
      <c r="M29" s="23">
        <f>IF(A29&gt;=(Title_RESULTS!$H$7+Title_RESULTS!$C$17),0,(+M28+$L29/(1+Title_RESULTS!$C$37)^('Sheet7(F_23)'!$A29-Title_RESULTS!$H$7)))</f>
        <v>627.2752722181792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20.90694862362246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20.90694862362246</v>
      </c>
      <c r="G30" s="5">
        <f>IF(A30&gt;=(Title_RESULTS!$H$7+Title_RESULTS!$C$17),0,('Sheet3(F_21)'!$J30))</f>
        <v>249.98359332046348</v>
      </c>
      <c r="H30" s="5">
        <f>IF(A30&gt;=(Title_RESULTS!$H$7+Title_RESULTS!$C$17),0,(+'Sheet4(F_22)'!$D30+'Sheet4(F_22)'!$G30))</f>
        <v>85.54243312685618</v>
      </c>
      <c r="I30" s="5">
        <f>IF(A30&gt;=(Title_RESULTS!$H$7+Title_RESULTS!$C$17),0,(+'Sheet4(F_22)'!$H30))</f>
        <v>0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335.5260264473197</v>
      </c>
      <c r="L30" s="23">
        <f>IF(A30&gt;=(Title_RESULTS!$H$7+Title_RESULTS!$C$17),0,(+$K30-$F30))</f>
        <v>314.61907782369724</v>
      </c>
      <c r="M30" s="23">
        <f>IF(A30&gt;=(Title_RESULTS!$H$7+Title_RESULTS!$C$17),0,(+M29+$L30/(1+Title_RESULTS!$C$37)^('Sheet7(F_23)'!$A30-Title_RESULTS!$H$7)))</f>
        <v>748.0199449037575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1537.782863941225</v>
      </c>
      <c r="D32" s="5">
        <f t="shared" si="1"/>
        <v>0</v>
      </c>
      <c r="E32" s="5">
        <f t="shared" si="1"/>
        <v>0</v>
      </c>
      <c r="F32" s="5">
        <f t="shared" si="1"/>
        <v>1537.782863941225</v>
      </c>
      <c r="G32" s="5">
        <f t="shared" si="1"/>
        <v>2623.603256686627</v>
      </c>
      <c r="H32" s="5">
        <f t="shared" si="1"/>
        <v>1031.1998838236568</v>
      </c>
      <c r="I32" s="5">
        <f t="shared" si="1"/>
        <v>0</v>
      </c>
      <c r="J32" s="5">
        <f t="shared" si="1"/>
        <v>0</v>
      </c>
      <c r="K32" s="5">
        <f t="shared" si="1"/>
        <v>3654.8031405102834</v>
      </c>
      <c r="L32" s="5">
        <f t="shared" si="1"/>
        <v>2117.0202765690588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1354.2897839535917</v>
      </c>
      <c r="D34" s="5">
        <f>NPV(Title_RESULTS!$C$37,'Sheet7(F_23)'!D17:D31)+'Sheet7(F_23)'!D16</f>
        <v>0</v>
      </c>
      <c r="E34" s="5">
        <f>NPV(Title_RESULTS!$C$37,'Sheet7(F_23)'!E17:E31)+'Sheet7(F_23)'!E16</f>
        <v>0</v>
      </c>
      <c r="F34" s="5">
        <f>NPV(Title_RESULTS!$C$37,'Sheet7(F_23)'!F17:F31)+'Sheet7(F_23)'!F16</f>
        <v>1354.2897839535917</v>
      </c>
      <c r="G34" s="5">
        <f>NPV(Title_RESULTS!$C$37,'Sheet7(F_23)'!G17:G31)+'Sheet7(F_23)'!G16</f>
        <v>1477.7536061339756</v>
      </c>
      <c r="H34" s="5">
        <f>NPV(Title_RESULTS!$C$37,'Sheet7(F_23)'!H17:H31)+'Sheet7(F_23)'!H16</f>
        <v>624.5561227233735</v>
      </c>
      <c r="I34" s="5">
        <f>NPV(Title_RESULTS!$C$37,'Sheet7(F_23)'!I17:I31)+'Sheet7(F_23)'!I16</f>
        <v>0</v>
      </c>
      <c r="J34" s="5">
        <f>NPV(Title_RESULTS!$C$37,'Sheet7(F_23)'!J17:J31)+'Sheet7(F_23)'!J16</f>
        <v>0</v>
      </c>
      <c r="K34" s="5">
        <f>NPV(Title_RESULTS!$C$37,'Sheet7(F_23)'!K17:K31)+'Sheet7(F_23)'!K16</f>
        <v>2102.3097288573495</v>
      </c>
      <c r="L34" s="5">
        <f>NPV(Title_RESULTS!$C$37,'Sheet7(F_23)'!L17:L31)+'Sheet7(F_23)'!L16</f>
        <v>748.0199449037575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1.5523337425761683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Residential DR - Pool Pump Switches</v>
      </c>
      <c r="L2" t="s">
        <v>55</v>
      </c>
    </row>
    <row r="3" ht="12.75">
      <c r="L3" s="35">
        <f>+Title_RESULTS!I4</f>
        <v>43599.326876851854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0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14.65215202909963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14.65215202909963</v>
      </c>
      <c r="G16" s="5">
        <f>IF(A16&gt;=(Title_RESULTS!$H$7+Title_RESULTS!$C$17),0,(+'Sheet6(p_6)'!$H16))</f>
        <v>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0</v>
      </c>
      <c r="K16" s="23">
        <f>IF(A16&gt;=(Title_RESULTS!$H$7+Title_RESULTS!$C$17),0,(+F16-J16))</f>
        <v>14.65215202909963</v>
      </c>
      <c r="L16" s="23">
        <f>IF(A16&gt;=(Title_RESULTS!$H$7+Title_RESULTS!$C$17),0,(+$K16/((1+Title_RESULTS!$C$37)^('Sheet8(F_24)'!$A16-Title_RESULTS!$H$7))))</f>
        <v>14.65215202909963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0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43.95645608729889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43.95645608729889</v>
      </c>
      <c r="G17" s="5">
        <f>IF(A17&gt;=(Title_RESULTS!$H$7+Title_RESULTS!$C$17),0,(+'Sheet6(p_6)'!$H17))</f>
        <v>0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0</v>
      </c>
      <c r="K17" s="23">
        <f>IF(A17&gt;=(Title_RESULTS!$H$7+Title_RESULTS!$C$17),0,(+F17-J17))</f>
        <v>43.95645608729889</v>
      </c>
      <c r="L17" s="23">
        <f>IF(A16&gt;=(Title_RESULTS!$H$7+Title_RESULTS!$C$17),0,(+$K17/((1+Title_RESULTS!$C$37)^('Sheet8(F_24)'!$A17-Title_RESULTS!$H$7))+L16))</f>
        <v>55.70226044084682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0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73.26076014549815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73.26076014549815</v>
      </c>
      <c r="G18" s="5">
        <f>IF(A18&gt;=(Title_RESULTS!$H$7+Title_RESULTS!$C$17),0,(+'Sheet6(p_6)'!$H18))</f>
        <v>0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0</v>
      </c>
      <c r="K18" s="23">
        <f>IF(A18&gt;=(Title_RESULTS!$H$7+Title_RESULTS!$C$17),0,(+F18-J18))</f>
        <v>73.26076014549815</v>
      </c>
      <c r="L18" s="23">
        <f>IF(A17&gt;=(Title_RESULTS!$H$7+Title_RESULTS!$C$17),0,(+$K18/((1+Title_RESULTS!$C$37)^('Sheet8(F_24)'!$A18-Title_RESULTS!$H$7))+L17))</f>
        <v>119.59546865238212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0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87.91291217459778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87.91291217459778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87.91291217459778</v>
      </c>
      <c r="L19" s="23">
        <f>IF(A18&gt;=(Title_RESULTS!$H$7+Title_RESULTS!$C$17),0,(+$K19/((1+Title_RESULTS!$C$37)^('Sheet8(F_24)'!$A19-Title_RESULTS!$H$7))+L18))</f>
        <v>191.19786859059872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0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87.91291217459778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87.91291217459778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87.91291217459778</v>
      </c>
      <c r="L20" s="23">
        <f>IF(A19&gt;=(Title_RESULTS!$H$7+Title_RESULTS!$C$17),0,(+$K20/((1+Title_RESULTS!$C$37)^('Sheet8(F_24)'!$A20-Title_RESULTS!$H$7))+L19))</f>
        <v>258.0660045060046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0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87.91291217459778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87.91291217459778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87.91291217459778</v>
      </c>
      <c r="L21" s="23">
        <f>IF(A20&gt;=(Title_RESULTS!$H$7+Title_RESULTS!$C$17),0,(+$K21/((1+Title_RESULTS!$C$37)^('Sheet8(F_24)'!$A21-Title_RESULTS!$H$7))+L20))</f>
        <v>320.51290020586066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0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87.91291217459778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87.91291217459778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87.91291217459778</v>
      </c>
      <c r="L22" s="23">
        <f>IF(A21&gt;=(Title_RESULTS!$H$7+Title_RESULTS!$C$17),0,(+$K22/((1+Title_RESULTS!$C$37)^('Sheet8(F_24)'!$A22-Title_RESULTS!$H$7))+L21))</f>
        <v>378.8308827421476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0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87.91291217459778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87.91291217459778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87.91291217459778</v>
      </c>
      <c r="L23" s="23">
        <f>IF(A22&gt;=(Title_RESULTS!$H$7+Title_RESULTS!$C$17),0,(+$K23/((1+Title_RESULTS!$C$37)^('Sheet8(F_24)'!$A23-Title_RESULTS!$H$7))+L22))</f>
        <v>433.2929508559755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0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87.91291217459778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87.91291217459778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87.91291217459778</v>
      </c>
      <c r="L24" s="23">
        <f>IF(A23&gt;=(Title_RESULTS!$H$7+Title_RESULTS!$C$17),0,(+$K24/((1+Title_RESULTS!$C$37)^('Sheet8(F_24)'!$A24-Title_RESULTS!$H$7))+L23))</f>
        <v>484.15405294210547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0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87.91291217459778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87.91291217459778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87.91291217459778</v>
      </c>
      <c r="L25" s="23">
        <f>IF(A24&gt;=(Title_RESULTS!$H$7+Title_RESULTS!$C$17),0,(+$K25/((1+Title_RESULTS!$C$37)^('Sheet8(F_24)'!$A25-Title_RESULTS!$H$7))+L24))</f>
        <v>531.6522805160034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0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87.91291217459778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87.91291217459778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87.91291217459778</v>
      </c>
      <c r="L26" s="23">
        <f>IF(A25&gt;=(Title_RESULTS!$H$7+Title_RESULTS!$C$17),0,(+$K26/((1+Title_RESULTS!$C$37)^('Sheet8(F_24)'!$A26-Title_RESULTS!$H$7))+L25))</f>
        <v>576.0099827702974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0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87.91291217459778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87.91291217459778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87.91291217459778</v>
      </c>
      <c r="L27" s="23">
        <f>IF(A26&gt;=(Title_RESULTS!$H$7+Title_RESULTS!$C$17),0,(+$K27/((1+Title_RESULTS!$C$37)^('Sheet8(F_24)'!$A27-Title_RESULTS!$H$7))+L26))</f>
        <v>617.4348074381102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0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87.91291217459778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87.91291217459778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87.91291217459778</v>
      </c>
      <c r="L28" s="23">
        <f>IF(A27&gt;=(Title_RESULTS!$H$7+Title_RESULTS!$C$17),0,(+$K28/((1+Title_RESULTS!$C$37)^('Sheet8(F_24)'!$A28-Title_RESULTS!$H$7))+L27))</f>
        <v>656.1206728357688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0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87.91291217459778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87.91291217459778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87.91291217459778</v>
      </c>
      <c r="L29" s="23">
        <f>IF(A28&gt;=(Title_RESULTS!$H$7+Title_RESULTS!$C$17),0,(+$K29/((1+Title_RESULTS!$C$37)^('Sheet8(F_24)'!$A29-Title_RESULTS!$H$7))+L28))</f>
        <v>692.2486756352258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0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87.91291217459778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87.91291217459778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87.91291217459778</v>
      </c>
      <c r="L30" s="23">
        <f>IF(A29&gt;=(Title_RESULTS!$H$7+Title_RESULTS!$C$17),0,(+$K30/((1+Title_RESULTS!$C$37)^('Sheet8(F_24)'!$A30-Title_RESULTS!$H$7))+L29))</f>
        <v>725.9879386156676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0</v>
      </c>
      <c r="C32" s="5">
        <f t="shared" si="1"/>
        <v>0</v>
      </c>
      <c r="D32" s="5">
        <f t="shared" si="1"/>
        <v>1186.8243143570699</v>
      </c>
      <c r="E32" s="5">
        <f t="shared" si="1"/>
        <v>0</v>
      </c>
      <c r="F32" s="5">
        <f t="shared" si="1"/>
        <v>1186.8243143570699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1186.8243143570699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0</v>
      </c>
      <c r="C34" s="5">
        <f>NPV(Title_RESULTS!$C$37,'Sheet8(F_24)'!C17:C31)+'Sheet8(F_24)'!C16</f>
        <v>0</v>
      </c>
      <c r="D34" s="5">
        <f>NPV(Title_RESULTS!$C$37,'Sheet8(F_24)'!D17:D31)+'Sheet8(F_24)'!D16</f>
        <v>725.9879386156676</v>
      </c>
      <c r="E34" s="5">
        <f>NPV(Title_RESULTS!$C$37,'Sheet8(F_24)'!E17:E31)+'Sheet8(F_24)'!E16</f>
        <v>0</v>
      </c>
      <c r="F34" s="5">
        <f>NPV(Title_RESULTS!$C$37,'Sheet8(F_24)'!F17:F31)+'Sheet8(F_24)'!F16</f>
        <v>725.9879386156676</v>
      </c>
      <c r="G34" s="5">
        <f>NPV(Title_RESULTS!$C$37,'Sheet8(F_24)'!G17:G31)+'Sheet8(F_24)'!G16</f>
        <v>0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0</v>
      </c>
      <c r="K34" s="5">
        <f>NPV(Title_RESULTS!$C$37,'Sheet8(F_24)'!K17:K31)+'Sheet8(F_24)'!K16</f>
        <v>725.9879386156676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 t="e">
        <f>+F34/J34</f>
        <v>#DIV/0!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Residential DR - Pool Pump Switches</v>
      </c>
      <c r="N2" t="s">
        <v>55</v>
      </c>
    </row>
    <row r="3" ht="12.75">
      <c r="N3" s="35">
        <f>+Title_RESULTS!I4</f>
        <v>43599.326876851854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423.5</v>
      </c>
      <c r="D16" s="5">
        <f>IF(A16&gt;=(Title_RESULTS!$H$7+Title_RESULTS!$C$17),0,(+'Sheet6(p_6)'!$G16))</f>
        <v>14.65215202909963</v>
      </c>
      <c r="E16" s="5">
        <f>+'Sheet6(p_6)'!M16</f>
        <v>0</v>
      </c>
      <c r="F16">
        <f>IF(A16&gt;=(Title_RESULTS!$H$7+Title_RESULTS!$C$17),0,(+'f-11B'!$R15))</f>
        <v>0</v>
      </c>
      <c r="G16" s="5">
        <f>IF(A16&gt;=(Title_RESULTS!$H$7+Title_RESULTS!$C$17),0,(SUM(B16:F16)))</f>
        <v>438.1521520290996</v>
      </c>
      <c r="H16" s="5">
        <f>IF(A16&gt;=(Title_RESULTS!$H$7+Title_RESULTS!$C$17),0,(+'Sheet3(F_21)'!$J16+'Sheet4(F_22)'!$H16))</f>
        <v>0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0</v>
      </c>
      <c r="M16" s="23">
        <f>IF(A16&gt;=(Title_RESULTS!$H$7+Title_RESULTS!$C$17),0,(+L16-G16))</f>
        <v>-438.1521520290996</v>
      </c>
      <c r="N16" s="24">
        <f>IF(A16&gt;=(Title_RESULTS!$H$7+Title_RESULTS!$C$17),0,(+$M16/((1+Title_RESULTS!$C$37)^('Sheet9(F_25)'!$A16-Title_RESULTS!$H$7))))</f>
        <v>-438.1521520290996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438.784</v>
      </c>
      <c r="D17" s="5">
        <f>IF(A17&gt;=(Title_RESULTS!$H$7+Title_RESULTS!$C$17),0,(+'Sheet6(p_6)'!$G17))</f>
        <v>43.95645608729889</v>
      </c>
      <c r="E17" s="5">
        <f>+'Sheet6(p_6)'!M17</f>
        <v>0</v>
      </c>
      <c r="F17">
        <f>IF(A17&gt;=(Title_RESULTS!$H$7+Title_RESULTS!$C$17),0,(+'f-11B'!$R16))</f>
        <v>0</v>
      </c>
      <c r="G17" s="5">
        <f>IF(A17&gt;=(Title_RESULTS!$H$7+Title_RESULTS!$C$17),0,(SUM(B17:F17)))</f>
        <v>482.74045608729887</v>
      </c>
      <c r="H17" s="5">
        <f>IF(A17&gt;=(Title_RESULTS!$H$7+Title_RESULTS!$C$17),0,(+'Sheet3(F_21)'!$J17+'Sheet4(F_22)'!$H17))</f>
        <v>0</v>
      </c>
      <c r="I17" s="5">
        <f>IF(A17&gt;=(Title_RESULTS!$H$7+Title_RESULTS!$C$17),0,(+'Sheet4(F_22)'!$D17+'Sheet4(F_22)'!$G17))</f>
        <v>62.846654310132976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62.846654310132976</v>
      </c>
      <c r="M17" s="23">
        <f>IF(A17&gt;=(Title_RESULTS!$H$7+Title_RESULTS!$C$17),0,(+L17-G17))</f>
        <v>-419.8938017771659</v>
      </c>
      <c r="N17" s="24">
        <f>(IF(A16&gt;=(Title_RESULTS!$H$7+Title_RESULTS!$C$17),0,(+$M17/((1+Title_RESULTS!$C$37)^('Sheet9(F_25)'!$A17-Title_RESULTS!$H$7))+N16)))</f>
        <v>-830.2830838344469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454.55769599999996</v>
      </c>
      <c r="D18" s="5">
        <f>IF(A18&gt;=(Title_RESULTS!$H$7+Title_RESULTS!$C$17),0,(+'Sheet6(p_6)'!$G18))</f>
        <v>73.26076014549815</v>
      </c>
      <c r="E18" s="5">
        <f>+'Sheet6(p_6)'!M18</f>
        <v>0</v>
      </c>
      <c r="F18">
        <f>IF(A18&gt;=(Title_RESULTS!$H$7+Title_RESULTS!$C$17),0,(+'f-11B'!$R17))</f>
        <v>0</v>
      </c>
      <c r="G18" s="5">
        <f>IF(A18&gt;=(Title_RESULTS!$H$7+Title_RESULTS!$C$17),0,(SUM(B18:F18)))</f>
        <v>527.8184561454981</v>
      </c>
      <c r="H18" s="5">
        <f>IF(A18&gt;=(Title_RESULTS!$H$7+Title_RESULTS!$C$17),0,(+'Sheet3(F_21)'!$J18+'Sheet4(F_22)'!$H18))</f>
        <v>0</v>
      </c>
      <c r="I18" s="5">
        <f>IF(A18&gt;=(Title_RESULTS!$H$7+Title_RESULTS!$C$17),0,(+'Sheet4(F_22)'!$D18+'Sheet4(F_22)'!$G18))</f>
        <v>64.35497401357617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64.35497401357617</v>
      </c>
      <c r="M18" s="23">
        <f>IF(A18&gt;=(Title_RESULTS!$H$7+Title_RESULTS!$C$17),0,(+L18-G18))</f>
        <v>-463.4634821319219</v>
      </c>
      <c r="N18" s="24">
        <f>(IF(A17&gt;=(Title_RESULTS!$H$7+Title_RESULTS!$C$17),0,(+$M18/((1+Title_RESULTS!$C$37)^('Sheet9(F_25)'!$A18-Title_RESULTS!$H$7))+N17)))</f>
        <v>-1234.4853976445597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16.106127360000002</v>
      </c>
      <c r="D19" s="5">
        <f>IF(A19&gt;=(Title_RESULTS!$H$7+Title_RESULTS!$C$17),0,(+'Sheet6(p_6)'!$G19))</f>
        <v>87.91291217459778</v>
      </c>
      <c r="E19" s="5">
        <f>+'Sheet6(p_6)'!M19</f>
        <v>0</v>
      </c>
      <c r="F19">
        <f>IF(A19&gt;=(Title_RESULTS!$H$7+Title_RESULTS!$C$17),0,(+'f-11B'!$R18))</f>
        <v>0</v>
      </c>
      <c r="G19" s="5">
        <f>IF(A19&gt;=(Title_RESULTS!$H$7+Title_RESULTS!$C$17),0,(SUM(B19:F19)))</f>
        <v>104.01903953459778</v>
      </c>
      <c r="H19" s="5">
        <f>IF(A19&gt;=(Title_RESULTS!$H$7+Title_RESULTS!$C$17),0,(+'Sheet3(F_21)'!$J19+'Sheet4(F_22)'!$H19))</f>
        <v>189.09430631452216</v>
      </c>
      <c r="I19" s="5">
        <f>IF(A19&gt;=(Title_RESULTS!$H$7+Title_RESULTS!$C$17),0,(+'Sheet4(F_22)'!$D19+'Sheet4(F_22)'!$G19))</f>
        <v>65.89949338990199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254.99379970442413</v>
      </c>
      <c r="M19" s="23">
        <f>IF(A19&gt;=(Title_RESULTS!$H$7+Title_RESULTS!$C$17),0,(+L19-G19))</f>
        <v>150.97476016982637</v>
      </c>
      <c r="N19" s="24">
        <f>(IF(A18&gt;=(Title_RESULTS!$H$7+Title_RESULTS!$C$17),0,(+$M19/((1+Title_RESULTS!$C$37)^('Sheet9(F_25)'!$A19-Title_RESULTS!$H$7))+N18)))</f>
        <v>-1111.5210356315379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16.49267441664</v>
      </c>
      <c r="D20" s="5">
        <f>IF(A20&gt;=(Title_RESULTS!$H$7+Title_RESULTS!$C$17),0,(+'Sheet6(p_6)'!$G20))</f>
        <v>87.91291217459778</v>
      </c>
      <c r="E20" s="5">
        <f>+'Sheet6(p_6)'!M20</f>
        <v>0</v>
      </c>
      <c r="F20">
        <f>IF(A20&gt;=(Title_RESULTS!$H$7+Title_RESULTS!$C$17),0,(+'f-11B'!$R19))</f>
        <v>0</v>
      </c>
      <c r="G20" s="5">
        <f>IF(A20&gt;=(Title_RESULTS!$H$7+Title_RESULTS!$C$17),0,(SUM(B20:F20)))</f>
        <v>104.40558659123778</v>
      </c>
      <c r="H20" s="5">
        <f>IF(A20&gt;=(Title_RESULTS!$H$7+Title_RESULTS!$C$17),0,(+'Sheet3(F_21)'!$J20+'Sheet4(F_22)'!$H20))</f>
        <v>194.13667469974368</v>
      </c>
      <c r="I20" s="5">
        <f>IF(A20&gt;=(Title_RESULTS!$H$7+Title_RESULTS!$C$17),0,(+'Sheet4(F_22)'!$D20+'Sheet4(F_22)'!$G20))</f>
        <v>67.48108123125964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261.61775593100333</v>
      </c>
      <c r="M20" s="23">
        <f>IF(A20&gt;=(Title_RESULTS!$H$7+Title_RESULTS!$C$17),0,(+L20-G20))</f>
        <v>157.21216933976555</v>
      </c>
      <c r="N20" s="24">
        <f>(IF(A19&gt;=(Title_RESULTS!$H$7+Title_RESULTS!$C$17),0,(+$M20/((1+Title_RESULTS!$C$37)^('Sheet9(F_25)'!$A20-Title_RESULTS!$H$7))+N19)))</f>
        <v>-991.9426432551242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16.888498602639363</v>
      </c>
      <c r="D21" s="5">
        <f>IF(A21&gt;=(Title_RESULTS!$H$7+Title_RESULTS!$C$17),0,(+'Sheet6(p_6)'!$G21))</f>
        <v>87.91291217459778</v>
      </c>
      <c r="E21" s="5">
        <f>+'Sheet6(p_6)'!M21</f>
        <v>0</v>
      </c>
      <c r="F21">
        <f>IF(A21&gt;=(Title_RESULTS!$H$7+Title_RESULTS!$C$17),0,(+'f-11B'!$R20))</f>
        <v>0</v>
      </c>
      <c r="G21" s="5">
        <f>IF(A21&gt;=(Title_RESULTS!$H$7+Title_RESULTS!$C$17),0,(SUM(B21:F21)))</f>
        <v>104.80141077723714</v>
      </c>
      <c r="H21" s="5">
        <f>IF(A21&gt;=(Title_RESULTS!$H$7+Title_RESULTS!$C$17),0,(+'Sheet3(F_21)'!$J21+'Sheet4(F_22)'!$H21))</f>
        <v>199.6531910172933</v>
      </c>
      <c r="I21" s="5">
        <f>IF(A21&gt;=(Title_RESULTS!$H$7+Title_RESULTS!$C$17),0,(+'Sheet4(F_22)'!$D21+'Sheet4(F_22)'!$G21))</f>
        <v>69.10062718080988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268.7538181981032</v>
      </c>
      <c r="M21" s="23">
        <f>IF(A21&gt;=(Title_RESULTS!$H$7+Title_RESULTS!$C$17),0,(+L21-G21))</f>
        <v>163.95240742086605</v>
      </c>
      <c r="N21" s="24">
        <f>(IF(A20&gt;=(Title_RESULTS!$H$7+Title_RESULTS!$C$17),0,(+$M21/((1+Title_RESULTS!$C$37)^('Sheet9(F_25)'!$A21-Title_RESULTS!$H$7))+N20)))</f>
        <v>-875.4828578527533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17.293822569102705</v>
      </c>
      <c r="D22" s="5">
        <f>IF(A22&gt;=(Title_RESULTS!$H$7+Title_RESULTS!$C$17),0,(+'Sheet6(p_6)'!$G22))</f>
        <v>87.91291217459778</v>
      </c>
      <c r="E22" s="5">
        <f>+'Sheet6(p_6)'!M22</f>
        <v>0</v>
      </c>
      <c r="F22">
        <f>IF(A22&gt;=(Title_RESULTS!$H$7+Title_RESULTS!$C$17),0,(+'f-11B'!$R21))</f>
        <v>0</v>
      </c>
      <c r="G22" s="5">
        <f>IF(A22&gt;=(Title_RESULTS!$H$7+Title_RESULTS!$C$17),0,(SUM(B22:F22)))</f>
        <v>105.20673474370048</v>
      </c>
      <c r="H22" s="5">
        <f>IF(A22&gt;=(Title_RESULTS!$H$7+Title_RESULTS!$C$17),0,(+'Sheet3(F_21)'!$J22+'Sheet4(F_22)'!$H22))</f>
        <v>205.83159241484708</v>
      </c>
      <c r="I22" s="5">
        <f>IF(A22&gt;=(Title_RESULTS!$H$7+Title_RESULTS!$C$17),0,(+'Sheet4(F_22)'!$D22+'Sheet4(F_22)'!$G22))</f>
        <v>70.7590422331493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276.59063464799635</v>
      </c>
      <c r="M22" s="23">
        <f>IF(A22&gt;=(Title_RESULTS!$H$7+Title_RESULTS!$C$17),0,(+L22-G22))</f>
        <v>171.38389990429587</v>
      </c>
      <c r="N22" s="24">
        <f>(IF(A21&gt;=(Title_RESULTS!$H$7+Title_RESULTS!$C$17),0,(+$M22/((1+Title_RESULTS!$C$37)^('Sheet9(F_25)'!$A22-Title_RESULTS!$H$7))+N21)))</f>
        <v>-761.7934914742449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17.70887431076117</v>
      </c>
      <c r="D23" s="5">
        <f>IF(A23&gt;=(Title_RESULTS!$H$7+Title_RESULTS!$C$17),0,(+'Sheet6(p_6)'!$G23))</f>
        <v>87.91291217459778</v>
      </c>
      <c r="E23" s="5">
        <f>+'Sheet6(p_6)'!M23</f>
        <v>0</v>
      </c>
      <c r="F23">
        <f>IF(A23&gt;=(Title_RESULTS!$H$7+Title_RESULTS!$C$17),0,(+'f-11B'!$R22))</f>
        <v>0</v>
      </c>
      <c r="G23" s="5">
        <f>IF(A23&gt;=(Title_RESULTS!$H$7+Title_RESULTS!$C$17),0,(SUM(B23:F23)))</f>
        <v>105.62178648535895</v>
      </c>
      <c r="H23" s="5">
        <f>IF(A23&gt;=(Title_RESULTS!$H$7+Title_RESULTS!$C$17),0,(+'Sheet3(F_21)'!$J23+'Sheet4(F_22)'!$H23))</f>
        <v>211.37280848896137</v>
      </c>
      <c r="I23" s="5">
        <f>IF(A23&gt;=(Title_RESULTS!$H$7+Title_RESULTS!$C$17),0,(+'Sheet4(F_22)'!$D23+'Sheet4(F_22)'!$G23))</f>
        <v>72.45725924674488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283.8300677357063</v>
      </c>
      <c r="M23" s="23">
        <f>IF(A23&gt;=(Title_RESULTS!$H$7+Title_RESULTS!$C$17),0,(+L23-G23))</f>
        <v>178.20828125034734</v>
      </c>
      <c r="N23" s="24">
        <f>(IF(A22&gt;=(Title_RESULTS!$H$7+Title_RESULTS!$C$17),0,(+$M23/((1+Title_RESULTS!$C$37)^('Sheet9(F_25)'!$A23-Title_RESULTS!$H$7))+N22)))</f>
        <v>-651.3934226808346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18.133887294219434</v>
      </c>
      <c r="D24" s="5">
        <f>IF(A24&gt;=(Title_RESULTS!$H$7+Title_RESULTS!$C$17),0,(+'Sheet6(p_6)'!$G24))</f>
        <v>87.91291217459778</v>
      </c>
      <c r="E24" s="5">
        <f>+'Sheet6(p_6)'!M24</f>
        <v>0</v>
      </c>
      <c r="F24">
        <f>IF(A24&gt;=(Title_RESULTS!$H$7+Title_RESULTS!$C$17),0,(+'f-11B'!$R23))</f>
        <v>0</v>
      </c>
      <c r="G24" s="5">
        <f>IF(A24&gt;=(Title_RESULTS!$H$7+Title_RESULTS!$C$17),0,(SUM(B24:F24)))</f>
        <v>106.04679946881721</v>
      </c>
      <c r="H24" s="5">
        <f>IF(A24&gt;=(Title_RESULTS!$H$7+Title_RESULTS!$C$17),0,(+'Sheet3(F_21)'!$J24+'Sheet4(F_22)'!$H24))</f>
        <v>214.79623477352737</v>
      </c>
      <c r="I24" s="5">
        <f>IF(A24&gt;=(Title_RESULTS!$H$7+Title_RESULTS!$C$17),0,(+'Sheet4(F_22)'!$D24+'Sheet4(F_22)'!$G24))</f>
        <v>74.19623346866675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288.99246824219415</v>
      </c>
      <c r="M24" s="23">
        <f>IF(A24&gt;=(Title_RESULTS!$H$7+Title_RESULTS!$C$17),0,(+L24-G24))</f>
        <v>182.94566877337695</v>
      </c>
      <c r="N24" s="24">
        <f>(IF(A23&gt;=(Title_RESULTS!$H$7+Title_RESULTS!$C$17),0,(+$M24/((1+Title_RESULTS!$C$37)^('Sheet9(F_25)'!$A24-Title_RESULTS!$H$7))+N23)))</f>
        <v>-545.5521064789737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18.5691005892807</v>
      </c>
      <c r="D25" s="5">
        <f>IF(A25&gt;=(Title_RESULTS!$H$7+Title_RESULTS!$C$17),0,(+'Sheet6(p_6)'!$G25))</f>
        <v>87.91291217459778</v>
      </c>
      <c r="E25" s="5">
        <f>+'Sheet6(p_6)'!M25</f>
        <v>0</v>
      </c>
      <c r="F25">
        <f>IF(A25&gt;=(Title_RESULTS!$H$7+Title_RESULTS!$C$17),0,(+'f-11B'!$R24))</f>
        <v>0</v>
      </c>
      <c r="G25" s="5">
        <f>IF(A25&gt;=(Title_RESULTS!$H$7+Title_RESULTS!$C$17),0,(SUM(B25:F25)))</f>
        <v>106.48201276387849</v>
      </c>
      <c r="H25" s="5">
        <f>IF(A25&gt;=(Title_RESULTS!$H$7+Title_RESULTS!$C$17),0,(+'Sheet3(F_21)'!$J25+'Sheet4(F_22)'!$H25))</f>
        <v>220.63109487713842</v>
      </c>
      <c r="I25" s="5">
        <f>IF(A25&gt;=(Title_RESULTS!$H$7+Title_RESULTS!$C$17),0,(+'Sheet4(F_22)'!$D25+'Sheet4(F_22)'!$G25))</f>
        <v>75.97694307191477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296.6080379490532</v>
      </c>
      <c r="M25" s="23">
        <f>IF(A25&gt;=(Title_RESULTS!$H$7+Title_RESULTS!$C$17),0,(+L25-G25))</f>
        <v>190.1260251851747</v>
      </c>
      <c r="N25" s="24">
        <f>(IF(A24&gt;=(Title_RESULTS!$H$7+Title_RESULTS!$C$17),0,(+$M25/((1+Title_RESULTS!$C$37)^('Sheet9(F_25)'!$A25-Title_RESULTS!$H$7))+N24)))</f>
        <v>-442.8294348191959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19.014759003423443</v>
      </c>
      <c r="D26" s="5">
        <f>IF(A26&gt;=(Title_RESULTS!$H$7+Title_RESULTS!$C$17),0,(+'Sheet6(p_6)'!$G26))</f>
        <v>87.91291217459778</v>
      </c>
      <c r="E26" s="5">
        <f>+'Sheet6(p_6)'!M26</f>
        <v>0</v>
      </c>
      <c r="F26">
        <f>IF(A26&gt;=(Title_RESULTS!$H$7+Title_RESULTS!$C$17),0,(+'f-11B'!$R25))</f>
        <v>0</v>
      </c>
      <c r="G26" s="5">
        <f>IF(A26&gt;=(Title_RESULTS!$H$7+Title_RESULTS!$C$17),0,(SUM(B26:F26)))</f>
        <v>106.92767117802123</v>
      </c>
      <c r="H26" s="5">
        <f>IF(A26&gt;=(Title_RESULTS!$H$7+Title_RESULTS!$C$17),0,(+'Sheet3(F_21)'!$J26+'Sheet4(F_22)'!$H26))</f>
        <v>224.1630680967882</v>
      </c>
      <c r="I26" s="5">
        <f>IF(A26&gt;=(Title_RESULTS!$H$7+Title_RESULTS!$C$17),0,(+'Sheet4(F_22)'!$D26+'Sheet4(F_22)'!$G26))</f>
        <v>77.80038970564073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301.96345780242893</v>
      </c>
      <c r="M26" s="23">
        <f>IF(A26&gt;=(Title_RESULTS!$H$7+Title_RESULTS!$C$17),0,(+L26-G26))</f>
        <v>195.0357866244077</v>
      </c>
      <c r="N26" s="24">
        <f>(IF(A25&gt;=(Title_RESULTS!$H$7+Title_RESULTS!$C$17),0,(+$M26/((1+Title_RESULTS!$C$37)^('Sheet9(F_25)'!$A26-Title_RESULTS!$H$7))+N25)))</f>
        <v>-344.4213723626178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19.471113219505604</v>
      </c>
      <c r="D27" s="5">
        <f>IF(A27&gt;=(Title_RESULTS!$H$7+Title_RESULTS!$C$17),0,(+'Sheet6(p_6)'!$G27))</f>
        <v>87.91291217459778</v>
      </c>
      <c r="E27" s="5">
        <f>+'Sheet6(p_6)'!M27</f>
        <v>0</v>
      </c>
      <c r="F27">
        <f>IF(A27&gt;=(Title_RESULTS!$H$7+Title_RESULTS!$C$17),0,(+'f-11B'!$R26))</f>
        <v>0</v>
      </c>
      <c r="G27" s="5">
        <f>IF(A27&gt;=(Title_RESULTS!$H$7+Title_RESULTS!$C$17),0,(SUM(B27:F27)))</f>
        <v>107.38402539410339</v>
      </c>
      <c r="H27" s="5">
        <f>IF(A27&gt;=(Title_RESULTS!$H$7+Title_RESULTS!$C$17),0,(+'Sheet3(F_21)'!$J27+'Sheet4(F_22)'!$H27))</f>
        <v>231.90211474187595</v>
      </c>
      <c r="I27" s="5">
        <f>IF(A27&gt;=(Title_RESULTS!$H$7+Title_RESULTS!$C$17),0,(+'Sheet4(F_22)'!$D27+'Sheet4(F_22)'!$G27))</f>
        <v>79.66759905857612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311.56971380045206</v>
      </c>
      <c r="M27" s="23">
        <f>IF(A27&gt;=(Title_RESULTS!$H$7+Title_RESULTS!$C$17),0,(+L27-G27))</f>
        <v>204.18568840634867</v>
      </c>
      <c r="N27" s="24">
        <f>(IF(A26&gt;=(Title_RESULTS!$H$7+Title_RESULTS!$C$17),0,(+$M27/((1+Title_RESULTS!$C$37)^('Sheet9(F_25)'!$A27-Title_RESULTS!$H$7))+N26)))</f>
        <v>-248.20847106421581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19.938419936773734</v>
      </c>
      <c r="D28" s="5">
        <f>IF(A28&gt;=(Title_RESULTS!$H$7+Title_RESULTS!$C$17),0,(+'Sheet6(p_6)'!$G28))</f>
        <v>87.91291217459778</v>
      </c>
      <c r="E28" s="5">
        <f>+'Sheet6(p_6)'!M28</f>
        <v>0</v>
      </c>
      <c r="F28">
        <f>IF(A28&gt;=(Title_RESULTS!$H$7+Title_RESULTS!$C$17),0,(+'f-11B'!$R27))</f>
        <v>0</v>
      </c>
      <c r="G28" s="5">
        <f>IF(A28&gt;=(Title_RESULTS!$H$7+Title_RESULTS!$C$17),0,(SUM(B28:F28)))</f>
        <v>107.8513321113715</v>
      </c>
      <c r="H28" s="5">
        <f>IF(A28&gt;=(Title_RESULTS!$H$7+Title_RESULTS!$C$17),0,(+'Sheet3(F_21)'!$J28+'Sheet4(F_22)'!$H28))</f>
        <v>236.79076908037678</v>
      </c>
      <c r="I28" s="5">
        <f>IF(A28&gt;=(Title_RESULTS!$H$7+Title_RESULTS!$C$17),0,(+'Sheet4(F_22)'!$D28+'Sheet4(F_22)'!$G28))</f>
        <v>81.57962143598192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318.3703905163587</v>
      </c>
      <c r="M28" s="23">
        <f>IF(A28&gt;=(Title_RESULTS!$H$7+Title_RESULTS!$C$17),0,(+L28-G28))</f>
        <v>210.51905840498722</v>
      </c>
      <c r="N28" s="24">
        <f>(IF(A27&gt;=(Title_RESULTS!$H$7+Title_RESULTS!$C$17),0,(+$M28/((1+Title_RESULTS!$C$37)^('Sheet9(F_25)'!$A28-Title_RESULTS!$H$7))+N27)))</f>
        <v>-155.57006612862793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20.416942015256307</v>
      </c>
      <c r="D29" s="5">
        <f>IF(A29&gt;=(Title_RESULTS!$H$7+Title_RESULTS!$C$17),0,(+'Sheet6(p_6)'!$G29))</f>
        <v>87.91291217459778</v>
      </c>
      <c r="E29" s="5">
        <f>+'Sheet6(p_6)'!M29</f>
        <v>0</v>
      </c>
      <c r="F29">
        <f>IF(A29&gt;=(Title_RESULTS!$H$7+Title_RESULTS!$C$17),0,(+'f-11B'!$R28))</f>
        <v>0</v>
      </c>
      <c r="G29" s="5">
        <f>IF(A29&gt;=(Title_RESULTS!$H$7+Title_RESULTS!$C$17),0,(SUM(B29:F29)))</f>
        <v>108.32985418985409</v>
      </c>
      <c r="H29" s="5">
        <f>IF(A29&gt;=(Title_RESULTS!$H$7+Title_RESULTS!$C$17),0,(+'Sheet3(F_21)'!$J29+'Sheet4(F_22)'!$H29))</f>
        <v>245.24780886108908</v>
      </c>
      <c r="I29" s="5">
        <f>IF(A29&gt;=(Title_RESULTS!$H$7+Title_RESULTS!$C$17),0,(+'Sheet4(F_22)'!$D29+'Sheet4(F_22)'!$G29))</f>
        <v>83.53753235044549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328.78534121153456</v>
      </c>
      <c r="M29" s="23">
        <f>IF(A29&gt;=(Title_RESULTS!$H$7+Title_RESULTS!$C$17),0,(+L29-G29))</f>
        <v>220.45548702168048</v>
      </c>
      <c r="N29" s="24">
        <f>(IF(A28&gt;=(Title_RESULTS!$H$7+Title_RESULTS!$C$17),0,(+$M29/((1+Title_RESULTS!$C$37)^('Sheet9(F_25)'!$A29-Title_RESULTS!$H$7))+N28)))</f>
        <v>-64.97340341704626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20.90694862362246</v>
      </c>
      <c r="D30" s="5">
        <f>IF(A30&gt;=(Title_RESULTS!$H$7+Title_RESULTS!$C$17),0,(+'Sheet6(p_6)'!$G30))</f>
        <v>87.91291217459778</v>
      </c>
      <c r="E30" s="5">
        <f>+'Sheet6(p_6)'!M30</f>
        <v>0</v>
      </c>
      <c r="F30">
        <f>IF(A30&gt;=(Title_RESULTS!$H$7+Title_RESULTS!$C$17),0,(+'f-11B'!$R29))</f>
        <v>0</v>
      </c>
      <c r="G30" s="5">
        <f>IF(A30&gt;=(Title_RESULTS!$H$7+Title_RESULTS!$C$17),0,(SUM(B30:F30)))</f>
        <v>108.81986079822023</v>
      </c>
      <c r="H30" s="5">
        <f>IF(A30&gt;=(Title_RESULTS!$H$7+Title_RESULTS!$C$17),0,(+'Sheet3(F_21)'!$J30+'Sheet4(F_22)'!$H30))</f>
        <v>249.98359332046348</v>
      </c>
      <c r="I30" s="5">
        <f>IF(A30&gt;=(Title_RESULTS!$H$7+Title_RESULTS!$C$17),0,(+'Sheet4(F_22)'!$D30+'Sheet4(F_22)'!$G30))</f>
        <v>85.54243312685618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335.5260264473197</v>
      </c>
      <c r="M30" s="23">
        <f>IF(A30&gt;=(Title_RESULTS!$H$7+Title_RESULTS!$C$17),0,(+L30-G30))</f>
        <v>226.70616564909943</v>
      </c>
      <c r="N30" s="24">
        <f>(IF(A29&gt;=(Title_RESULTS!$H$7+Title_RESULTS!$C$17),0,(+$M30/((1+Title_RESULTS!$C$37)^('Sheet9(F_25)'!$A30-Title_RESULTS!$H$7))+N29)))</f>
        <v>22.0320062880902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1537.782863941225</v>
      </c>
      <c r="D32" s="5">
        <f t="shared" si="1"/>
        <v>1186.8243143570699</v>
      </c>
      <c r="E32" s="5">
        <f t="shared" si="1"/>
        <v>0</v>
      </c>
      <c r="F32" s="5">
        <f t="shared" si="1"/>
        <v>0</v>
      </c>
      <c r="G32" s="5">
        <f t="shared" si="1"/>
        <v>2724.6071782982954</v>
      </c>
      <c r="H32" s="5">
        <f t="shared" si="1"/>
        <v>2623.603256686627</v>
      </c>
      <c r="I32" s="5">
        <f t="shared" si="1"/>
        <v>1031.1998838236568</v>
      </c>
      <c r="J32" s="5">
        <f t="shared" si="1"/>
        <v>0</v>
      </c>
      <c r="K32" s="9">
        <f t="shared" si="1"/>
        <v>0</v>
      </c>
      <c r="L32" s="5">
        <f t="shared" si="1"/>
        <v>3654.8031405102834</v>
      </c>
      <c r="M32" s="5">
        <f t="shared" si="1"/>
        <v>930.1959622119889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1354.2897839535917</v>
      </c>
      <c r="D34" s="5">
        <f>NPV(Title_RESULTS!$C$37,'Sheet9(F_25)'!D17:D31)+'Sheet9(F_25)'!D16</f>
        <v>725.9879386156676</v>
      </c>
      <c r="E34" s="5">
        <f>NPV(Title_RESULTS!$C$37,'Sheet9(F_25)'!E17:E31)+'Sheet9(F_25)'!E16</f>
        <v>0</v>
      </c>
      <c r="F34" s="5">
        <f>NPV(Title_RESULTS!$C$37,'Sheet9(F_25)'!F17:F31)+'Sheet9(F_25)'!F16</f>
        <v>0</v>
      </c>
      <c r="G34" s="5">
        <f>NPV(Title_RESULTS!$C$37,'Sheet9(F_25)'!G17:G31)+'Sheet9(F_25)'!G16</f>
        <v>2080.277722569259</v>
      </c>
      <c r="H34" s="5">
        <f>NPV(Title_RESULTS!$C$37,'Sheet9(F_25)'!H17:H31)+'Sheet9(F_25)'!H16</f>
        <v>1477.7536061339756</v>
      </c>
      <c r="I34" s="5">
        <f>NPV(Title_RESULTS!$C$37,'Sheet9(F_25)'!I17:I31)+'Sheet9(F_25)'!I16</f>
        <v>624.5561227233735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2102.3097288573495</v>
      </c>
      <c r="M34" s="5">
        <f>NPV(Title_RESULTS!$C$37,'Sheet9(F_25)'!M17:M31)+'Sheet9(F_25)'!M16</f>
        <v>22.03200628809003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1.010590896613977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1495.47675106082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87.2354816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199.90210560000008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8.620811243399825</v>
      </c>
      <c r="P24" s="48">
        <f aca="true" t="shared" si="4" ref="P24:P61">N24*$L$5</f>
        <v>19.754786560790645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8.82771071324142</v>
      </c>
      <c r="P25" s="48">
        <f t="shared" si="4"/>
        <v>20.228901438249622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205.76363657634838</v>
      </c>
      <c r="E26" s="11">
        <f>IF(B26=Title_RESULTS!$H$8,$F$16,+E25*(1+$F$7))</f>
        <v>0.09882230355451863</v>
      </c>
      <c r="F26" s="9">
        <f t="shared" si="1"/>
        <v>147.78645745205765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12.002787686115699</v>
      </c>
      <c r="L26" s="5">
        <f t="shared" si="3"/>
        <v>27.504663097134564</v>
      </c>
      <c r="N26" s="11">
        <f>IF(+B26=Title_RESULTS!$H$9,'Value of Defferal'!$O$16,+'Value of Defferal'!N25*(1+'Value of Defferal'!$F$7))</f>
        <v>0.10362269577198292</v>
      </c>
      <c r="O26" s="5">
        <f t="shared" si="7"/>
        <v>9.039575770359214</v>
      </c>
      <c r="P26" s="48">
        <f t="shared" si="4"/>
        <v>20.714395072767612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199.68746023261326</v>
      </c>
      <c r="E27" s="11">
        <f>IF(B27=Title_RESULTS!$H$8,$F$16,+E26*(1+$F$7))</f>
        <v>0.10119403883982707</v>
      </c>
      <c r="F27" s="9">
        <f t="shared" si="1"/>
        <v>151.33333243090703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11.648346756655405</v>
      </c>
      <c r="L27" s="5">
        <f t="shared" si="3"/>
        <v>26.692453583179933</v>
      </c>
      <c r="N27" s="11">
        <f>IF(+B27=Title_RESULTS!$H$9,'Value of Defferal'!$O$16,+'Value of Defferal'!N26*(1+'Value of Defferal'!$F$7))</f>
        <v>0.10610964047051051</v>
      </c>
      <c r="O27" s="5">
        <f t="shared" si="7"/>
        <v>9.256525588847834</v>
      </c>
      <c r="P27" s="48">
        <f t="shared" si="4"/>
        <v>21.211540554514034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192.9794058632327</v>
      </c>
      <c r="E28" s="11">
        <f>IF(B28=Title_RESULTS!$H$8,$F$16,+E27*(1+$F$7))</f>
        <v>0.10362269577198292</v>
      </c>
      <c r="F28" s="9">
        <f t="shared" si="1"/>
        <v>154.9653324092488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11.257046555500958</v>
      </c>
      <c r="L28" s="5">
        <f t="shared" si="3"/>
        <v>25.795780203291383</v>
      </c>
      <c r="N28" s="11">
        <f>IF(+B28=Title_RESULTS!$H$9,'Value of Defferal'!$O$16,+'Value of Defferal'!N27*(1+'Value of Defferal'!$F$7))</f>
        <v>0.10865627184180277</v>
      </c>
      <c r="O28" s="5">
        <f t="shared" si="7"/>
        <v>9.478682202980183</v>
      </c>
      <c r="P28" s="48">
        <f t="shared" si="4"/>
        <v>21.720617527822373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186.59263032097613</v>
      </c>
      <c r="E29" s="11">
        <f>IF(B29=Title_RESULTS!$H$8,$F$16,+E28*(1+$F$7))</f>
        <v>0.10610964047051051</v>
      </c>
      <c r="F29" s="9">
        <f t="shared" si="1"/>
        <v>158.68450038707076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10.884487476996638</v>
      </c>
      <c r="L29" s="5">
        <f t="shared" si="3"/>
        <v>24.942052535518535</v>
      </c>
      <c r="N29" s="11">
        <f>IF(+B29=Title_RESULTS!$H$9,'Value of Defferal'!$O$16,+'Value of Defferal'!N28*(1+'Value of Defferal'!$F$7))</f>
        <v>0.11126402236600604</v>
      </c>
      <c r="O29" s="5">
        <f t="shared" si="7"/>
        <v>9.706170575851708</v>
      </c>
      <c r="P29" s="48">
        <f t="shared" si="4"/>
        <v>22.24191234849011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180.49491672622605</v>
      </c>
      <c r="E30" s="11">
        <f>IF(B30=Title_RESULTS!$H$8,$F$16,+E29*(1+$F$7))</f>
        <v>0.10865627184180277</v>
      </c>
      <c r="F30" s="9">
        <f t="shared" si="1"/>
        <v>162.49292839636047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10.52879021743071</v>
      </c>
      <c r="L30" s="5">
        <f t="shared" si="3"/>
        <v>24.12696411233066</v>
      </c>
      <c r="N30" s="11">
        <f>IF(+B30=Title_RESULTS!$H$9,'Value of Defferal'!$O$16,+'Value of Defferal'!N29*(1+'Value of Defferal'!$F$7))</f>
        <v>0.11393435890279018</v>
      </c>
      <c r="O30" s="5">
        <f t="shared" si="7"/>
        <v>9.93911866967215</v>
      </c>
      <c r="P30" s="48">
        <f t="shared" si="4"/>
        <v>22.77571824485387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174.65760807556586</v>
      </c>
      <c r="E31" s="11">
        <f>IF(B31=Title_RESULTS!$H$8,$F$16,+E30*(1+$F$7))</f>
        <v>0.11126402236600604</v>
      </c>
      <c r="F31" s="9">
        <f t="shared" si="1"/>
        <v>166.39275867787313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10.188283130960146</v>
      </c>
      <c r="L31" s="5">
        <f t="shared" si="3"/>
        <v>23.346684318962875</v>
      </c>
      <c r="N31" s="11">
        <f>IF(+B31=Title_RESULTS!$H$9,'Value of Defferal'!$O$16,+'Value of Defferal'!N30*(1+'Value of Defferal'!$F$7))</f>
        <v>0.11666878351645714</v>
      </c>
      <c r="O31" s="5">
        <f t="shared" si="7"/>
        <v>10.17765751774428</v>
      </c>
      <c r="P31" s="48">
        <f t="shared" si="4"/>
        <v>23.322335482730363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169.00203110495755</v>
      </c>
      <c r="E32" s="11">
        <f>IF(B32=Title_RESULTS!$H$8,$F$16,+E31*(1+$F$7))</f>
        <v>0.11393435890279018</v>
      </c>
      <c r="F32" s="9">
        <f t="shared" si="1"/>
        <v>170.38618488614208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9.858376978686689</v>
      </c>
      <c r="L32" s="5">
        <f t="shared" si="3"/>
        <v>22.590696809290453</v>
      </c>
      <c r="N32" s="11">
        <f>IF(+B32=Title_RESULTS!$H$9,'Value of Defferal'!$O$16,+'Value of Defferal'!N31*(1+'Value of Defferal'!$F$7))</f>
        <v>0.11946883432085212</v>
      </c>
      <c r="O32" s="5">
        <f t="shared" si="7"/>
        <v>10.421921298170144</v>
      </c>
      <c r="P32" s="48">
        <f t="shared" si="4"/>
        <v>23.882071534315894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163.40465811023265</v>
      </c>
      <c r="E33" s="11">
        <f>IF(B33=Title_RESULTS!$H$8,$F$16,+E32*(1+$F$7))</f>
        <v>0.11666878351645714</v>
      </c>
      <c r="F33" s="9">
        <f t="shared" si="1"/>
        <v>174.47545332340948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9.531866032566468</v>
      </c>
      <c r="L33" s="5">
        <f t="shared" si="3"/>
        <v>21.842489492339272</v>
      </c>
      <c r="N33" s="11">
        <f>IF(+B33=Title_RESULTS!$H$9,'Value of Defferal'!$O$16,+'Value of Defferal'!N32*(1+'Value of Defferal'!$F$7))</f>
        <v>0.12233608634455258</v>
      </c>
      <c r="O33" s="5">
        <f t="shared" si="7"/>
        <v>10.672047409326227</v>
      </c>
      <c r="P33" s="48">
        <f t="shared" si="4"/>
        <v>24.455241251139476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157.8072851155077</v>
      </c>
      <c r="E34" s="11">
        <f>IF(B34=Title_RESULTS!$H$8,$F$16,+E33*(1+$F$7))</f>
        <v>0.11946883432085212</v>
      </c>
      <c r="F34" s="9">
        <f t="shared" si="1"/>
        <v>178.66286420317132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9.205355086446247</v>
      </c>
      <c r="L34" s="5">
        <f t="shared" si="3"/>
        <v>21.094282175388088</v>
      </c>
      <c r="N34" s="11">
        <f>IF(+B34=Title_RESULTS!$H$9,'Value of Defferal'!$O$16,+'Value of Defferal'!N33*(1+'Value of Defferal'!$F$7))</f>
        <v>0.12527215241682185</v>
      </c>
      <c r="O34" s="5">
        <f t="shared" si="7"/>
        <v>10.928176547150057</v>
      </c>
      <c r="P34" s="48">
        <f t="shared" si="4"/>
        <v>25.042167041166827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152.2099121207828</v>
      </c>
      <c r="E35" s="11">
        <f>IF(B35=Title_RESULTS!$H$8,$F$16,+E34*(1+$F$7))</f>
        <v>0.12233608634455258</v>
      </c>
      <c r="F35" s="9">
        <f t="shared" si="1"/>
        <v>182.95077294404746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8.878844140326025</v>
      </c>
      <c r="L35" s="5">
        <f t="shared" si="3"/>
        <v>20.346074858436904</v>
      </c>
      <c r="N35" s="11">
        <f>IF(+B35=Title_RESULTS!$H$9,'Value of Defferal'!$O$16,+'Value of Defferal'!N34*(1+'Value of Defferal'!$F$7))</f>
        <v>0.12827868407482557</v>
      </c>
      <c r="O35" s="5">
        <f t="shared" si="7"/>
        <v>11.190452784281659</v>
      </c>
      <c r="P35" s="48">
        <f t="shared" si="4"/>
        <v>25.643179050154828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146.6125391260579</v>
      </c>
      <c r="E36" s="11">
        <f>IF(B36=Title_RESULTS!$H$8,$F$16,+E35*(1+$F$7))</f>
        <v>0.12527215241682185</v>
      </c>
      <c r="F36" s="9">
        <f t="shared" si="1"/>
        <v>187.3415914947046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8.552333194205804</v>
      </c>
      <c r="L36" s="5">
        <f t="shared" si="3"/>
        <v>19.59786754148572</v>
      </c>
      <c r="N36" s="11">
        <f>IF(+B36=Title_RESULTS!$H$9,'Value of Defferal'!$O$16,+'Value of Defferal'!N35*(1+'Value of Defferal'!$F$7))</f>
        <v>0.1313573724926214</v>
      </c>
      <c r="O36" s="5">
        <f t="shared" si="7"/>
        <v>11.459023651104419</v>
      </c>
      <c r="P36" s="48">
        <f t="shared" si="4"/>
        <v>26.258615347358546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141.01516613133296</v>
      </c>
      <c r="E37" s="11">
        <f>IF(B37&gt;Title_RESULTS!$H$8-1+Title_RESULTS!$C$18,0,+E36*(1+$F$7))</f>
        <v>0.12827868407482557</v>
      </c>
      <c r="F37" s="9">
        <f t="shared" si="1"/>
        <v>191.8377896905775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8.225822248085583</v>
      </c>
      <c r="L37" s="5">
        <f t="shared" si="3"/>
        <v>18.849660224534535</v>
      </c>
      <c r="N37" s="11">
        <f>IF(+B37=Title_RESULTS!$H$9,'Value of Defferal'!$O$16,+'Value of Defferal'!N36*(1+'Value of Defferal'!$F$7))</f>
        <v>0.1345099494324443</v>
      </c>
      <c r="O37" s="5">
        <f t="shared" si="7"/>
        <v>11.734040218730925</v>
      </c>
      <c r="P37" s="48">
        <f t="shared" si="4"/>
        <v>26.88882211569515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135.417793136608</v>
      </c>
      <c r="E38" s="11">
        <f>IF(B38&gt;Title_RESULTS!$H$8-1+Title_RESULTS!$C$18,0,+E37*(1+$F$7))</f>
        <v>0.1313573724926214</v>
      </c>
      <c r="F38" s="9">
        <f t="shared" si="1"/>
        <v>196.44189664315138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7.89931130196536</v>
      </c>
      <c r="L38" s="5">
        <f t="shared" si="3"/>
        <v>18.101452907583347</v>
      </c>
      <c r="N38" s="11">
        <f>IF(+B38=Title_RESULTS!$H$9,'Value of Defferal'!$O$16,+'Value of Defferal'!N37*(1+'Value of Defferal'!$F$7))</f>
        <v>0.13773818821882297</v>
      </c>
      <c r="O38" s="5">
        <f t="shared" si="7"/>
        <v>12.015657183980467</v>
      </c>
      <c r="P38" s="48">
        <f t="shared" si="4"/>
        <v>27.53415384647184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129.82042014188306</v>
      </c>
      <c r="E39" s="11">
        <f>IF(B39&gt;Title_RESULTS!$H$8-1+Title_RESULTS!$C$18,0,+E38*(1+$F$7))</f>
        <v>0.1345099494324443</v>
      </c>
      <c r="F39" s="9">
        <f t="shared" si="1"/>
        <v>201.156502162587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7.572800355845138</v>
      </c>
      <c r="L39" s="5">
        <f t="shared" si="3"/>
        <v>17.35324559063216</v>
      </c>
      <c r="N39" s="11">
        <f>IF(+B39&gt;Title_RESULTS!$H$9+Title_RESULTS!$C$19-1,0,+'Value of Defferal'!N38*(1+'Value of Defferal'!$F$7))</f>
        <v>0.14104390473607473</v>
      </c>
      <c r="O39" s="5">
        <f t="shared" si="7"/>
        <v>12.304032956396</v>
      </c>
      <c r="P39" s="48">
        <f t="shared" si="4"/>
        <v>28.194973538787163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124.22304714715818</v>
      </c>
      <c r="E40" s="11">
        <f>IF(B40&gt;Title_RESULTS!$H$8-1+Title_RESULTS!$C$18,0,+E39*(1+$F$7))</f>
        <v>0.13773818821882297</v>
      </c>
      <c r="F40" s="9">
        <f t="shared" si="1"/>
        <v>205.9842582144891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7.24628940972492</v>
      </c>
      <c r="L40" s="5">
        <f t="shared" si="3"/>
        <v>16.605038273680982</v>
      </c>
      <c r="N40" s="11">
        <f>IF(+B40&gt;Title_RESULTS!$H$9+Title_RESULTS!$C$19-1,0,+'Value of Defferal'!N39*(1+'Value of Defferal'!$F$7))</f>
        <v>0.14442895844974052</v>
      </c>
      <c r="O40" s="5">
        <f t="shared" si="7"/>
        <v>12.599329747349504</v>
      </c>
      <c r="P40" s="48">
        <f t="shared" si="4"/>
        <v>28.871652903718054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119.1512898734842</v>
      </c>
      <c r="E41" s="11">
        <f>IF(B41&gt;Title_RESULTS!$H$8-1+Title_RESULTS!$C$18,0,+E40*(1+$F$7))</f>
        <v>0.14104390473607473</v>
      </c>
      <c r="F41" s="9">
        <f t="shared" si="1"/>
        <v>210.92788041163686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6.950439147918169</v>
      </c>
      <c r="L41" s="5">
        <f t="shared" si="3"/>
        <v>15.927090617603838</v>
      </c>
      <c r="N41" s="11">
        <f>IF(+B41&gt;Title_RESULTS!$H$9+Title_RESULTS!$C$19-1,0,+'Value of Defferal'!N40*(1+'Value of Defferal'!$F$7))</f>
        <v>0.1478952534525343</v>
      </c>
      <c r="O41" s="5">
        <f t="shared" si="7"/>
        <v>12.901713661285891</v>
      </c>
      <c r="P41" s="48">
        <f t="shared" si="4"/>
        <v>29.564572573407286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115.13058604810213</v>
      </c>
      <c r="E42" s="11">
        <f>IF(B42&gt;Title_RESULTS!$H$8-1+Title_RESULTS!$C$18,0,+E41*(1+$F$7))</f>
        <v>0.14442895844974052</v>
      </c>
      <c r="F42" s="9">
        <f t="shared" si="1"/>
        <v>215.99014954151613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6.715899871844927</v>
      </c>
      <c r="L42" s="5">
        <f t="shared" si="3"/>
        <v>15.389638490636495</v>
      </c>
      <c r="N42" s="11">
        <f>IF(+B42&gt;Title_RESULTS!$H$9+Title_RESULTS!$C$19-1,0,+'Value of Defferal'!N41*(1+'Value of Defferal'!$F$7))</f>
        <v>0.1514447395353951</v>
      </c>
      <c r="O42" s="5">
        <f t="shared" si="7"/>
        <v>13.211354789156752</v>
      </c>
      <c r="P42" s="48">
        <f t="shared" si="4"/>
        <v>30.274122315169063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111.63531994996099</v>
      </c>
      <c r="E43" s="11">
        <f>IF(B43&gt;Title_RESULTS!$H$8-1+Title_RESULTS!$C$18,0,+E42*(1+$F$7))</f>
        <v>0.1478952534525343</v>
      </c>
      <c r="F43" s="9">
        <f t="shared" si="1"/>
        <v>221.17391313051252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6.512010897191723</v>
      </c>
      <c r="L43" s="5">
        <f t="shared" si="3"/>
        <v>14.922422231904903</v>
      </c>
      <c r="N43" s="11">
        <f>IF(+B43&gt;Title_RESULTS!$H$9+Title_RESULTS!$C$19-1,0,+'Value of Defferal'!N42*(1+'Value of Defferal'!$F$7))</f>
        <v>0.1550794132842446</v>
      </c>
      <c r="O43" s="5">
        <f t="shared" si="7"/>
        <v>13.528427304096516</v>
      </c>
      <c r="P43" s="48">
        <f t="shared" si="4"/>
        <v>31.00070125073312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108.14005385181986</v>
      </c>
      <c r="E44" s="11">
        <f>IF(B44&gt;Title_RESULTS!$H$8-1+Title_RESULTS!$C$18,0,+E43*(1+$F$7))</f>
        <v>0.1514447395353951</v>
      </c>
      <c r="F44" s="9">
        <f t="shared" si="1"/>
        <v>226.48208704564482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6.30812192253852</v>
      </c>
      <c r="L44" s="5">
        <f t="shared" si="3"/>
        <v>14.455205973173316</v>
      </c>
      <c r="N44" s="11">
        <f>IF(+B44&gt;Title_RESULTS!$H$9+Title_RESULTS!$C$19-1,0,+'Value of Defferal'!N43*(1+'Value of Defferal'!$F$7))</f>
        <v>0.15880131920306648</v>
      </c>
      <c r="O44" s="5">
        <f t="shared" si="7"/>
        <v>13.853109559394833</v>
      </c>
      <c r="P44" s="48">
        <f t="shared" si="4"/>
        <v>31.744718080750715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104.64478775367867</v>
      </c>
      <c r="E45" s="11">
        <f>IF(B45&gt;Title_RESULTS!$H$8-1+Title_RESULTS!$C$18,0,+E44*(1+$F$7))</f>
        <v>0.1550794132842446</v>
      </c>
      <c r="F45" s="9">
        <f t="shared" si="1"/>
        <v>231.9176571347403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6.104232947885314</v>
      </c>
      <c r="L45" s="5">
        <f t="shared" si="3"/>
        <v>13.987989714441719</v>
      </c>
      <c r="N45" s="11">
        <f>IF(+B45&gt;Title_RESULTS!$H$9+Title_RESULTS!$C$19-1,0,+'Value of Defferal'!N44*(1+'Value of Defferal'!$F$7))</f>
        <v>0.16261255086394008</v>
      </c>
      <c r="O45" s="5">
        <f t="shared" si="7"/>
        <v>14.18558418882031</v>
      </c>
      <c r="P45" s="48">
        <f t="shared" si="4"/>
        <v>32.506591314688734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101.14952165553753</v>
      </c>
      <c r="E46" s="11">
        <f>IF(B46&gt;Title_RESULTS!$H$8-1+Title_RESULTS!$C$18,0,+E45*(1+$F$7))</f>
        <v>0.15880131920306648</v>
      </c>
      <c r="F46" s="9">
        <f t="shared" si="1"/>
        <v>237.48368090597407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5.9003439732321095</v>
      </c>
      <c r="L46" s="5">
        <f t="shared" si="3"/>
        <v>13.520773455710128</v>
      </c>
      <c r="N46" s="11">
        <f>IF(+B46&gt;Title_RESULTS!$H$9+Title_RESULTS!$C$19-1,0,+'Value of Defferal'!N45*(1+'Value of Defferal'!$F$7))</f>
        <v>0.16651525208467466</v>
      </c>
      <c r="O46" s="5">
        <f t="shared" si="7"/>
        <v>14.526038209351999</v>
      </c>
      <c r="P46" s="48">
        <f t="shared" si="4"/>
        <v>33.286749506241264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97.65425555739641</v>
      </c>
      <c r="E47" s="11">
        <f>IF(B47&gt;Title_RESULTS!$H$8-1+Title_RESULTS!$C$18,0,+E46*(1+$F$7))</f>
        <v>0.16261255086394008</v>
      </c>
      <c r="F47" s="9">
        <f t="shared" si="1"/>
        <v>243.18328924771745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5.696454998578907</v>
      </c>
      <c r="L47" s="5">
        <f t="shared" si="3"/>
        <v>13.05355719697854</v>
      </c>
      <c r="N47" s="11">
        <f>IF(+B47&gt;Title_RESULTS!$H$9+Title_RESULTS!$C$19-1,0,+'Value of Defferal'!N46*(1+'Value of Defferal'!$F$7))</f>
        <v>0.17051161813470686</v>
      </c>
      <c r="O47" s="5">
        <f t="shared" si="7"/>
        <v>14.874663126376447</v>
      </c>
      <c r="P47" s="48">
        <f t="shared" si="4"/>
        <v>34.08563149439106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94.15898945925527</v>
      </c>
      <c r="E48" s="11">
        <f>IF(B48&gt;Title_RESULTS!$H$8-1+Title_RESULTS!$C$18,0,+E47*(1+$F$7))</f>
        <v>0.16651525208467466</v>
      </c>
      <c r="F48" s="9">
        <f t="shared" si="1"/>
        <v>249.0196881896627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5.492566023925702</v>
      </c>
      <c r="L48" s="5">
        <f t="shared" si="3"/>
        <v>12.586340938246948</v>
      </c>
      <c r="N48" s="11">
        <f>IF(+B48&gt;Title_RESULTS!$H$9+Title_RESULTS!$C$19-1,0,+'Value of Defferal'!N47*(1+'Value of Defferal'!$F$7))</f>
        <v>0.17460389696993983</v>
      </c>
      <c r="O48" s="5">
        <f t="shared" si="7"/>
        <v>15.231655041409482</v>
      </c>
      <c r="P48" s="48">
        <f t="shared" si="4"/>
        <v>34.90368665025645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90.6637233611141</v>
      </c>
      <c r="E49" s="11">
        <f>IF(B49&gt;Title_RESULTS!$H$8-1+Title_RESULTS!$C$18,0,+E48*(1+$F$7))</f>
        <v>0.17051161813470686</v>
      </c>
      <c r="F49" s="9">
        <f t="shared" si="1"/>
        <v>254.99616070621462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5.288677049272497</v>
      </c>
      <c r="L49" s="5">
        <f t="shared" si="3"/>
        <v>12.119124679515354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87.16845726297295</v>
      </c>
      <c r="E50" s="11">
        <f>IF(B50&gt;Title_RESULTS!$H$8-1+Title_RESULTS!$C$18,0,+E49*(1+$F$7))</f>
        <v>0.17460389696993983</v>
      </c>
      <c r="F50" s="9">
        <f t="shared" si="1"/>
        <v>261.11606856316376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5.084788074619293</v>
      </c>
      <c r="L50" s="5">
        <f t="shared" si="3"/>
        <v>11.651908420783762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83.6731911648318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4.880899099966089</v>
      </c>
      <c r="L51" s="5">
        <f t="shared" si="3"/>
        <v>11.184692162052173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3572.858685867637</v>
      </c>
      <c r="F63" s="9">
        <f>SUM(F23:F61)</f>
        <v>4983.183198192582</v>
      </c>
      <c r="J63" t="s">
        <v>87</v>
      </c>
      <c r="K63" s="9">
        <f>SUM(K23:K61)</f>
        <v>208.41517457848502</v>
      </c>
      <c r="O63" s="9">
        <f>SUM(O23:O61)</f>
        <v>290.6834799584783</v>
      </c>
    </row>
    <row r="64" spans="3:15" ht="12.75">
      <c r="C64" t="s">
        <v>89</v>
      </c>
      <c r="D64" s="9">
        <f>NPV(+Title_RESULTS!$C$37,'Value of Defferal'!D24:D61)+'Value of Defferal'!D23</f>
        <v>1595.3030115201589</v>
      </c>
      <c r="F64" s="9">
        <f>NPV(+Title_RESULTS!$C$37,'Value of Defferal'!F24:F61)+'Value of Defferal'!F23</f>
        <v>1852.974503317881</v>
      </c>
      <c r="J64" t="s">
        <v>89</v>
      </c>
      <c r="K64" s="9">
        <f>NPV(+Title_RESULTS!$C$37,'Value of Defferal'!K24:K61)+'Value of Defferal'!K23</f>
        <v>93.05863592274027</v>
      </c>
      <c r="O64" s="9">
        <f>NPV(+Title_RESULTS!$C$37,'Value of Defferal'!O24:O61)+'Value of Defferal'!O23</f>
        <v>123.93662510093391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0.8138298703938215</v>
      </c>
      <c r="C25" t="s">
        <v>372</v>
      </c>
    </row>
    <row r="26" spans="2:3" ht="18">
      <c r="B26" s="15">
        <f>+((Input!$C$6*'EUE_Line Losses'!C4)+(Input!$C$7*'EUE_Line Losses'!C3))/'EUE_Line Losses'!C22</f>
        <v>0.8112046127473899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0.49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0.79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0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0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421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5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0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29.30430405819926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Residential DR - Pool Pump Switches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43599.326876851854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0.79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0.8138298703938215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0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0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421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5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0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0</v>
      </c>
      <c r="D39" s="13" t="s">
        <v>189</v>
      </c>
      <c r="G39" s="20" t="s">
        <v>346</v>
      </c>
      <c r="H39" s="79">
        <f>+'Sheet7(F_23)'!H36</f>
        <v>1.5523337425761683</v>
      </c>
      <c r="I39" s="10"/>
    </row>
    <row r="40" spans="1:17" ht="18">
      <c r="A40" s="14" t="s">
        <v>7</v>
      </c>
      <c r="B40" s="13" t="s">
        <v>322</v>
      </c>
      <c r="C40" s="74">
        <f>+Input!C41</f>
        <v>29.30430405819926</v>
      </c>
      <c r="D40" s="13" t="s">
        <v>190</v>
      </c>
      <c r="G40" s="18" t="s">
        <v>347</v>
      </c>
      <c r="H40" s="41">
        <f>+'Sheet8(F_24)'!K34</f>
        <v>725.9879386156676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1.010590896613977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2019-05-14T11:50:43Z</dcterms:created>
  <dcterms:modified xsi:type="dcterms:W3CDTF">2019-05-14T11:50:44Z</dcterms:modified>
  <cp:category/>
  <cp:version/>
  <cp:contentType/>
  <cp:contentStatus/>
</cp:coreProperties>
</file>