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'Sheet2(F_12)'!$A$1:$K$43</definedName>
    <definedName name="_xlnm.Print_Area" localSheetId="11">'Sheet3(F_21)'!$A$1:$J$32</definedName>
    <definedName name="_xlnm.Print_Area" localSheetId="14">'Sheet4(F_22)'!$A$1:$J$32</definedName>
    <definedName name="_xlnm.Print_Area" localSheetId="12">'Sheet5(p_5)'!$A$1:$H$32</definedName>
    <definedName name="_xlnm.Print_Area" localSheetId="15">'Sheet6(p_6)'!$A$1:$R$32</definedName>
    <definedName name="_xlnm.Print_Area" localSheetId="16">'Sheet7(F_23)'!$A$1:$M$32</definedName>
    <definedName name="_xlnm.Print_Area" localSheetId="17">'Sheet8(F_24)'!$A$1:$M$32</definedName>
    <definedName name="_xlnm.Print_Area" localSheetId="18">'Sheet9(F_25)'!$A$1:$N$32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<sst xmlns="http://schemas.openxmlformats.org/spreadsheetml/2006/main" count="1258" uniqueCount="468">
  <si>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</si>
  <si>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</si>
  <si>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</si>
  <si>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</si>
  <si>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</si>
  <si>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</si>
  <si>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</si>
  <si>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</si>
  <si>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</si>
  <si>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</si>
  <si>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</si>
  <si>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</si>
  <si>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</si>
  <si>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</si>
  <si>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</si>
  <si>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</si>
  <si>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</si>
  <si>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</si>
  <si>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</si>
  <si>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</si>
  <si>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</si>
  <si>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</si>
  <si>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</si>
  <si>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</si>
  <si>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</si>
  <si>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</si>
  <si>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</si>
  <si>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</si>
  <si>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</si>
  <si>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</si>
  <si>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</si>
  <si>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</si>
  <si>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</si>
  <si>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</si>
  <si>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</si>
  <si>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</si>
  <si>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</si>
  <si>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</si>
  <si>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</si>
  <si>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</si>
  <si>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</si>
  <si>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</si>
  <si>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</si>
  <si>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</si>
  <si>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</si>
  <si>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</si>
  <si>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</si>
  <si>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</si>
  <si>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</si>
  <si>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</si>
  <si>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</si>
  <si>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</si>
  <si>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</si>
  <si>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</si>
  <si>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</si>
  <si>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</si>
  <si>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</si>
  <si>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</si>
  <si>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</si>
  <si>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</si>
  <si>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</si>
  <si>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</si>
  <si>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</si>
  <si>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</si>
  <si>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</si>
  <si>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</si>
  <si>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</si>
  <si>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</si>
  <si>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</si>
  <si>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</si>
  <si>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</si>
  <si>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</si>
  <si>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</si>
  <si>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</si>
  <si>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</si>
  <si>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</si>
  <si>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</si>
  <si>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</si>
  <si>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</si>
  <si>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</si>
  <si>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</si>
  <si>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</si>
  <si>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</si>
  <si>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</si>
  <si>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</si>
  <si>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</si>
  <si>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</si>
  <si>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</si>
  <si>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</si>
  <si>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</si>
  <si>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</si>
  <si>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</si>
  <si>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</si>
  <si>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</si>
  <si>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</si>
  <si>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</si>
  <si>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</si>
  <si>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</si>
  <si>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</si>
  <si>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</si>
  <si>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</si>
  <si>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</si>
  <si>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</si>
  <si>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</si>
  <si>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</si>
  <si>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</si>
  <si>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</si>
  <si>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</si>
  <si>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</si>
  <si>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</si>
  <si>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</si>
  <si>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</si>
  <si>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</si>
  <si>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</si>
  <si>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</si>
  <si>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</si>
  <si>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</si>
  <si>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</si>
  <si>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</si>
  <si>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</si>
  <si>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</si>
  <si>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</si>
  <si>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</si>
  <si>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</si>
  <si>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</si>
  <si>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</si>
  <si>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</si>
  <si>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</si>
  <si>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</si>
  <si>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</si>
  <si>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</si>
  <si>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</si>
  <si>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</si>
  <si>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</si>
  <si>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</si>
  <si>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</si>
  <si>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</si>
  <si>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</si>
  <si>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</si>
  <si>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</si>
  <si>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</si>
  <si>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</si>
  <si>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</si>
  <si>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</si>
  <si>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</si>
  <si>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</si>
  <si>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</si>
  <si>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</si>
  <si>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</si>
  <si>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</si>
  <si>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</si>
  <si>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</si>
  <si>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</si>
  <si>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</si>
  <si>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</si>
  <si>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</si>
  <si>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</si>
  <si>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</si>
  <si>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</si>
  <si>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</si>
  <si>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</si>
  <si>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</si>
  <si>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</si>
  <si>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</si>
  <si>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</si>
  <si>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</si>
  <si>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</si>
  <si>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</si>
  <si>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</si>
  <si>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</si>
  <si>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</si>
  <si>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</si>
  <si>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</si>
  <si>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</si>
  <si>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</si>
  <si>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</si>
  <si>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</si>
  <si>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</si>
  <si>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</si>
  <si>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</si>
  <si>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</si>
  <si>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</si>
  <si>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</si>
  <si>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</si>
  <si>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</si>
  <si>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</si>
  <si>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</si>
  <si>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</si>
  <si>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</si>
  <si>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</si>
  <si>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</si>
  <si>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</si>
  <si>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</si>
  <si>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</si>
  <si>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</si>
  <si>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</si>
  <si>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</si>
  <si>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</si>
  <si>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</si>
  <si>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</si>
  <si>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</si>
  <si>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</si>
  <si>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</si>
  <si>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</si>
  <si>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</si>
  <si>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</si>
  <si>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</si>
  <si>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</si>
  <si>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</si>
  <si>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</si>
  <si>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</si>
  <si>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</si>
  <si>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</si>
  <si>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</si>
  <si>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</si>
  <si>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</si>
  <si>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</si>
  <si>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</si>
  <si>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</si>
  <si>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</si>
  <si>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</si>
  <si>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</si>
  <si>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</si>
  <si>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</si>
  <si>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</si>
  <si>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</si>
  <si>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</si>
  <si>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</si>
  <si>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</si>
  <si>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</si>
  <si>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</si>
  <si>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</si>
  <si>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</si>
  <si>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</si>
  <si>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</si>
  <si>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</si>
  <si>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</si>
  <si>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</si>
  <si>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</si>
  <si>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</si>
  <si>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</si>
  <si>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</si>
  <si>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</si>
  <si>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</si>
  <si>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</si>
  <si>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</si>
  <si>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</si>
  <si>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</si>
  <si>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</si>
  <si>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</si>
  <si>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</si>
  <si>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</si>
  <si>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</si>
  <si>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</si>
  <si>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</si>
  <si>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</si>
  <si>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</si>
  <si>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</si>
  <si>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</si>
  <si>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</si>
  <si>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</si>
  <si>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</si>
  <si>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</si>
  <si>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</si>
  <si>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</si>
  <si>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</si>
  <si>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</si>
  <si>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</si>
  <si>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</si>
  <si>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</si>
  <si>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</si>
  <si>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</si>
  <si>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</si>
  <si>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</si>
  <si>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</si>
  <si>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</si>
  <si>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</si>
  <si>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</si>
  <si>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</si>
  <si>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</si>
  <si>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</si>
  <si>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</si>
  <si>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</si>
  <si>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</si>
  <si>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</si>
  <si>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</si>
  <si>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</si>
  <si>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</si>
  <si>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</si>
  <si>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</si>
  <si>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</si>
  <si>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</si>
  <si>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</si>
  <si>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</si>
  <si>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</si>
  <si>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</si>
  <si>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</si>
  <si>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</si>
  <si>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</si>
  <si>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</si>
  <si>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</si>
  <si>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</si>
  <si>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</si>
  <si>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</si>
  <si>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</si>
  <si>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</si>
  <si>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</si>
  <si>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</si>
  <si>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</si>
  <si>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</si>
  <si>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</si>
  <si>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</si>
  <si>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</si>
  <si>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</si>
  <si>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</si>
  <si>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</si>
  <si>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</si>
  <si>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</si>
  <si>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</si>
  <si>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</si>
  <si>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</si>
  <si>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</si>
  <si>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</si>
  <si>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</si>
  <si>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</si>
  <si>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</si>
  <si>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</si>
  <si>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</si>
  <si>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</si>
  <si>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</si>
  <si>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</si>
  <si>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</si>
  <si>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</si>
  <si>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</si>
  <si>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</si>
  <si>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</si>
  <si>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</si>
  <si>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</si>
  <si>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</si>
  <si>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</si>
  <si>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</si>
  <si>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</si>
  <si>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</si>
  <si>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</si>
  <si>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</si>
  <si>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</si>
  <si>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</si>
  <si>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</si>
  <si>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</si>
  <si>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</si>
  <si>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</si>
  <si>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</si>
  <si>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</si>
  <si>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</si>
  <si>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</si>
  <si>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</si>
  <si>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</si>
  <si>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</si>
  <si>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</si>
  <si>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</si>
  <si>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</si>
  <si>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</si>
  <si>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</si>
  <si>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</si>
  <si>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</si>
  <si>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</si>
  <si>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</si>
  <si>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</si>
  <si>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</si>
  <si>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</si>
  <si>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</si>
  <si>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</si>
  <si>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</si>
  <si>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</si>
  <si>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</si>
  <si>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</si>
  <si>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</si>
  <si>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</si>
  <si>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</si>
  <si>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</si>
  <si>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</si>
  <si>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</si>
  <si>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</si>
  <si>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</si>
  <si>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</si>
  <si>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</si>
  <si>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</si>
  <si>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</si>
  <si>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</si>
  <si>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</si>
  <si>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</si>
  <si>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</si>
  <si>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</si>
  <si>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</si>
  <si>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</si>
  <si>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</si>
  <si>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</si>
  <si>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</si>
  <si>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</si>
  <si>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</si>
  <si>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</si>
  <si>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</si>
  <si>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</si>
  <si>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</si>
  <si>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</si>
  <si>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</si>
  <si>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</si>
  <si>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</si>
  <si>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</si>
  <si>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</si>
  <si>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</si>
  <si>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</si>
  <si>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</si>
  <si>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</si>
  <si>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</si>
  <si>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</si>
  <si>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</si>
  <si>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</si>
  <si>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</si>
  <si>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</si>
  <si>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</si>
  <si>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</si>
  <si>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</si>
  <si>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</si>
  <si>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</si>
  <si>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</si>
  <si>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</si>
  <si>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</si>
  <si>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</si>
  <si>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</si>
  <si>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</si>
  <si>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</si>
  <si>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</si>
  <si>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</si>
  <si>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</si>
  <si>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</si>
  <si>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</si>
  <si>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</si>
  <si>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</si>
  <si>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</si>
  <si>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</si>
  <si>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</si>
  <si>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</si>
  <si>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</si>
  <si>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</si>
  <si>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</si>
  <si>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</si>
  <si>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</si>
  <si>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</si>
  <si>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</si>
  <si>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</si>
  <si>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</si>
  <si>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</si>
  <si>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</si>
  <si>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</si>
  <si>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</si>
  <si>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</si>
  <si>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</si>
  <si>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</si>
  <si>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</si>
  <si>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</si>
  <si>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</si>
  <si>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</si>
  <si>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</si>
  <si>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</si>
  <si>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</si>
  <si>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</si>
  <si>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Smart Thermostat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</si>
</sst>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43599.32802523148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629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43599.32802523148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Smart Thermostat</v>
      </c>
      <c r="J2" t="s">
        <v>55</v>
      </c>
    </row>
    <row r="3" ht="12.75">
      <c r="J3" s="35">
        <f>+Title_RESULTS!I4</f>
        <v>43599.32802523148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629</v>
      </c>
      <c r="H5" t="s">
        <v>59</v>
      </c>
    </row>
    <row r="6" spans="3:7" ht="12.75">
      <c r="C6" t="s">
        <v>61</v>
      </c>
      <c r="G6" s="36">
        <f>+'Value of Defferal'!E3</f>
        <v>385.356360678925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6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38.08180325167729</v>
      </c>
      <c r="D19" s="5">
        <f>IF((Title_RESULTS!$H$8-Title_RESULTS!$H$7)&lt;=('Sheet3(F_21)'!A19-Title_RESULTS!$H$7),((Title_RESULTS!$C$8*Partcipation!$C$26*8760*Title_RESULTS!$H$21/100000)),0)</f>
        <v>501.6264178978472</v>
      </c>
      <c r="E19" s="5">
        <f>IF($G19=0,0,((Title_RESULTS!$H$14*((1+Title_RESULTS!$H$15/100)^($A19-Title_RESULTS!$H$7))*'EUE_Line Losses'!$B$25*Partcipation!$C$26))/1000)</f>
        <v>3.9391573266155944</v>
      </c>
      <c r="F19" s="5">
        <f>IF($G19=0,0,(Title_RESULTS!$H$19/100*((1+Title_RESULTS!$H$20/100)^($A19-Title_RESULTS!$H$7))*$D19*1000)/1000)</f>
        <v>1.1310962563324634</v>
      </c>
      <c r="G19" s="5">
        <f>(+Title_RESULTS!$H$22/100*((1+Title_RESULTS!$H$23/100)^(+'Sheet4(F_22)'!A19-Title_RESULTS!$H$7)))*'Sheet3(F_21)'!D19</f>
        <v>21.491125254931433</v>
      </c>
      <c r="H19" s="5">
        <f>IF($G19=0,0,(($D19))*(Partcipation!$G19/100))</f>
        <v>15.914738072378746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48.72844401717804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38.99576652971754</v>
      </c>
      <c r="D20" s="5">
        <f>IF((Title_RESULTS!$H$8-Title_RESULTS!$H$7)&lt;=('Sheet3(F_21)'!A20-Title_RESULTS!$H$7),((Title_RESULTS!$C$8*Partcipation!$C$26*8760*Title_RESULTS!$H$21/100000)),0)</f>
        <v>501.6264178978472</v>
      </c>
      <c r="E20" s="5">
        <f>IF($G20=0,0,((Title_RESULTS!$H$14*((1+Title_RESULTS!$H$15/100)^($A20-Title_RESULTS!$H$7))*'EUE_Line Losses'!$B$25*Partcipation!$C$26))/1000)</f>
        <v>4.033697102454368</v>
      </c>
      <c r="F20" s="5">
        <f>IF($G20=0,0,(Title_RESULTS!$H$19/100*((1+Title_RESULTS!$H$20/100)^($A20-Title_RESULTS!$H$7))*$D20*1000)/1000)</f>
        <v>1.1582425664844425</v>
      </c>
      <c r="G20" s="5">
        <f>(+Title_RESULTS!$H$22/100*((1+Title_RESULTS!$H$23/100)^(+'Sheet4(F_22)'!A20-Title_RESULTS!$H$7)))*'Sheet3(F_21)'!D20</f>
        <v>22.466822341505324</v>
      </c>
      <c r="H20" s="5">
        <f>IF($G20=0,0,(($D20))*(Partcipation!$G20/100))</f>
        <v>16.62667437459601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50.02785416556567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39.93166492643077</v>
      </c>
      <c r="D21" s="5">
        <f>IF((Title_RESULTS!$H$8-Title_RESULTS!$H$7)&lt;=('Sheet3(F_21)'!A21-Title_RESULTS!$H$7),((Title_RESULTS!$C$8*Partcipation!$C$26*8760*Title_RESULTS!$H$21/100000)),0)</f>
        <v>501.6264178978472</v>
      </c>
      <c r="E21" s="5">
        <f>IF($G21=0,0,((Title_RESULTS!$H$14*((1+Title_RESULTS!$H$15/100)^($A21-Title_RESULTS!$H$7))*'EUE_Line Losses'!$B$25*Partcipation!$C$26))/1000)</f>
        <v>4.130505832913274</v>
      </c>
      <c r="F21" s="5">
        <f>IF($G21=0,0,(Title_RESULTS!$H$19/100*((1+Title_RESULTS!$H$20/100)^($A21-Title_RESULTS!$H$7))*$D21*1000)/1000)</f>
        <v>1.1860403880800692</v>
      </c>
      <c r="G21" s="5">
        <f>(+Title_RESULTS!$H$22/100*((1+Title_RESULTS!$H$23/100)^(+'Sheet4(F_22)'!A21-Title_RESULTS!$H$7)))*'Sheet3(F_21)'!D21</f>
        <v>23.486816075809667</v>
      </c>
      <c r="H21" s="5">
        <f>IF($G21=0,0,(($D21))*(Partcipation!$G21/100))</f>
        <v>17.285561436161583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51.4494657870722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40.8900248846651</v>
      </c>
      <c r="D22" s="5">
        <f>IF((Title_RESULTS!$H$8-Title_RESULTS!$H$7)&lt;=('Sheet3(F_21)'!A22-Title_RESULTS!$H$7),((Title_RESULTS!$C$8*Partcipation!$C$26*8760*Title_RESULTS!$H$21/100000)),0)</f>
        <v>501.6264178978472</v>
      </c>
      <c r="E22" s="5">
        <f>IF($G22=0,0,((Title_RESULTS!$H$14*((1+Title_RESULTS!$H$15/100)^($A22-Title_RESULTS!$H$7))*'EUE_Line Losses'!$B$25*Partcipation!$C$26))/1000)</f>
        <v>4.229637972903191</v>
      </c>
      <c r="F22" s="5">
        <f>IF($G22=0,0,(Title_RESULTS!$H$19/100*((1+Title_RESULTS!$H$20/100)^($A22-Title_RESULTS!$H$7))*$D22*1000)/1000)</f>
        <v>1.2145053573939908</v>
      </c>
      <c r="G22" s="5">
        <f>(+Title_RESULTS!$H$22/100*((1+Title_RESULTS!$H$23/100)^(+'Sheet4(F_22)'!A22-Title_RESULTS!$H$7)))*'Sheet3(F_21)'!D22</f>
        <v>24.55311752565143</v>
      </c>
      <c r="H22" s="5">
        <f>IF($G22=0,0,(($D22))*(Partcipation!$G22/100))</f>
        <v>17.84561980513959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53.04166593547413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41.87138548189707</v>
      </c>
      <c r="D23" s="5">
        <f>IF((Title_RESULTS!$H$8-Title_RESULTS!$H$7)&lt;=('Sheet3(F_21)'!A23-Title_RESULTS!$H$7),((Title_RESULTS!$C$8*Partcipation!$C$26*8760*Title_RESULTS!$H$21/100000)),0)</f>
        <v>501.6264178978472</v>
      </c>
      <c r="E23" s="5">
        <f>IF($G23=0,0,((Title_RESULTS!$H$14*((1+Title_RESULTS!$H$15/100)^($A23-Title_RESULTS!$H$7))*'EUE_Line Losses'!$B$25*Partcipation!$C$26))/1000)</f>
        <v>4.331149284252868</v>
      </c>
      <c r="F23" s="5">
        <f>IF($G23=0,0,(Title_RESULTS!$H$19/100*((1+Title_RESULTS!$H$20/100)^($A23-Title_RESULTS!$H$7))*$D23*1000)/1000)</f>
        <v>1.2436534859714465</v>
      </c>
      <c r="G23" s="5">
        <f>(+Title_RESULTS!$H$22/100*((1+Title_RESULTS!$H$23/100)^(+'Sheet4(F_22)'!A23-Title_RESULTS!$H$7)))*'Sheet3(F_21)'!D23</f>
        <v>25.66782906131601</v>
      </c>
      <c r="H23" s="5">
        <f>IF($G23=0,0,(($D23))*(Partcipation!$G23/100))</f>
        <v>18.64438383902492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54.46963347441248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42.8762987334626</v>
      </c>
      <c r="D24" s="5">
        <f>IF((Title_RESULTS!$H$8-Title_RESULTS!$H$7)&lt;=('Sheet3(F_21)'!A24-Title_RESULTS!$H$7),((Title_RESULTS!$C$8*Partcipation!$C$26*8760*Title_RESULTS!$H$21/100000)),0)</f>
        <v>501.6264178978472</v>
      </c>
      <c r="E24" s="5">
        <f>IF($G24=0,0,((Title_RESULTS!$H$14*((1+Title_RESULTS!$H$15/100)^($A24-Title_RESULTS!$H$7))*'EUE_Line Losses'!$B$25*Partcipation!$C$26))/1000)</f>
        <v>4.435096867074936</v>
      </c>
      <c r="F24" s="5">
        <f>IF($G24=0,0,(Title_RESULTS!$H$19/100*((1+Title_RESULTS!$H$20/100)^($A24-Title_RESULTS!$H$7))*$D24*1000)/1000)</f>
        <v>1.2735011696347613</v>
      </c>
      <c r="G24" s="5">
        <f>(+Title_RESULTS!$H$22/100*((1+Title_RESULTS!$H$23/100)^(+'Sheet4(F_22)'!A24-Title_RESULTS!$H$7)))*'Sheet3(F_21)'!D24</f>
        <v>26.83314850069976</v>
      </c>
      <c r="H24" s="5">
        <f>IF($G24=0,0,(($D24))*(Partcipation!$G24/100))</f>
        <v>20.066286401304282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55.35175886956776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43.9053299030657</v>
      </c>
      <c r="D25" s="5">
        <f>IF((Title_RESULTS!$H$8-Title_RESULTS!$H$7)&lt;=('Sheet3(F_21)'!A25-Title_RESULTS!$H$7),((Title_RESULTS!$C$8*Partcipation!$C$26*8760*Title_RESULTS!$H$21/100000)),0)</f>
        <v>501.6264178978472</v>
      </c>
      <c r="E25" s="5">
        <f>IF($G25=0,0,((Title_RESULTS!$H$14*((1+Title_RESULTS!$H$15/100)^($A25-Title_RESULTS!$H$7))*'EUE_Line Losses'!$B$25*Partcipation!$C$26))/1000)</f>
        <v>4.541539191884735</v>
      </c>
      <c r="F25" s="5">
        <f>IF($G25=0,0,(Title_RESULTS!$H$19/100*((1+Title_RESULTS!$H$20/100)^($A25-Title_RESULTS!$H$7))*$D25*1000)/1000)</f>
        <v>1.3040651977059954</v>
      </c>
      <c r="G25" s="5">
        <f>(+Title_RESULTS!$H$22/100*((1+Title_RESULTS!$H$23/100)^(+'Sheet4(F_22)'!A25-Title_RESULTS!$H$7)))*'Sheet3(F_21)'!D25</f>
        <v>28.05137344263153</v>
      </c>
      <c r="H25" s="5">
        <f>IF($G25=0,0,(($D25))*(Partcipation!$G25/100))</f>
        <v>20.94690849430657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56.8553992409814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44.959057820739275</v>
      </c>
      <c r="D26" s="5">
        <f>IF((Title_RESULTS!$H$8-Title_RESULTS!$H$7)&lt;=('Sheet3(F_21)'!A26-Title_RESULTS!$H$7),((Title_RESULTS!$C$8*Partcipation!$C$26*8760*Title_RESULTS!$H$21/100000)),0)</f>
        <v>501.6264178978472</v>
      </c>
      <c r="E26" s="5">
        <f>IF($G26=0,0,((Title_RESULTS!$H$14*((1+Title_RESULTS!$H$15/100)^($A26-Title_RESULTS!$H$7))*'EUE_Line Losses'!$B$25*Partcipation!$C$26))/1000)</f>
        <v>4.650536132489969</v>
      </c>
      <c r="F26" s="5">
        <f>IF($G26=0,0,(Title_RESULTS!$H$19/100*((1+Title_RESULTS!$H$20/100)^($A26-Title_RESULTS!$H$7))*$D26*1000)/1000)</f>
        <v>1.3353627624509392</v>
      </c>
      <c r="G26" s="5">
        <f>(+Title_RESULTS!$H$22/100*((1+Title_RESULTS!$H$23/100)^(+'Sheet4(F_22)'!A26-Title_RESULTS!$H$7)))*'Sheet3(F_21)'!D26</f>
        <v>29.324905796927005</v>
      </c>
      <c r="H26" s="5">
        <f>IF($G26=0,0,(($D26))*(Partcipation!$G26/100))</f>
        <v>22.504372027022786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57.76549048558441</v>
      </c>
    </row>
    <row r="27" spans="3:10" ht="12.75">
      <c r="C27" s="5"/>
      <c r="D27" s="5"/>
      <c r="E27" s="5"/>
      <c r="F27" s="5"/>
      <c r="G27" s="5"/>
      <c r="H27" s="5"/>
      <c r="I27" s="5"/>
      <c r="J27" s="5"/>
    </row>
    <row r="28" spans="1:10" ht="12.75">
      <c r="A28" t="s">
        <v>87</v>
      </c>
      <c r="B28" s="9"/>
      <c r="C28" s="9">
        <f aca="true" t="shared" si="1" ref="C28:J28">SUM(C16:C27)</f>
        <v>331.5113315316553</v>
      </c>
      <c r="D28" s="9">
        <f t="shared" si="1"/>
        <v>4013.0113431827776</v>
      </c>
      <c r="E28" s="9">
        <f t="shared" si="1"/>
        <v>34.29131971058893</v>
      </c>
      <c r="F28" s="9">
        <f t="shared" si="1"/>
        <v>9.846467184054108</v>
      </c>
      <c r="G28" s="9">
        <f t="shared" si="1"/>
        <v>201.87513799947214</v>
      </c>
      <c r="H28" s="9">
        <f t="shared" si="1"/>
        <v>149.8345444499345</v>
      </c>
      <c r="I28" s="9">
        <f t="shared" si="1"/>
        <v>0</v>
      </c>
      <c r="J28" s="9">
        <f t="shared" si="1"/>
        <v>427.6897119758361</v>
      </c>
    </row>
    <row r="29" spans="3:10" ht="12.75"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89</v>
      </c>
      <c r="C30" s="5">
        <f>NPV(Title_RESULTS!$C$37,C17:C27)+'Sheet3(F_21)'!C16</f>
        <v>213.317912445919</v>
      </c>
      <c r="D30" s="5"/>
      <c r="E30" s="5">
        <f>NPV(Title_RESULTS!$C$37,E17:E27)+'Sheet3(F_21)'!E16</f>
        <v>22.065468175346332</v>
      </c>
      <c r="F30" s="5">
        <f>NPV(Title_RESULTS!$C$37,F17:F27)+'Sheet3(F_21)'!F16</f>
        <v>6.33591562305044</v>
      </c>
      <c r="G30" s="5">
        <f>NPV(Title_RESULTS!$C$37,G17:G27)+'Sheet3(F_21)'!G16</f>
        <v>128.94078864415272</v>
      </c>
      <c r="H30" s="5">
        <f>NPV(Title_RESULTS!$C$37,H17:H27)+'Sheet3(F_21)'!H16</f>
        <v>95.5566884874115</v>
      </c>
      <c r="I30" s="5">
        <f>NPV(Title_RESULTS!$C$37,I17:I27)+'Sheet3(F_21)'!I16</f>
        <v>0</v>
      </c>
      <c r="J30" s="5">
        <f>NPV(Title_RESULTS!$C$37,J17:J27)+'Sheet3(F_21)'!J16</f>
        <v>275.10339640105695</v>
      </c>
    </row>
    <row r="32" ht="12.75">
      <c r="A32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Smart Thermostat</v>
      </c>
      <c r="F2" t="s">
        <v>55</v>
      </c>
    </row>
    <row r="3" spans="6:7" ht="12.75">
      <c r="F3" s="35">
        <f>+Title_RESULTS!I4</f>
        <v>43599.32802523148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138.66525423728814</v>
      </c>
      <c r="C16" s="5">
        <f>$B16*'Sheet2(F_12)'!$E16/100</f>
        <v>4.022276374192162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4.022276374192162</v>
      </c>
      <c r="G16" s="5">
        <f>+$F16*'Sheet2(F_12)'!$I16</f>
        <v>4.022276374192162</v>
      </c>
    </row>
    <row r="17" spans="1:7" ht="12.75">
      <c r="A17">
        <f>+A16+1</f>
        <v>2021</v>
      </c>
      <c r="B17" s="5">
        <f>(+Partcipation!$C16+(Partcipation!$C17-Partcipation!$C16)/2)*Title_RESULTS!$C$10/1000</f>
        <v>415.9957627118644</v>
      </c>
      <c r="C17" s="5">
        <f>$B17*'Sheet2(F_12)'!$E17/100</f>
        <v>11.968679305974769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11.968679305974769</v>
      </c>
      <c r="G17" s="5">
        <f>+$F17*'Sheet2(F_12)'!$I17</f>
        <v>11.968679305974769</v>
      </c>
    </row>
    <row r="18" spans="1:7" ht="12.75">
      <c r="A18">
        <f>+A17+1</f>
        <v>2022</v>
      </c>
      <c r="B18" s="5">
        <f>(+Partcipation!$C17+(Partcipation!$C18-Partcipation!$C17)/2)*Title_RESULTS!$C$10/1000</f>
        <v>693.3262711864407</v>
      </c>
      <c r="C18" s="5">
        <f>$B18*'Sheet2(F_12)'!$E18/100</f>
        <v>20.587463560611926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20.587463560611926</v>
      </c>
      <c r="G18" s="5">
        <f>+$F18*'Sheet2(F_12)'!$I18</f>
        <v>20.587463560611926</v>
      </c>
    </row>
    <row r="19" spans="1:7" ht="12.75">
      <c r="A19">
        <f aca="true" t="shared" si="0" ref="A19:A26">+A18+1</f>
        <v>2023</v>
      </c>
      <c r="B19" s="5">
        <f>(+Partcipation!$C18+(Partcipation!$C19-Partcipation!$C18)/2)*Title_RESULTS!$C$10/1000</f>
        <v>831.9915254237288</v>
      </c>
      <c r="C19" s="5">
        <f>$B19*'Sheet2(F_12)'!$E19/100</f>
        <v>25.718447319286437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6">+C19-E19</f>
        <v>25.718447319286437</v>
      </c>
      <c r="G19" s="5">
        <f>+$F19*'Sheet2(F_12)'!$I19</f>
        <v>25.718447319286437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831.9915254237288</v>
      </c>
      <c r="C20" s="5">
        <f>$B20*'Sheet2(F_12)'!$E20/100</f>
        <v>26.729085360323857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26.729085360323857</v>
      </c>
      <c r="G20" s="5">
        <f>+$F20*'Sheet2(F_12)'!$I20</f>
        <v>26.729085360323857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831.9915254237288</v>
      </c>
      <c r="C21" s="5">
        <f>$B21*'Sheet2(F_12)'!$E21/100</f>
        <v>28.69899047577587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28.69899047577587</v>
      </c>
      <c r="G21" s="5">
        <f>+$F21*'Sheet2(F_12)'!$I21</f>
        <v>28.69899047577587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831.9915254237288</v>
      </c>
      <c r="C22" s="5">
        <f>$B22*'Sheet2(F_12)'!$E22/100</f>
        <v>29.619499821027784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29.619499821027784</v>
      </c>
      <c r="G22" s="5">
        <f>+$F22*'Sheet2(F_12)'!$I22</f>
        <v>29.619499821027784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831.9915254237288</v>
      </c>
      <c r="C23" s="5">
        <f>$B23*'Sheet2(F_12)'!$E23/100</f>
        <v>31.47058598889405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31.47058598889405</v>
      </c>
      <c r="G23" s="5">
        <f>+$F23*'Sheet2(F_12)'!$I23</f>
        <v>31.47058598889405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831.9915254237288</v>
      </c>
      <c r="C24" s="5">
        <f>$B24*'Sheet2(F_12)'!$E24/100</f>
        <v>34.87304855129511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34.87304855129511</v>
      </c>
      <c r="G24" s="5">
        <f>+$F24*'Sheet2(F_12)'!$I24</f>
        <v>34.87304855129511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831.9915254237288</v>
      </c>
      <c r="C25" s="5">
        <f>$B25*'Sheet2(F_12)'!$E25/100</f>
        <v>37.361738158811235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37.361738158811235</v>
      </c>
      <c r="G25" s="5">
        <f>+$F25*'Sheet2(F_12)'!$I25</f>
        <v>37.361738158811235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831.9915254237288</v>
      </c>
      <c r="C26" s="5">
        <f>$B26*'Sheet2(F_12)'!$E26/100</f>
        <v>41.730991675373446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41.730991675373446</v>
      </c>
      <c r="G26" s="5">
        <f>+$F26*'Sheet2(F_12)'!$I26</f>
        <v>41.730991675373446</v>
      </c>
    </row>
    <row r="27" spans="2:7" ht="12.75">
      <c r="B27" s="5"/>
      <c r="C27" s="5"/>
      <c r="D27" s="5"/>
      <c r="E27" s="5"/>
      <c r="F27" s="5"/>
      <c r="G27" s="5"/>
    </row>
    <row r="28" spans="1:7" ht="12.75">
      <c r="A28" t="s">
        <v>87</v>
      </c>
      <c r="B28" s="5">
        <f aca="true" t="shared" si="2" ref="B28:G28">SUM(B16:B27)</f>
        <v>7903.919491525423</v>
      </c>
      <c r="C28" s="5">
        <f t="shared" si="2"/>
        <v>292.78080659156666</v>
      </c>
      <c r="D28" s="5">
        <f t="shared" si="2"/>
        <v>0</v>
      </c>
      <c r="E28" s="5">
        <f t="shared" si="2"/>
        <v>0</v>
      </c>
      <c r="F28" s="5">
        <f t="shared" si="2"/>
        <v>292.78080659156666</v>
      </c>
      <c r="G28" s="5">
        <f t="shared" si="2"/>
        <v>292.78080659156666</v>
      </c>
    </row>
    <row r="29" spans="2:7" ht="12.75">
      <c r="B29" s="5"/>
      <c r="C29" s="5"/>
      <c r="D29" s="5"/>
      <c r="E29" s="5"/>
      <c r="F29" s="5"/>
      <c r="G29" s="5"/>
    </row>
    <row r="30" spans="1:7" ht="12.75">
      <c r="A30" t="s">
        <v>118</v>
      </c>
      <c r="B30" s="5"/>
      <c r="C30" s="5">
        <f>NPV(+Title_RESULTS!$C$37,C17:C27)+C16</f>
        <v>195.37973220162812</v>
      </c>
      <c r="D30" s="5"/>
      <c r="E30" s="5">
        <f>NPV(+Title_RESULTS!$C$37,E17:E27)+E16</f>
        <v>0</v>
      </c>
      <c r="F30" s="5">
        <f>NPV(+Title_RESULTS!$C$37,F17:F27)+F16</f>
        <v>195.37973220162812</v>
      </c>
      <c r="G30" s="5">
        <f>NPV(+Title_RESULTS!$C$37,G17:G27)+G16</f>
        <v>195.37973220162812</v>
      </c>
    </row>
    <row r="31" spans="6:7" ht="12.75">
      <c r="F31" s="9"/>
      <c r="G31" s="9"/>
    </row>
    <row r="32" ht="12.75">
      <c r="A32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Smart Thermostat</v>
      </c>
      <c r="J2" t="s">
        <v>42</v>
      </c>
    </row>
    <row r="3" spans="9:10" ht="12.75">
      <c r="I3" s="4"/>
      <c r="J3" s="35">
        <f>+Title_RESULTS!I4</f>
        <v>43599.32802523148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6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14" ht="15">
      <c r="B31" s="28"/>
      <c r="C31" s="28"/>
      <c r="D31" s="10"/>
      <c r="E31" s="10"/>
      <c r="N31" s="64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Smart Thermostat</v>
      </c>
      <c r="H2" t="s">
        <v>108</v>
      </c>
    </row>
    <row r="3" ht="12.75">
      <c r="H3" s="35">
        <f>+Title_RESULTS!I4</f>
        <v>43599.32802523148</v>
      </c>
    </row>
    <row r="5" spans="3:6" ht="12.75">
      <c r="C5" t="s">
        <v>60</v>
      </c>
      <c r="F5" s="38">
        <f>+'Value of Defferal'!L4</f>
        <v>22.4789504</v>
      </c>
    </row>
    <row r="6" spans="3:6" ht="12.75">
      <c r="C6" t="s">
        <v>62</v>
      </c>
      <c r="F6" s="38">
        <f>+'Value of Defferal'!L5</f>
        <v>59.71759104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4.022276374192162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2.2214216600157677</v>
      </c>
      <c r="C17" s="5">
        <f>IF(+Title_RESULTS!$H$9&lt;='Sheet4(F_22)'!$A17,(+Title_RESULTS!$H$16*((1+Title_RESULTS!$H$18/100)^('Sheet4(F_22)'!$A17-Title_RESULTS!$H$7))*Title_RESULTS!$C$8*Partcipation!$C$26/1000),0)</f>
        <v>1.7913467263261575</v>
      </c>
      <c r="D17" s="5">
        <f>(+B17+C17)*+Partcipation!$H17</f>
        <v>4.012768386341925</v>
      </c>
      <c r="E17" s="5">
        <f>VLOOKUP(A17,'Value of Defferal'!$I24:$P$58,'Value of Defferal'!$K$13)</f>
        <v>5.901429909299482</v>
      </c>
      <c r="F17" s="5">
        <f>IF(+'Value of Defferal'!P24=0,0,Title_RESULTS!$H$17*Title_RESULTS!$C$7*Partcipation!$C$26*(1+Title_RESULTS!$H$18/100)^('Sheet4(F_22)'!A17-Title_RESULTS!$H$7))/1000</f>
        <v>8.22140928</v>
      </c>
      <c r="G17" s="5">
        <f>(+E17+F17)*Partcipation!$H17</f>
        <v>14.122839189299482</v>
      </c>
      <c r="H17" s="5">
        <f>+'Sheet5(p_5)'!$F17*'Sheet2(F_12)'!$I17</f>
        <v>11.968679305974769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2.274735779856146</v>
      </c>
      <c r="C18" s="5">
        <f>IF(+Title_RESULTS!$H$9&lt;='Sheet4(F_22)'!$A18,(+Title_RESULTS!$H$16*((1+Title_RESULTS!$H$18/100)^('Sheet4(F_22)'!$A18-Title_RESULTS!$H$7))*Title_RESULTS!$C$8*Partcipation!$C$26/1000),0)</f>
        <v>1.8343390477579848</v>
      </c>
      <c r="D18" s="5">
        <f>(+B18+C18)*+Partcipation!$H18</f>
        <v>4.109074827614131</v>
      </c>
      <c r="E18" s="5">
        <f>VLOOKUP(A18,'Value of Defferal'!$I25:$P$58,'Value of Defferal'!$K$13)</f>
        <v>6.043064227122669</v>
      </c>
      <c r="F18" s="5">
        <f>IF(+'Value of Defferal'!P25=0,0,Title_RESULTS!$H$17*Title_RESULTS!$C$7*Partcipation!$C$26*(1+Title_RESULTS!$H$18/100)^('Sheet4(F_22)'!A18-Title_RESULTS!$H$7))/1000</f>
        <v>8.41872310272</v>
      </c>
      <c r="G18" s="5">
        <f>(+E18+F18)*Partcipation!$H18</f>
        <v>14.461787329842668</v>
      </c>
      <c r="H18" s="5">
        <f>+'Sheet5(p_5)'!$F18*'Sheet2(F_12)'!$I18</f>
        <v>20.587463560611926</v>
      </c>
      <c r="I18" s="5"/>
      <c r="J18" s="5"/>
    </row>
    <row r="19" spans="1:10" ht="12.75">
      <c r="A19">
        <f aca="true" t="shared" si="0" ref="A19:A26">+A18+1</f>
        <v>2023</v>
      </c>
      <c r="B19" s="5">
        <f>VLOOKUP(A19,'Value of Defferal'!$I26:$P$58,'Value of Defferal'!$K$9)</f>
        <v>2.3293294385726937</v>
      </c>
      <c r="C19" s="5">
        <f>IF(+Title_RESULTS!$H$9&lt;='Sheet4(F_22)'!$A19,(+Title_RESULTS!$H$16*((1+Title_RESULTS!$H$18/100)^('Sheet4(F_22)'!$A19-Title_RESULTS!$H$7))*Title_RESULTS!$C$8*Partcipation!$C$26/1000),0)</f>
        <v>1.8783631849041766</v>
      </c>
      <c r="D19" s="5">
        <f>(+B19+C19)*+Partcipation!$H19</f>
        <v>4.20769262347687</v>
      </c>
      <c r="E19" s="5">
        <f>VLOOKUP(A19,'Value of Defferal'!$I26:$P$58,'Value of Defferal'!$K$13)</f>
        <v>6.188097768573614</v>
      </c>
      <c r="F19" s="5">
        <f>IF(+'Value of Defferal'!P26=0,0,Title_RESULTS!$H$17*Title_RESULTS!$C$7*Partcipation!$C$26*(1+Title_RESULTS!$H$18/100)^('Sheet4(F_22)'!A19-Title_RESULTS!$H$7))/1000</f>
        <v>8.620772457185282</v>
      </c>
      <c r="G19" s="5">
        <f>(+E19+F19)*Partcipation!$H19</f>
        <v>14.808870225758895</v>
      </c>
      <c r="H19" s="5">
        <f>+'Sheet5(p_5)'!$F19*'Sheet2(F_12)'!$I19</f>
        <v>25.718447319286437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2.385233345098438</v>
      </c>
      <c r="C20" s="5">
        <f>IF(+Title_RESULTS!$H$9&lt;='Sheet4(F_22)'!$A20,(+Title_RESULTS!$H$16*((1+Title_RESULTS!$H$18/100)^('Sheet4(F_22)'!$A20-Title_RESULTS!$H$7))*Title_RESULTS!$C$8*Partcipation!$C$26/1000),0)</f>
        <v>1.9234439013418771</v>
      </c>
      <c r="D20" s="5">
        <f>(+B20+C20)*+Partcipation!$H20</f>
        <v>4.308677246440316</v>
      </c>
      <c r="E20" s="5">
        <f>VLOOKUP(A20,'Value of Defferal'!$I27:$P$58,'Value of Defferal'!$K$13)</f>
        <v>6.33661211501938</v>
      </c>
      <c r="F20" s="5">
        <f>IF(+'Value of Defferal'!P27=0,0,Title_RESULTS!$H$17*Title_RESULTS!$C$7*Partcipation!$C$26*(1+Title_RESULTS!$H$18/100)^('Sheet4(F_22)'!A20-Title_RESULTS!$H$7))/1000</f>
        <v>8.827670996157726</v>
      </c>
      <c r="G20" s="5">
        <f>(+E20+F20)*Partcipation!$H20</f>
        <v>15.164283111177106</v>
      </c>
      <c r="H20" s="5">
        <f>+'Sheet5(p_5)'!$F20*'Sheet2(F_12)'!$I20</f>
        <v>26.729085360323857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2.4424789453808007</v>
      </c>
      <c r="C21" s="5">
        <f>IF(+Title_RESULTS!$H$9&lt;='Sheet4(F_22)'!$A21,(+Title_RESULTS!$H$16*((1+Title_RESULTS!$H$18/100)^('Sheet4(F_22)'!$A21-Title_RESULTS!$H$7))*Title_RESULTS!$C$8*Partcipation!$C$26/1000),0)</f>
        <v>1.9696065549740824</v>
      </c>
      <c r="D21" s="5">
        <f>(+B21+C21)*+Partcipation!$H21</f>
        <v>4.412085500354883</v>
      </c>
      <c r="E21" s="5">
        <f>VLOOKUP(A21,'Value of Defferal'!$I28:$P$58,'Value of Defferal'!$K$13)</f>
        <v>6.488690805779846</v>
      </c>
      <c r="F21" s="5">
        <f>IF(+'Value of Defferal'!P28=0,0,Title_RESULTS!$H$17*Title_RESULTS!$C$7*Partcipation!$C$26*(1+Title_RESULTS!$H$18/100)^('Sheet4(F_22)'!A21-Title_RESULTS!$H$7))/1000</f>
        <v>9.039535100065514</v>
      </c>
      <c r="G21" s="5">
        <f>(+E21+F21)*Partcipation!$H21</f>
        <v>15.52822590584536</v>
      </c>
      <c r="H21" s="5">
        <f>+'Sheet5(p_5)'!$F21*'Sheet2(F_12)'!$I21</f>
        <v>28.69899047577587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2.5010984400699403</v>
      </c>
      <c r="C22" s="5">
        <f>IF(+Title_RESULTS!$H$9&lt;='Sheet4(F_22)'!$A22,(+Title_RESULTS!$H$16*((1+Title_RESULTS!$H$18/100)^('Sheet4(F_22)'!$A22-Title_RESULTS!$H$7))*Title_RESULTS!$C$8*Partcipation!$C$26/1000),0)</f>
        <v>2.01687711229346</v>
      </c>
      <c r="D22" s="5">
        <f>(+B22+C22)*+Partcipation!$H22</f>
        <v>4.5179755523634</v>
      </c>
      <c r="E22" s="5">
        <f>VLOOKUP(A22,'Value of Defferal'!$I29:$P$58,'Value of Defferal'!$K$13)</f>
        <v>6.644419385118562</v>
      </c>
      <c r="F22" s="5">
        <f>IF(+'Value of Defferal'!P29=0,0,Title_RESULTS!$H$17*Title_RESULTS!$C$7*Partcipation!$C$26*(1+Title_RESULTS!$H$18/100)^('Sheet4(F_22)'!A22-Title_RESULTS!$H$7))/1000</f>
        <v>9.256483942467085</v>
      </c>
      <c r="G22" s="5">
        <f>(+E22+F22)*Partcipation!$H22</f>
        <v>15.900903327585647</v>
      </c>
      <c r="H22" s="5">
        <f>+'Sheet5(p_5)'!$F22*'Sheet2(F_12)'!$I22</f>
        <v>29.619499821027784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2.5611248026316185</v>
      </c>
      <c r="C23" s="5">
        <f>IF(+Title_RESULTS!$H$9&lt;='Sheet4(F_22)'!$A23,(+Title_RESULTS!$H$16*((1+Title_RESULTS!$H$18/100)^('Sheet4(F_22)'!$A23-Title_RESULTS!$H$7))*Title_RESULTS!$C$8*Partcipation!$C$26/1000),0)</f>
        <v>2.0652821629885034</v>
      </c>
      <c r="D23" s="5">
        <f>(+B23+C23)*+Partcipation!$H23</f>
        <v>4.626406965620122</v>
      </c>
      <c r="E23" s="5">
        <f>VLOOKUP(A23,'Value of Defferal'!$I30:$P$58,'Value of Defferal'!$K$13)</f>
        <v>6.803885450361407</v>
      </c>
      <c r="F23" s="5">
        <f>IF(+'Value of Defferal'!P30=0,0,Title_RESULTS!$H$17*Title_RESULTS!$C$7*Partcipation!$C$26*(1+Title_RESULTS!$H$18/100)^('Sheet4(F_22)'!A23-Title_RESULTS!$H$7))/1000</f>
        <v>9.478639557086295</v>
      </c>
      <c r="G23" s="5">
        <f>(+E23+F23)*Partcipation!$H23</f>
        <v>16.282525007447703</v>
      </c>
      <c r="H23" s="5">
        <f>+'Sheet5(p_5)'!$F23*'Sheet2(F_12)'!$I23</f>
        <v>31.47058598889405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2.6225917978947773</v>
      </c>
      <c r="C24" s="5">
        <f>IF(+Title_RESULTS!$H$9&lt;='Sheet4(F_22)'!$A24,(+Title_RESULTS!$H$16*((1+Title_RESULTS!$H$18/100)^('Sheet4(F_22)'!$A24-Title_RESULTS!$H$7))*Title_RESULTS!$C$8*Partcipation!$C$26/1000),0)</f>
        <v>2.114848934900227</v>
      </c>
      <c r="D24" s="5">
        <f>(+B24+C24)*+Partcipation!$H24</f>
        <v>4.7374407327950045</v>
      </c>
      <c r="E24" s="5">
        <f>VLOOKUP(A24,'Value of Defferal'!$I31:$P$58,'Value of Defferal'!$K$13)</f>
        <v>6.967178701170081</v>
      </c>
      <c r="F24" s="5">
        <f>IF(+'Value of Defferal'!P31=0,0,Title_RESULTS!$H$17*Title_RESULTS!$C$7*Partcipation!$C$26*(1+Title_RESULTS!$H$18/100)^('Sheet4(F_22)'!A24-Title_RESULTS!$H$7))/1000</f>
        <v>9.706126906456365</v>
      </c>
      <c r="G24" s="5">
        <f>(+E24+F24)*Partcipation!$H24</f>
        <v>16.673305607626446</v>
      </c>
      <c r="H24" s="5">
        <f>+'Sheet5(p_5)'!$F24*'Sheet2(F_12)'!$I24</f>
        <v>34.87304855129511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2.6855340010442523</v>
      </c>
      <c r="C25" s="5">
        <f>IF(+Title_RESULTS!$H$9&lt;='Sheet4(F_22)'!$A25,(+Title_RESULTS!$H$16*((1+Title_RESULTS!$H$18/100)^('Sheet4(F_22)'!$A25-Title_RESULTS!$H$7))*Title_RESULTS!$C$8*Partcipation!$C$26/1000),0)</f>
        <v>2.1656053093378325</v>
      </c>
      <c r="D25" s="5">
        <f>(+B25+C25)*+Partcipation!$H25</f>
        <v>4.851139310382084</v>
      </c>
      <c r="E25" s="5">
        <f>VLOOKUP(A25,'Value of Defferal'!$I32:$P$58,'Value of Defferal'!$K$13)</f>
        <v>7.134390989998163</v>
      </c>
      <c r="F25" s="5">
        <f>IF(+'Value of Defferal'!P32=0,0,Title_RESULTS!$H$17*Title_RESULTS!$C$7*Partcipation!$C$26*(1+Title_RESULTS!$H$18/100)^('Sheet4(F_22)'!A25-Title_RESULTS!$H$7))/1000</f>
        <v>9.939073952211318</v>
      </c>
      <c r="G25" s="5">
        <f>(+E25+F25)*Partcipation!$H25</f>
        <v>17.073464942209483</v>
      </c>
      <c r="H25" s="5">
        <f>+'Sheet5(p_5)'!$F25*'Sheet2(F_12)'!$I25</f>
        <v>37.361738158811235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2.7499868170693147</v>
      </c>
      <c r="C26" s="5">
        <f>IF(+Title_RESULTS!$H$9&lt;='Sheet4(F_22)'!$A26,(+Title_RESULTS!$H$16*((1+Title_RESULTS!$H$18/100)^('Sheet4(F_22)'!$A26-Title_RESULTS!$H$7))*Title_RESULTS!$C$8*Partcipation!$C$26/1000),0)</f>
        <v>2.2175798367619404</v>
      </c>
      <c r="D26" s="5">
        <f>(+B26+C26)*+Partcipation!$H26</f>
        <v>4.9675666538312555</v>
      </c>
      <c r="E26" s="5">
        <f>VLOOKUP(A26,'Value of Defferal'!$I33:$P$58,'Value of Defferal'!$K$13)</f>
        <v>7.305616373758119</v>
      </c>
      <c r="F26" s="5">
        <f>IF(+'Value of Defferal'!P33=0,0,Title_RESULTS!$H$17*Title_RESULTS!$C$7*Partcipation!$C$26*(1+Title_RESULTS!$H$18/100)^('Sheet4(F_22)'!A26-Title_RESULTS!$H$7))/1000</f>
        <v>10.17761172706439</v>
      </c>
      <c r="G26" s="5">
        <f>(+E26+F26)*Partcipation!$H26</f>
        <v>17.483228100822508</v>
      </c>
      <c r="H26" s="5">
        <f>+'Sheet5(p_5)'!$F26*'Sheet2(F_12)'!$I26</f>
        <v>41.730991675373446</v>
      </c>
      <c r="I26" s="5"/>
      <c r="J26" s="5"/>
    </row>
    <row r="27" spans="2:10" ht="12.75"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t="s">
        <v>88</v>
      </c>
      <c r="B28" s="5">
        <f aca="true" t="shared" si="1" ref="B28:H28">SUM(B16:B27)</f>
        <v>24.77353502763375</v>
      </c>
      <c r="C28" s="5">
        <f t="shared" si="1"/>
        <v>19.977292771586242</v>
      </c>
      <c r="D28" s="5">
        <f t="shared" si="1"/>
        <v>44.75082779921999</v>
      </c>
      <c r="E28" s="5">
        <f t="shared" si="1"/>
        <v>65.81338572620132</v>
      </c>
      <c r="F28" s="5">
        <f t="shared" si="1"/>
        <v>91.68604702141397</v>
      </c>
      <c r="G28" s="5">
        <f t="shared" si="1"/>
        <v>157.49943274761532</v>
      </c>
      <c r="H28" s="5">
        <f t="shared" si="1"/>
        <v>292.78080659156666</v>
      </c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90</v>
      </c>
      <c r="B30" s="5">
        <f>NPV(Title_RESULTS!$C$37,'Sheet4(F_22)'!B17:B27)+'Sheet4(F_22)'!B16</f>
        <v>17.106322106272412</v>
      </c>
      <c r="C30" s="5">
        <f>NPV(Title_RESULTS!$C$37,'Sheet4(F_22)'!C17:C27)+'Sheet4(F_22)'!C16</f>
        <v>13.79447884933937</v>
      </c>
      <c r="D30" s="5">
        <f>NPV(Title_RESULTS!$C$37,'Sheet4(F_22)'!D17:D27)+'Sheet4(F_22)'!D16</f>
        <v>30.90080095561178</v>
      </c>
      <c r="E30" s="5">
        <f>NPV(Title_RESULTS!$C$37,'Sheet4(F_22)'!E17:E27)+'Sheet4(F_22)'!E16</f>
        <v>45.444663988443494</v>
      </c>
      <c r="F30" s="5">
        <f>NPV(Title_RESULTS!$C$37,'Sheet4(F_22)'!F17:F27)+'Sheet4(F_22)'!F16</f>
        <v>63.30994148593065</v>
      </c>
      <c r="G30" s="5">
        <f>NPV(Title_RESULTS!$C$37,'Sheet4(F_22)'!G17:G27)+'Sheet4(F_22)'!G16</f>
        <v>108.75460547437413</v>
      </c>
      <c r="H30" s="5">
        <f>NPV(Title_RESULTS!$C$37,'Sheet4(F_22)'!H17:H27)+'Sheet4(F_22)'!H16</f>
        <v>195.37973220162812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ht="12.75">
      <c r="A32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Smart Thermostat</v>
      </c>
      <c r="P2" t="s">
        <v>121</v>
      </c>
    </row>
    <row r="3" ht="12.75">
      <c r="P3" s="35">
        <f>+Title_RESULTS!I4</f>
        <v>43599.32802523148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30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30</v>
      </c>
      <c r="E16" s="5">
        <f>IF(+'Sheet9(F_25)'!$A16&gt;=Title_RESULTS!$H$8,0,((Partcipation!$B16-Partcipation!$B15)*(Title_RESULTS!$C$39*((1+Title_RESULTS!$C$41/100)^('Sheet9(F_25)'!$A16-Title_RESULTS!$H$7)))/1000))</f>
        <v>69.94065918588964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69.94065918588964</v>
      </c>
      <c r="H16" s="5">
        <f>IF(Partcipation!$B17&lt;Partcipation!$B16,0,IF(Partcipation!$B16=0,0,(Partcipation!$B16-Partcipation!$B15)*(+Title_RESULTS!$C$29*(1+Title_RESULTS!$C$30/100)^(+'Sheet8(F_24)'!$A16-Title_RESULTS!$H$7))/1000))</f>
        <v>132.01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132.01</v>
      </c>
      <c r="K16" s="5">
        <f>(+Partcipation!$B15+(Partcipation!$B16-Partcipation!$B15)/2)*(+Title_RESULTS!$C$14)/1000</f>
        <v>130.9</v>
      </c>
      <c r="L16" s="5">
        <f>($K16)*Partcipation!$E73*Title_RESULTS!$C$12/100</f>
        <v>3.18690781690424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7.770616700000001</v>
      </c>
      <c r="N16" s="5">
        <f>'Sheet2(F_12)'!$I16*('Sheet6(p_6)'!$L16+'Sheet6(p_6)'!$M16)</f>
        <v>10.95752451690424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30.72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30.72</v>
      </c>
      <c r="E17" s="5">
        <f>IF(+'Sheet9(F_25)'!$A17&gt;=Title_RESULTS!$H$8,0,((Partcipation!$B17-Partcipation!$B16)*(Title_RESULTS!$C$39*((1+Title_RESULTS!$C$41/100)^('Sheet9(F_25)'!$A17-Title_RESULTS!$H$7)))/1000))</f>
        <v>69.94065918588964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69.94065918588964</v>
      </c>
      <c r="H17" s="5">
        <f>IF(Partcipation!$B18&lt;Partcipation!$B17,0,IF(Partcipation!$B17=0,0,(Partcipation!$B17-Partcipation!$B16)*(+Title_RESULTS!$C$29*(1+Title_RESULTS!$C$30/100)^(+'Sheet8(F_24)'!$A17-Title_RESULTS!$H$7))/1000))</f>
        <v>135.04622999999998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135.04622999999998</v>
      </c>
      <c r="K17" s="5">
        <f>(+Partcipation!$B16+(Partcipation!$B17-Partcipation!$B16)/2)*(+Title_RESULTS!$C$14)/1000</f>
        <v>392.7</v>
      </c>
      <c r="L17" s="5">
        <f>($K17)*Partcipation!$E74*Title_RESULTS!$C$12/100</f>
        <v>10.015751587377448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23.544968600999997</v>
      </c>
      <c r="N17" s="5">
        <f>'Sheet2(F_12)'!$I17*('Sheet6(p_6)'!$L17+'Sheet6(p_6)'!$M17)</f>
        <v>33.560720188377445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31.457279999999997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31.457279999999997</v>
      </c>
      <c r="E18" s="5">
        <f>IF(+'Sheet9(F_25)'!$A18&gt;=Title_RESULTS!$H$8,0,((Partcipation!$B18-Partcipation!$B17)*(Title_RESULTS!$C$39*((1+Title_RESULTS!$C$41/100)^('Sheet9(F_25)'!$A18-Title_RESULTS!$H$7)))/1000))</f>
        <v>69.94065918588964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69.94065918588964</v>
      </c>
      <c r="H18" s="5">
        <f>IF(Partcipation!$B19&lt;Partcipation!$B18,0,IF(Partcipation!$B18=0,0,(Partcipation!$B18-Partcipation!$B17)*(+Title_RESULTS!$C$29*(1+Title_RESULTS!$C$30/100)^(+'Sheet8(F_24)'!$A18-Title_RESULTS!$H$7))/1000))</f>
        <v>138.15229328999996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138.15229328999996</v>
      </c>
      <c r="K18" s="5">
        <f>(+Partcipation!$B17+(Partcipation!$B18-Partcipation!$B17)/2)*(+Title_RESULTS!$C$14)/1000</f>
        <v>654.5</v>
      </c>
      <c r="L18" s="5">
        <f>($K18)*Partcipation!$E75*Title_RESULTS!$C$12/100</f>
        <v>17.307809473348936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39.63403047835</v>
      </c>
      <c r="N18" s="5">
        <f>'Sheet2(F_12)'!$I18*('Sheet6(p_6)'!$L18+'Sheet6(p_6)'!$M18)</f>
        <v>56.94183995169894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6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6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6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6">SUM(H19:I19)</f>
        <v>0</v>
      </c>
      <c r="K19" s="5">
        <f>(+Partcipation!$B18+(Partcipation!$B19-Partcipation!$B18)/2)*(+Title_RESULTS!$C$14)/1000</f>
        <v>785.4</v>
      </c>
      <c r="L19" s="5">
        <f>($K19)*Partcipation!$E76*Title_RESULTS!$C$12/100</f>
        <v>20.599116762472214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48.03644493976019</v>
      </c>
      <c r="N19" s="5">
        <f>'Sheet2(F_12)'!$I19*('Sheet6(p_6)'!$L19+'Sheet6(p_6)'!$M19)</f>
        <v>68.6355617022324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785.4</v>
      </c>
      <c r="L20" s="5">
        <f>($K20)*Partcipation!$E77*Title_RESULTS!$C$12/100</f>
        <v>21.76749317650677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48.5168093891578</v>
      </c>
      <c r="N20" s="5">
        <f>'Sheet2(F_12)'!$I20*('Sheet6(p_6)'!$L20+'Sheet6(p_6)'!$M20)</f>
        <v>70.28430256566458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785.4</v>
      </c>
      <c r="L21" s="5">
        <f>($K21)*Partcipation!$E78*Title_RESULTS!$C$12/100</f>
        <v>23.016918485026675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49.00197748304937</v>
      </c>
      <c r="N21" s="5">
        <f>'Sheet2(F_12)'!$I21*('Sheet6(p_6)'!$L21+'Sheet6(p_6)'!$M21)</f>
        <v>72.01889596807605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785.4</v>
      </c>
      <c r="L22" s="5">
        <f>($K22)*Partcipation!$E79*Title_RESULTS!$C$12/100</f>
        <v>24.05760926884495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49.49199725787987</v>
      </c>
      <c r="N22" s="5">
        <f>'Sheet2(F_12)'!$I22*('Sheet6(p_6)'!$L22+'Sheet6(p_6)'!$M22)</f>
        <v>73.54960652672483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785.4</v>
      </c>
      <c r="L23" s="5">
        <f>($K23)*Partcipation!$E80*Title_RESULTS!$C$12/100</f>
        <v>25.474144588590534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49.98691723045866</v>
      </c>
      <c r="N23" s="5">
        <f>'Sheet2(F_12)'!$I23*('Sheet6(p_6)'!$L23+'Sheet6(p_6)'!$M23)</f>
        <v>75.46106181904919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785.4</v>
      </c>
      <c r="L24" s="5">
        <f>($K24)*Partcipation!$E81*Title_RESULTS!$C$12/100</f>
        <v>27.886421549319433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50.48678640276326</v>
      </c>
      <c r="N24" s="5">
        <f>'Sheet2(F_12)'!$I24*('Sheet6(p_6)'!$L24+'Sheet6(p_6)'!$M24)</f>
        <v>78.3732079520827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785.4</v>
      </c>
      <c r="L25" s="5">
        <f>($K25)*Partcipation!$E82*Title_RESULTS!$C$12/100</f>
        <v>29.30717193435306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50.991654266790896</v>
      </c>
      <c r="N25" s="5">
        <f>'Sheet2(F_12)'!$I25*('Sheet6(p_6)'!$L25+'Sheet6(p_6)'!$M25)</f>
        <v>80.29882620114395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785.4</v>
      </c>
      <c r="L26" s="5">
        <f>($K26)*Partcipation!$E83*Title_RESULTS!$C$12/100</f>
        <v>31.93168742088184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51.501570809458805</v>
      </c>
      <c r="N26" s="5">
        <f>'Sheet2(F_12)'!$I26*('Sheet6(p_6)'!$L26+'Sheet6(p_6)'!$M26)</f>
        <v>83.43325823034064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2:18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t="s">
        <v>87</v>
      </c>
      <c r="B28" s="5">
        <f aca="true" t="shared" si="4" ref="B28:R28">SUM(B16:B27)</f>
        <v>92.17728</v>
      </c>
      <c r="C28" s="5">
        <f t="shared" si="4"/>
        <v>0</v>
      </c>
      <c r="D28" s="5">
        <f t="shared" si="4"/>
        <v>92.17728</v>
      </c>
      <c r="E28" s="5">
        <f t="shared" si="4"/>
        <v>209.82197755766893</v>
      </c>
      <c r="F28" s="5">
        <f t="shared" si="4"/>
        <v>0</v>
      </c>
      <c r="G28" s="5">
        <f t="shared" si="4"/>
        <v>209.82197755766893</v>
      </c>
      <c r="H28" s="5">
        <f t="shared" si="4"/>
        <v>405.2085232899999</v>
      </c>
      <c r="I28" s="5">
        <f t="shared" si="4"/>
        <v>0</v>
      </c>
      <c r="J28" s="5">
        <f t="shared" si="4"/>
        <v>405.2085232899999</v>
      </c>
      <c r="K28" s="5">
        <f t="shared" si="4"/>
        <v>7461.299999999998</v>
      </c>
      <c r="L28" s="5">
        <f t="shared" si="4"/>
        <v>234.55103206362608</v>
      </c>
      <c r="M28" s="5">
        <f t="shared" si="4"/>
        <v>468.96377355866883</v>
      </c>
      <c r="N28" s="5">
        <f t="shared" si="4"/>
        <v>703.514805622295</v>
      </c>
      <c r="O28" s="5">
        <f t="shared" si="4"/>
        <v>0</v>
      </c>
      <c r="P28" s="5">
        <f t="shared" si="4"/>
        <v>0</v>
      </c>
      <c r="Q28" s="5">
        <f t="shared" si="4"/>
        <v>0</v>
      </c>
      <c r="R28" s="5">
        <f t="shared" si="4"/>
        <v>0</v>
      </c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t="s">
        <v>89</v>
      </c>
      <c r="B30" s="5">
        <f>NPV(Title_RESULTS!$C$37,'Sheet6(p_6)'!B17:B27)+'Sheet6(p_6)'!B16</f>
        <v>86.12379783289325</v>
      </c>
      <c r="C30" s="5">
        <f>NPV(Title_RESULTS!$C$37,'Sheet6(p_6)'!C17:C27)+'Sheet6(p_6)'!C16</f>
        <v>0</v>
      </c>
      <c r="D30" s="5">
        <f>NPV(Title_RESULTS!$C$37,'Sheet6(p_6)'!D17:D27)+'Sheet6(p_6)'!D16</f>
        <v>86.12379783289325</v>
      </c>
      <c r="E30" s="5">
        <f>NPV(Title_RESULTS!$C$37,'Sheet6(p_6)'!E17:E27)+'Sheet6(p_6)'!E16</f>
        <v>196.25456153580643</v>
      </c>
      <c r="F30" s="5">
        <f>NPV(Title_RESULTS!$C$37,'Sheet6(p_6)'!F17:F27)+'Sheet6(p_6)'!F16</f>
        <v>0</v>
      </c>
      <c r="G30" s="5">
        <f>NPV(Title_RESULTS!$C$37,'Sheet6(p_6)'!G17:G27)+'Sheet6(p_6)'!G16</f>
        <v>196.25456153580643</v>
      </c>
      <c r="H30" s="5">
        <f>NPV(Title_RESULTS!$C$37,'Sheet6(p_6)'!H17:H27)+'Sheet6(p_6)'!H16</f>
        <v>378.6144647597814</v>
      </c>
      <c r="I30" s="5">
        <f>NPV(Title_RESULTS!$C$37,'Sheet6(p_6)'!I17:I27)+'Sheet6(p_6)'!I16</f>
        <v>0</v>
      </c>
      <c r="J30" s="5">
        <f>NPV(Title_RESULTS!$C$37,'Sheet6(p_6)'!J17:J27)+'Sheet6(p_6)'!J16</f>
        <v>378.6144647597814</v>
      </c>
      <c r="K30" s="5"/>
      <c r="L30" s="5">
        <f>NPV(Title_RESULTS!$C$37,'Sheet6(p_6)'!L17:L27)+'Sheet6(p_6)'!L16</f>
        <v>157.13818507309034</v>
      </c>
      <c r="M30" s="5">
        <f>NPV(Title_RESULTS!$C$37,'Sheet6(p_6)'!M17:M27)+'Sheet6(p_6)'!M16</f>
        <v>321.701960394781</v>
      </c>
      <c r="N30" s="5">
        <f>NPV(Title_RESULTS!$C$37,'Sheet6(p_6)'!N17:N27)+'Sheet6(p_6)'!N16</f>
        <v>478.8401454678713</v>
      </c>
      <c r="O30" s="5"/>
      <c r="P30" s="5">
        <f>NPV(Title_RESULTS!$C$37,'Sheet6(p_6)'!P17:P27)+'Sheet6(p_6)'!P16</f>
        <v>0</v>
      </c>
      <c r="Q30" s="5">
        <f>NPV(Title_RESULTS!$C$37,'Sheet6(p_6)'!Q17:Q27)+'Sheet6(p_6)'!Q16</f>
        <v>0</v>
      </c>
      <c r="R30" s="5">
        <f>NPV(Title_RESULTS!$C$37,'Sheet6(p_6)'!R17:R27)+'Sheet6(p_6)'!R16</f>
        <v>0</v>
      </c>
    </row>
    <row r="32" ht="12.75">
      <c r="A32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Smart Thermostat</v>
      </c>
      <c r="M2" t="s">
        <v>55</v>
      </c>
    </row>
    <row r="3" ht="12.75">
      <c r="M3" s="35">
        <f>+Title_RESULTS!I4</f>
        <v>43599.32802523148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IF(A16&gt;=(Title_RESULTS!$H$7+Title_RESULTS!$C$17),0,(+'Sheet6(p_6)'!$J16))</f>
        <v>132.01</v>
      </c>
      <c r="E16" s="5">
        <f>IF(A16&gt;=(Title_RESULTS!$H$7+Title_RESULTS!$C$17),0,(+'f-11B'!$N15))</f>
        <v>0</v>
      </c>
      <c r="F16" s="5">
        <f>IF(A16&gt;=(Title_RESULTS!$H$7+Title_RESULTS!$C$17),0,(SUM(B16:E16)))</f>
        <v>162.01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4.022276374192162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4.022276374192162</v>
      </c>
      <c r="L16" s="23">
        <f>IF(A16&gt;=(Title_RESULTS!$H$7+Title_RESULTS!$C$17),0,(+$K16-$F16))</f>
        <v>-157.98772362580783</v>
      </c>
      <c r="M16" s="23">
        <f>IF(A16&gt;=(Title_RESULTS!$H$7+Title_RESULTS!$C$17),0,(+$L16/(1+Title_RESULTS!$C$37)^('Sheet7(F_23)'!$A16-Title_RESULTS!$H$7)))</f>
        <v>-157.98772362580783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IF(A17&gt;=(Title_RESULTS!$H$7+Title_RESULTS!$C$17),0,(+'Sheet6(p_6)'!$J17))</f>
        <v>135.04622999999998</v>
      </c>
      <c r="E17" s="5">
        <f>IF(A17&gt;=(Title_RESULTS!$H$7+Title_RESULTS!$C$17),0,(+'f-11B'!$N16))</f>
        <v>0</v>
      </c>
      <c r="F17" s="5">
        <f>IF(A17&gt;=(Title_RESULTS!$H$7+Title_RESULTS!$C$17),0,(SUM(B17:E17)))</f>
        <v>165.76622999999998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18.13560757564141</v>
      </c>
      <c r="I17" s="5">
        <f>IF(A17&gt;=(Title_RESULTS!$H$7+Title_RESULTS!$C$17),0,(+'Sheet4(F_22)'!$H17))</f>
        <v>11.968679305974769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30.104286881616176</v>
      </c>
      <c r="L17" s="23">
        <f>IF(A17&gt;=(Title_RESULTS!$H$7+Title_RESULTS!$C$17),0,(+$K17-$F17))</f>
        <v>-135.66194311838382</v>
      </c>
      <c r="M17" s="23">
        <f>IF(A17&gt;=(Title_RESULTS!$H$7+Title_RESULTS!$C$17),0,(+M16+$L17/(1+Title_RESULTS!$C$37)^('Sheet7(F_23)'!$A17-Title_RESULTS!$H$7)))</f>
        <v>-284.6798632582171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IF(A18&gt;=(Title_RESULTS!$H$7+Title_RESULTS!$C$17),0,(+'Sheet6(p_6)'!$J18))</f>
        <v>138.15229328999996</v>
      </c>
      <c r="E18" s="5">
        <f>IF(A18&gt;=(Title_RESULTS!$H$7+Title_RESULTS!$C$17),0,(+'f-11B'!$N17))</f>
        <v>0</v>
      </c>
      <c r="F18" s="5">
        <f>IF(A18&gt;=(Title_RESULTS!$H$7+Title_RESULTS!$C$17),0,(SUM(B18:E18)))</f>
        <v>169.60957328999996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18.570862157456798</v>
      </c>
      <c r="I18" s="5">
        <f>IF(A18&gt;=(Title_RESULTS!$H$7+Title_RESULTS!$C$17),0,(+'Sheet4(F_22)'!$H18))</f>
        <v>20.587463560611926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39.158325718068724</v>
      </c>
      <c r="L18" s="23">
        <f>IF(A18&gt;=(Title_RESULTS!$H$7+Title_RESULTS!$C$17),0,(+$K18-$F18))</f>
        <v>-130.45124757193122</v>
      </c>
      <c r="M18" s="23">
        <f>IF(A18&gt;=(Title_RESULTS!$H$7+Title_RESULTS!$C$17),0,(+M17+$L18/(1+Title_RESULTS!$C$37)^('Sheet7(F_23)'!$A18-Title_RESULTS!$H$7)))</f>
        <v>-398.4508466061167</v>
      </c>
    </row>
    <row r="19" spans="1:13" ht="12.75">
      <c r="A19">
        <f aca="true" t="shared" si="0" ref="A19:A26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48.72844401717804</v>
      </c>
      <c r="H19" s="5">
        <f>IF(A19&gt;=(Title_RESULTS!$H$7+Title_RESULTS!$C$17),0,(+'Sheet4(F_22)'!$D19+'Sheet4(F_22)'!$G19))</f>
        <v>19.016562849235765</v>
      </c>
      <c r="I19" s="5">
        <f>IF(A19&gt;=(Title_RESULTS!$H$7+Title_RESULTS!$C$17),0,(+'Sheet4(F_22)'!$H19))</f>
        <v>25.718447319286437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93.46345418570024</v>
      </c>
      <c r="L19" s="23">
        <f>IF(A19&gt;=(Title_RESULTS!$H$7+Title_RESULTS!$C$17),0,(+$K19-$F19))</f>
        <v>93.46345418570024</v>
      </c>
      <c r="M19" s="23">
        <f>IF(A19&gt;=(Title_RESULTS!$H$7+Title_RESULTS!$C$17),0,(+M18+$L19/(1+Title_RESULTS!$C$37)^('Sheet7(F_23)'!$A19-Title_RESULTS!$H$7)))</f>
        <v>-322.3276985875326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50.02785416556567</v>
      </c>
      <c r="H20" s="5">
        <f>IF(A20&gt;=(Title_RESULTS!$H$7+Title_RESULTS!$C$17),0,(+'Sheet4(F_22)'!$D20+'Sheet4(F_22)'!$G20))</f>
        <v>19.47296035761742</v>
      </c>
      <c r="I20" s="5">
        <f>IF(A20&gt;=(Title_RESULTS!$H$7+Title_RESULTS!$C$17),0,(+'Sheet4(F_22)'!$H20))</f>
        <v>26.729085360323857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96.22989988350696</v>
      </c>
      <c r="L20" s="23">
        <f>IF(A20&gt;=(Title_RESULTS!$H$7+Title_RESULTS!$C$17),0,(+$K20-$F20))</f>
        <v>96.22989988350696</v>
      </c>
      <c r="M20" s="23">
        <f>IF(A20&gt;=(Title_RESULTS!$H$7+Title_RESULTS!$C$17),0,(+M19+$L20/(1+Title_RESULTS!$C$37)^('Sheet7(F_23)'!$A20-Title_RESULTS!$H$7)))</f>
        <v>-249.13351282609744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51.4494657870722</v>
      </c>
      <c r="H21" s="5">
        <f>IF(A21&gt;=(Title_RESULTS!$H$7+Title_RESULTS!$C$17),0,(+'Sheet4(F_22)'!$D21+'Sheet4(F_22)'!$G21))</f>
        <v>19.940311406200244</v>
      </c>
      <c r="I21" s="5">
        <f>IF(A21&gt;=(Title_RESULTS!$H$7+Title_RESULTS!$C$17),0,(+'Sheet4(F_22)'!$H21))</f>
        <v>28.69899047577587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100.08876766904831</v>
      </c>
      <c r="L21" s="23">
        <f>IF(A21&gt;=(Title_RESULTS!$H$7+Title_RESULTS!$C$17),0,(+$K21-$F21))</f>
        <v>100.08876766904831</v>
      </c>
      <c r="M21" s="23">
        <f>IF(A21&gt;=(Title_RESULTS!$H$7+Title_RESULTS!$C$17),0,(+M20+$L21/(1+Title_RESULTS!$C$37)^('Sheet7(F_23)'!$A21-Title_RESULTS!$H$7)))</f>
        <v>-178.0377809165114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53.04166593547413</v>
      </c>
      <c r="H22" s="5">
        <f>IF(A22&gt;=(Title_RESULTS!$H$7+Title_RESULTS!$C$17),0,(+'Sheet4(F_22)'!$D22+'Sheet4(F_22)'!$G22))</f>
        <v>20.418878879949048</v>
      </c>
      <c r="I22" s="5">
        <f>IF(A22&gt;=(Title_RESULTS!$H$7+Title_RESULTS!$C$17),0,(+'Sheet4(F_22)'!$H22))</f>
        <v>29.619499821027784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103.08004463645096</v>
      </c>
      <c r="L22" s="23">
        <f>IF(A22&gt;=(Title_RESULTS!$H$7+Title_RESULTS!$C$17),0,(+$K22-$F22))</f>
        <v>103.08004463645096</v>
      </c>
      <c r="M22" s="23">
        <f>IF(A22&gt;=(Title_RESULTS!$H$7+Title_RESULTS!$C$17),0,(+M21+$L22/(1+Title_RESULTS!$C$37)^('Sheet7(F_23)'!$A22-Title_RESULTS!$H$7)))</f>
        <v>-109.65851677600197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54.46963347441248</v>
      </c>
      <c r="H23" s="5">
        <f>IF(A23&gt;=(Title_RESULTS!$H$7+Title_RESULTS!$C$17),0,(+'Sheet4(F_22)'!$D23+'Sheet4(F_22)'!$G23))</f>
        <v>20.908931973067823</v>
      </c>
      <c r="I23" s="5">
        <f>IF(A23&gt;=(Title_RESULTS!$H$7+Title_RESULTS!$C$17),0,(+'Sheet4(F_22)'!$H23))</f>
        <v>31.47058598889405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106.84915143637434</v>
      </c>
      <c r="L23" s="23">
        <f>IF(A23&gt;=(Title_RESULTS!$H$7+Title_RESULTS!$C$17),0,(+$K23-$F23))</f>
        <v>106.84915143637434</v>
      </c>
      <c r="M23" s="23">
        <f>IF(A23&gt;=(Title_RESULTS!$H$7+Title_RESULTS!$C$17),0,(+M22+$L23/(1+Title_RESULTS!$C$37)^('Sheet7(F_23)'!$A23-Title_RESULTS!$H$7)))</f>
        <v>-43.465444342280605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55.35175886956776</v>
      </c>
      <c r="H24" s="5">
        <f>IF(A24&gt;=(Title_RESULTS!$H$7+Title_RESULTS!$C$17),0,(+'Sheet4(F_22)'!$D24+'Sheet4(F_22)'!$G24))</f>
        <v>21.41074634042145</v>
      </c>
      <c r="I24" s="5">
        <f>IF(A24&gt;=(Title_RESULTS!$H$7+Title_RESULTS!$C$17),0,(+'Sheet4(F_22)'!$H24))</f>
        <v>34.87304855129511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111.63555376128433</v>
      </c>
      <c r="L24" s="23">
        <f>IF(A24&gt;=(Title_RESULTS!$H$7+Title_RESULTS!$C$17),0,(+$K24-$F24))</f>
        <v>111.63555376128433</v>
      </c>
      <c r="M24" s="23">
        <f>IF(A24&gt;=(Title_RESULTS!$H$7+Title_RESULTS!$C$17),0,(+M23+$L24/(1+Title_RESULTS!$C$37)^('Sheet7(F_23)'!$A24-Title_RESULTS!$H$7)))</f>
        <v>21.120145599477098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56.8553992409814</v>
      </c>
      <c r="H25" s="5">
        <f>IF(A25&gt;=(Title_RESULTS!$H$7+Title_RESULTS!$C$17),0,(+'Sheet4(F_22)'!$D25+'Sheet4(F_22)'!$G25))</f>
        <v>21.924604252591568</v>
      </c>
      <c r="I25" s="5">
        <f>IF(A25&gt;=(Title_RESULTS!$H$7+Title_RESULTS!$C$17),0,(+'Sheet4(F_22)'!$H25))</f>
        <v>37.361738158811235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116.1417416523842</v>
      </c>
      <c r="L25" s="23">
        <f>IF(A25&gt;=(Title_RESULTS!$H$7+Title_RESULTS!$C$17),0,(+$K25-$F25))</f>
        <v>116.1417416523842</v>
      </c>
      <c r="M25" s="23">
        <f>IF(A25&gt;=(Title_RESULTS!$H$7+Title_RESULTS!$C$17),0,(+M24+$L25/(1+Title_RESULTS!$C$37)^('Sheet7(F_23)'!$A25-Title_RESULTS!$H$7)))</f>
        <v>83.870050469854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57.76549048558441</v>
      </c>
      <c r="H26" s="5">
        <f>IF(A26&gt;=(Title_RESULTS!$H$7+Title_RESULTS!$C$17),0,(+'Sheet4(F_22)'!$D26+'Sheet4(F_22)'!$G26))</f>
        <v>22.450794754653764</v>
      </c>
      <c r="I26" s="5">
        <f>IF(A26&gt;=(Title_RESULTS!$H$7+Title_RESULTS!$C$17),0,(+'Sheet4(F_22)'!$H26))</f>
        <v>41.730991675373446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121.94727691561161</v>
      </c>
      <c r="L26" s="23">
        <f>IF(A26&gt;=(Title_RESULTS!$H$7+Title_RESULTS!$C$17),0,(+$K26-$F26))</f>
        <v>121.94727691561161</v>
      </c>
      <c r="M26" s="23">
        <f>IF(A26&gt;=(Title_RESULTS!$H$7+Title_RESULTS!$C$17),0,(+M25+$L26/(1+Title_RESULTS!$C$37)^('Sheet7(F_23)'!$A26-Title_RESULTS!$H$7)))</f>
        <v>145.4002724399964</v>
      </c>
    </row>
    <row r="27" spans="2:13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t="s">
        <v>87</v>
      </c>
      <c r="B28" s="5">
        <f aca="true" t="shared" si="1" ref="B28:L28">SUM(B16:B27)</f>
        <v>0</v>
      </c>
      <c r="C28" s="5">
        <f t="shared" si="1"/>
        <v>92.17728</v>
      </c>
      <c r="D28" s="5">
        <f t="shared" si="1"/>
        <v>405.2085232899999</v>
      </c>
      <c r="E28" s="5">
        <f t="shared" si="1"/>
        <v>0</v>
      </c>
      <c r="F28" s="5">
        <f t="shared" si="1"/>
        <v>497.3858032899999</v>
      </c>
      <c r="G28" s="5">
        <f t="shared" si="1"/>
        <v>427.6897119758361</v>
      </c>
      <c r="H28" s="5">
        <f t="shared" si="1"/>
        <v>202.25026054683528</v>
      </c>
      <c r="I28" s="5">
        <f t="shared" si="1"/>
        <v>292.78080659156666</v>
      </c>
      <c r="J28" s="5">
        <f t="shared" si="1"/>
        <v>0</v>
      </c>
      <c r="K28" s="5">
        <f t="shared" si="1"/>
        <v>922.720779114238</v>
      </c>
      <c r="L28" s="5">
        <f t="shared" si="1"/>
        <v>425.3349758242381</v>
      </c>
      <c r="M28" s="5"/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118</v>
      </c>
      <c r="B30" s="5">
        <f>NPV(Title_RESULTS!$C$37,'Sheet7(F_23)'!B17:B27)+'Sheet7(F_23)'!B16</f>
        <v>0</v>
      </c>
      <c r="C30" s="5">
        <f>NPV(Title_RESULTS!$C$37,'Sheet7(F_23)'!C17:C27)+'Sheet7(F_23)'!C16</f>
        <v>86.12379783289325</v>
      </c>
      <c r="D30" s="5">
        <f>NPV(Title_RESULTS!$C$37,'Sheet7(F_23)'!D17:D27)+'Sheet7(F_23)'!D16</f>
        <v>378.6144647597814</v>
      </c>
      <c r="E30" s="5">
        <f>NPV(Title_RESULTS!$C$37,'Sheet7(F_23)'!E17:E27)+'Sheet7(F_23)'!E16</f>
        <v>0</v>
      </c>
      <c r="F30" s="5">
        <f>NPV(Title_RESULTS!$C$37,'Sheet7(F_23)'!F17:F27)+'Sheet7(F_23)'!F16</f>
        <v>464.73826259267463</v>
      </c>
      <c r="G30" s="5">
        <f>NPV(Title_RESULTS!$C$37,'Sheet7(F_23)'!G17:G27)+'Sheet7(F_23)'!G16</f>
        <v>275.10339640105695</v>
      </c>
      <c r="H30" s="5">
        <f>NPV(Title_RESULTS!$C$37,'Sheet7(F_23)'!H17:H27)+'Sheet7(F_23)'!H16</f>
        <v>139.65540642998587</v>
      </c>
      <c r="I30" s="5">
        <f>NPV(Title_RESULTS!$C$37,'Sheet7(F_23)'!I17:I27)+'Sheet7(F_23)'!I16</f>
        <v>195.37973220162812</v>
      </c>
      <c r="J30" s="5">
        <f>NPV(Title_RESULTS!$C$37,'Sheet7(F_23)'!J17:J27)+'Sheet7(F_23)'!J16</f>
        <v>0</v>
      </c>
      <c r="K30" s="5">
        <f>NPV(Title_RESULTS!$C$37,'Sheet7(F_23)'!K17:K27)+'Sheet7(F_23)'!K16</f>
        <v>610.138535032671</v>
      </c>
      <c r="L30" s="5">
        <f>NPV(Title_RESULTS!$C$37,'Sheet7(F_23)'!L17:L27)+'Sheet7(F_23)'!L16</f>
        <v>145.40027243999637</v>
      </c>
      <c r="M30" s="5"/>
    </row>
    <row r="32" spans="1:8" ht="12.75">
      <c r="A32" t="s">
        <v>162</v>
      </c>
      <c r="C32">
        <f>+Title_RESULTS!C37</f>
        <v>0.0708</v>
      </c>
      <c r="D32" t="s">
        <v>163</v>
      </c>
      <c r="H32" s="10">
        <f>+K30/F30</f>
        <v>1.3128648621028955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Smart Thermostat</v>
      </c>
      <c r="L2" t="s">
        <v>55</v>
      </c>
    </row>
    <row r="3" ht="12.75">
      <c r="L3" s="35">
        <f>+Title_RESULTS!I4</f>
        <v>43599.32802523148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10.95752451690424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69.94065918588964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80.89818370279389</v>
      </c>
      <c r="G16" s="5">
        <f>IF(A16&gt;=(Title_RESULTS!$H$7+Title_RESULTS!$C$17),0,(+'Sheet6(p_6)'!$H16))</f>
        <v>132.01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132.01</v>
      </c>
      <c r="K16" s="23">
        <f>IF(A16&gt;=(Title_RESULTS!$H$7+Title_RESULTS!$C$17),0,(+F16-J16))</f>
        <v>-51.111816297206104</v>
      </c>
      <c r="L16" s="23">
        <f>IF(A16&gt;=(Title_RESULTS!$H$7+Title_RESULTS!$C$17),0,(+$K16/((1+Title_RESULTS!$C$37)^('Sheet8(F_24)'!$A16-Title_RESULTS!$H$7))))</f>
        <v>-51.111816297206104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33.560720188377445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69.94065918588964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103.50137937426709</v>
      </c>
      <c r="G17" s="5">
        <f>IF(A17&gt;=(Title_RESULTS!$H$7+Title_RESULTS!$C$17),0,(+'Sheet6(p_6)'!$H17))</f>
        <v>135.04622999999998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135.04622999999998</v>
      </c>
      <c r="K17" s="23">
        <f>IF(A17&gt;=(Title_RESULTS!$H$7+Title_RESULTS!$C$17),0,(+F17-J17))</f>
        <v>-31.54485062573289</v>
      </c>
      <c r="L17" s="23">
        <f>IF(A16&gt;=(Title_RESULTS!$H$7+Title_RESULTS!$C$17),0,(+$K17/((1+Title_RESULTS!$C$37)^('Sheet8(F_24)'!$A17-Title_RESULTS!$H$7))+L16))</f>
        <v>-80.57095957861523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56.94183995169894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69.94065918588964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126.88249913758858</v>
      </c>
      <c r="G18" s="5">
        <f>IF(A18&gt;=(Title_RESULTS!$H$7+Title_RESULTS!$C$17),0,(+'Sheet6(p_6)'!$H18))</f>
        <v>138.15229328999996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138.15229328999996</v>
      </c>
      <c r="K18" s="23">
        <f>IF(A18&gt;=(Title_RESULTS!$H$7+Title_RESULTS!$C$17),0,(+F18-J18))</f>
        <v>-11.269794152411379</v>
      </c>
      <c r="L18" s="23">
        <f>IF(A17&gt;=(Title_RESULTS!$H$7+Title_RESULTS!$C$17),0,(+$K18/((1+Title_RESULTS!$C$37)^('Sheet8(F_24)'!$A18-Title_RESULTS!$H$7))+L17))</f>
        <v>-90.39973152762443</v>
      </c>
      <c r="M18" s="5"/>
    </row>
    <row r="19" spans="1:13" ht="12.75">
      <c r="A19">
        <f aca="true" t="shared" si="0" ref="A19:A26">+A18+1</f>
        <v>2023</v>
      </c>
      <c r="B19" s="5">
        <f>IF(A19&gt;=(Title_RESULTS!$H$7+Title_RESULTS!$C$17),0,(+'Sheet6(p_6)'!N19-'Sheet6(p_6)'!R19))</f>
        <v>68.6355617022324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68.6355617022324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68.6355617022324</v>
      </c>
      <c r="L19" s="23">
        <f>IF(A18&gt;=(Title_RESULTS!$H$7+Title_RESULTS!$C$17),0,(+$K19/((1+Title_RESULTS!$C$37)^('Sheet8(F_24)'!$A19-Title_RESULTS!$H$7))+L18))</f>
        <v>-34.49814872910337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70.28430256566458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70.28430256566458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70.28430256566458</v>
      </c>
      <c r="L20" s="23">
        <f>IF(A19&gt;=(Title_RESULTS!$H$7+Title_RESULTS!$C$17),0,(+$K20/((1+Title_RESULTS!$C$37)^('Sheet8(F_24)'!$A20-Title_RESULTS!$H$7))+L19))</f>
        <v>18.961350910112984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72.01889596807605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72.01889596807605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72.01889596807605</v>
      </c>
      <c r="L21" s="23">
        <f>IF(A20&gt;=(Title_RESULTS!$H$7+Title_RESULTS!$C$17),0,(+$K21/((1+Title_RESULTS!$C$37)^('Sheet8(F_24)'!$A21-Title_RESULTS!$H$7))+L20))</f>
        <v>70.11830127942096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73.54960652672483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73.54960652672483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73.54960652672483</v>
      </c>
      <c r="L22" s="23">
        <f>IF(A21&gt;=(Title_RESULTS!$H$7+Title_RESULTS!$C$17),0,(+$K22/((1+Title_RESULTS!$C$37)^('Sheet8(F_24)'!$A22-Title_RESULTS!$H$7))+L21))</f>
        <v>118.9082294353408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75.46106181904919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75.46106181904919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75.46106181904919</v>
      </c>
      <c r="L23" s="23">
        <f>IF(A22&gt;=(Title_RESULTS!$H$7+Title_RESULTS!$C$17),0,(+$K23/((1+Title_RESULTS!$C$37)^('Sheet8(F_24)'!$A23-Title_RESULTS!$H$7))+L22))</f>
        <v>165.65637355970694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78.3732079520827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78.3732079520827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78.3732079520827</v>
      </c>
      <c r="L24" s="23">
        <f>IF(A23&gt;=(Title_RESULTS!$H$7+Title_RESULTS!$C$17),0,(+$K24/((1+Title_RESULTS!$C$37)^('Sheet8(F_24)'!$A24-Title_RESULTS!$H$7))+L23))</f>
        <v>210.9983788677754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80.29882620114395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80.29882620114395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80.29882620114395</v>
      </c>
      <c r="L25" s="23">
        <f>IF(A24&gt;=(Title_RESULTS!$H$7+Title_RESULTS!$C$17),0,(+$K25/((1+Title_RESULTS!$C$37)^('Sheet8(F_24)'!$A25-Title_RESULTS!$H$7))+L24))</f>
        <v>254.38281269524308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83.43325823034064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83.43325823034064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83.43325823034064</v>
      </c>
      <c r="L26" s="23">
        <f>IF(A25&gt;=(Title_RESULTS!$H$7+Title_RESULTS!$C$17),0,(+$K26/((1+Title_RESULTS!$C$37)^('Sheet8(F_24)'!$A26-Title_RESULTS!$H$7))+L25))</f>
        <v>296.4802422438963</v>
      </c>
      <c r="M26" s="5"/>
    </row>
    <row r="27" spans="2:13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t="s">
        <v>87</v>
      </c>
      <c r="B28" s="5">
        <f aca="true" t="shared" si="1" ref="B28:K28">SUM(B16:B27)</f>
        <v>703.514805622295</v>
      </c>
      <c r="C28" s="5">
        <f t="shared" si="1"/>
        <v>0</v>
      </c>
      <c r="D28" s="5">
        <f t="shared" si="1"/>
        <v>209.82197755766893</v>
      </c>
      <c r="E28" s="5">
        <f t="shared" si="1"/>
        <v>0</v>
      </c>
      <c r="F28" s="5">
        <f t="shared" si="1"/>
        <v>913.3367831799637</v>
      </c>
      <c r="G28" s="5">
        <f t="shared" si="1"/>
        <v>405.2085232899999</v>
      </c>
      <c r="H28" s="5">
        <f t="shared" si="1"/>
        <v>0</v>
      </c>
      <c r="I28" s="5">
        <f t="shared" si="1"/>
        <v>0</v>
      </c>
      <c r="J28" s="5">
        <f t="shared" si="1"/>
        <v>405.2085232899999</v>
      </c>
      <c r="K28" s="5">
        <f t="shared" si="1"/>
        <v>508.1282598899639</v>
      </c>
      <c r="L28" s="5"/>
      <c r="M28" s="5"/>
    </row>
    <row r="29" ht="12.75">
      <c r="M29" s="5"/>
    </row>
    <row r="30" spans="1:13" ht="12.75">
      <c r="A30" t="s">
        <v>118</v>
      </c>
      <c r="B30" s="5">
        <f>NPV(Title_RESULTS!$C$37,'Sheet8(F_24)'!B17:B27)+'Sheet8(F_24)'!B16</f>
        <v>478.8401454678713</v>
      </c>
      <c r="C30" s="5">
        <f>NPV(Title_RESULTS!$C$37,'Sheet8(F_24)'!C17:C27)+'Sheet8(F_24)'!C16</f>
        <v>0</v>
      </c>
      <c r="D30" s="5">
        <f>NPV(Title_RESULTS!$C$37,'Sheet8(F_24)'!D17:D27)+'Sheet8(F_24)'!D16</f>
        <v>196.25456153580643</v>
      </c>
      <c r="E30" s="5">
        <f>NPV(Title_RESULTS!$C$37,'Sheet8(F_24)'!E17:E27)+'Sheet8(F_24)'!E16</f>
        <v>0</v>
      </c>
      <c r="F30" s="5">
        <f>NPV(Title_RESULTS!$C$37,'Sheet8(F_24)'!F17:F27)+'Sheet8(F_24)'!F16</f>
        <v>675.0947070036776</v>
      </c>
      <c r="G30" s="5">
        <f>NPV(Title_RESULTS!$C$37,'Sheet8(F_24)'!G17:G27)+'Sheet8(F_24)'!G16</f>
        <v>378.6144647597814</v>
      </c>
      <c r="H30" s="5">
        <f>NPV(Title_RESULTS!$C$37,'Sheet8(F_24)'!H17:H27)+'Sheet8(F_24)'!H16</f>
        <v>0</v>
      </c>
      <c r="I30" s="5">
        <f>NPV(Title_RESULTS!$C$37,'Sheet8(F_24)'!I17:I27)+'Sheet8(F_24)'!I16</f>
        <v>0</v>
      </c>
      <c r="J30" s="5">
        <f>NPV(Title_RESULTS!$C$37,'Sheet8(F_24)'!J17:J27)+'Sheet8(F_24)'!J16</f>
        <v>378.6144647597814</v>
      </c>
      <c r="K30" s="5">
        <f>NPV(Title_RESULTS!$C$37,'Sheet8(F_24)'!K17:K27)+'Sheet8(F_24)'!K16</f>
        <v>296.4802422438963</v>
      </c>
      <c r="L30" s="5"/>
      <c r="M30" s="5"/>
    </row>
    <row r="31" spans="2:12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1" ht="12.75">
      <c r="A32" t="s">
        <v>174</v>
      </c>
      <c r="D32">
        <f>+Title_RESULTS!H8</f>
        <v>2023</v>
      </c>
      <c r="F32">
        <f>+F30/J30</f>
        <v>1.7830663374998188</v>
      </c>
      <c r="K32" s="10"/>
    </row>
    <row r="33" spans="1:10" ht="12.75">
      <c r="A33" t="s">
        <v>175</v>
      </c>
      <c r="D33">
        <f>+Title_RESULTS!C37</f>
        <v>0.0708</v>
      </c>
      <c r="J33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Smart Thermostat</v>
      </c>
      <c r="N2" t="s">
        <v>55</v>
      </c>
    </row>
    <row r="3" ht="12.75">
      <c r="N3" s="35">
        <f>+Title_RESULTS!I4</f>
        <v>43599.32802523148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IF(A16&gt;=(Title_RESULTS!$H$7+Title_RESULTS!$C$17),0,(+'Sheet6(p_6)'!$G16))</f>
        <v>69.94065918588964</v>
      </c>
      <c r="E16" s="5">
        <f>+'Sheet6(p_6)'!M16</f>
        <v>7.770616700000001</v>
      </c>
      <c r="F16">
        <f>IF(A16&gt;=(Title_RESULTS!$H$7+Title_RESULTS!$C$17),0,(+'f-11B'!$R15))</f>
        <v>0</v>
      </c>
      <c r="G16" s="5">
        <f>IF(A16&gt;=(Title_RESULTS!$H$7+Title_RESULTS!$C$17),0,(SUM(B16:F16)))</f>
        <v>107.71127588588965</v>
      </c>
      <c r="H16" s="5">
        <f>IF(A16&gt;=(Title_RESULTS!$H$7+Title_RESULTS!$C$17),0,(+'Sheet3(F_21)'!$J16+'Sheet4(F_22)'!$H16))</f>
        <v>4.022276374192162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4.022276374192162</v>
      </c>
      <c r="M16" s="23">
        <f>IF(A16&gt;=(Title_RESULTS!$H$7+Title_RESULTS!$C$17),0,(+L16-G16))</f>
        <v>-103.68899951169749</v>
      </c>
      <c r="N16" s="24">
        <f>IF(A16&gt;=(Title_RESULTS!$H$7+Title_RESULTS!$C$17),0,(+$M16/((1+Title_RESULTS!$C$37)^('Sheet9(F_25)'!$A16-Title_RESULTS!$H$7))))</f>
        <v>-103.68899951169749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IF(A17&gt;=(Title_RESULTS!$H$7+Title_RESULTS!$C$17),0,(+'Sheet6(p_6)'!$G17))</f>
        <v>69.94065918588964</v>
      </c>
      <c r="E17" s="5">
        <f>+'Sheet6(p_6)'!M17</f>
        <v>23.544968600999997</v>
      </c>
      <c r="F17">
        <f>IF(A17&gt;=(Title_RESULTS!$H$7+Title_RESULTS!$C$17),0,(+'f-11B'!$R16))</f>
        <v>0</v>
      </c>
      <c r="G17" s="5">
        <f>IF(A17&gt;=(Title_RESULTS!$H$7+Title_RESULTS!$C$17),0,(SUM(B17:F17)))</f>
        <v>124.20562778688964</v>
      </c>
      <c r="H17" s="5">
        <f>IF(A17&gt;=(Title_RESULTS!$H$7+Title_RESULTS!$C$17),0,(+'Sheet3(F_21)'!$J17+'Sheet4(F_22)'!$H17))</f>
        <v>11.968679305974769</v>
      </c>
      <c r="I17" s="5">
        <f>IF(A17&gt;=(Title_RESULTS!$H$7+Title_RESULTS!$C$17),0,(+'Sheet4(F_22)'!$D17+'Sheet4(F_22)'!$G17))</f>
        <v>18.13560757564141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30.104286881616176</v>
      </c>
      <c r="M17" s="23">
        <f>IF(A17&gt;=(Title_RESULTS!$H$7+Title_RESULTS!$C$17),0,(+L17-G17))</f>
        <v>-94.10134090527346</v>
      </c>
      <c r="N17" s="24">
        <f>(IF(A16&gt;=(Title_RESULTS!$H$7+Title_RESULTS!$C$17),0,(+$M17/((1+Title_RESULTS!$C$37)^('Sheet9(F_25)'!$A17-Title_RESULTS!$H$7))+N16)))</f>
        <v>-191.56847364811276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IF(A18&gt;=(Title_RESULTS!$H$7+Title_RESULTS!$C$17),0,(+'Sheet6(p_6)'!$G18))</f>
        <v>69.94065918588964</v>
      </c>
      <c r="E18" s="5">
        <f>+'Sheet6(p_6)'!M18</f>
        <v>39.63403047835</v>
      </c>
      <c r="F18">
        <f>IF(A18&gt;=(Title_RESULTS!$H$7+Title_RESULTS!$C$17),0,(+'f-11B'!$R17))</f>
        <v>0</v>
      </c>
      <c r="G18" s="5">
        <f>IF(A18&gt;=(Title_RESULTS!$H$7+Title_RESULTS!$C$17),0,(SUM(B18:F18)))</f>
        <v>141.03196966423963</v>
      </c>
      <c r="H18" s="5">
        <f>IF(A18&gt;=(Title_RESULTS!$H$7+Title_RESULTS!$C$17),0,(+'Sheet3(F_21)'!$J18+'Sheet4(F_22)'!$H18))</f>
        <v>20.587463560611926</v>
      </c>
      <c r="I18" s="5">
        <f>IF(A18&gt;=(Title_RESULTS!$H$7+Title_RESULTS!$C$17),0,(+'Sheet4(F_22)'!$D18+'Sheet4(F_22)'!$G18))</f>
        <v>18.570862157456798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39.158325718068724</v>
      </c>
      <c r="M18" s="23">
        <f>IF(A18&gt;=(Title_RESULTS!$H$7+Title_RESULTS!$C$17),0,(+L18-G18))</f>
        <v>-101.8736439461709</v>
      </c>
      <c r="N18" s="24">
        <f>(IF(A17&gt;=(Title_RESULTS!$H$7+Title_RESULTS!$C$17),0,(+$M18/((1+Title_RESULTS!$C$37)^('Sheet9(F_25)'!$A18-Title_RESULTS!$H$7))+N17)))</f>
        <v>-280.41595394989184</v>
      </c>
    </row>
    <row r="19" spans="1:14" ht="12.75">
      <c r="A19">
        <f aca="true" t="shared" si="0" ref="A19:A26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48.03644493976019</v>
      </c>
      <c r="F19">
        <f>IF(A19&gt;=(Title_RESULTS!$H$7+Title_RESULTS!$C$17),0,(+'f-11B'!$R18))</f>
        <v>0</v>
      </c>
      <c r="G19" s="5">
        <f>IF(A19&gt;=(Title_RESULTS!$H$7+Title_RESULTS!$C$17),0,(SUM(B19:F19)))</f>
        <v>48.03644493976019</v>
      </c>
      <c r="H19" s="5">
        <f>IF(A19&gt;=(Title_RESULTS!$H$7+Title_RESULTS!$C$17),0,(+'Sheet3(F_21)'!$J19+'Sheet4(F_22)'!$H19))</f>
        <v>74.44689133646447</v>
      </c>
      <c r="I19" s="5">
        <f>IF(A19&gt;=(Title_RESULTS!$H$7+Title_RESULTS!$C$17),0,(+'Sheet4(F_22)'!$D19+'Sheet4(F_22)'!$G19))</f>
        <v>19.016562849235765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93.46345418570024</v>
      </c>
      <c r="M19" s="23">
        <f>IF(A19&gt;=(Title_RESULTS!$H$7+Title_RESULTS!$C$17),0,(+L19-G19))</f>
        <v>45.427009245940056</v>
      </c>
      <c r="N19" s="24">
        <f>(IF(A18&gt;=(Title_RESULTS!$H$7+Title_RESULTS!$C$17),0,(+$M19/((1+Title_RESULTS!$C$37)^('Sheet9(F_25)'!$A19-Title_RESULTS!$H$7))+N18)))</f>
        <v>-243.41703304547528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48.5168093891578</v>
      </c>
      <c r="F20">
        <f>IF(A20&gt;=(Title_RESULTS!$H$7+Title_RESULTS!$C$17),0,(+'f-11B'!$R19))</f>
        <v>0</v>
      </c>
      <c r="G20" s="5">
        <f>IF(A20&gt;=(Title_RESULTS!$H$7+Title_RESULTS!$C$17),0,(SUM(B20:F20)))</f>
        <v>48.5168093891578</v>
      </c>
      <c r="H20" s="5">
        <f>IF(A20&gt;=(Title_RESULTS!$H$7+Title_RESULTS!$C$17),0,(+'Sheet3(F_21)'!$J20+'Sheet4(F_22)'!$H20))</f>
        <v>76.75693952588952</v>
      </c>
      <c r="I20" s="5">
        <f>IF(A20&gt;=(Title_RESULTS!$H$7+Title_RESULTS!$C$17),0,(+'Sheet4(F_22)'!$D20+'Sheet4(F_22)'!$G20))</f>
        <v>19.47296035761742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96.22989988350695</v>
      </c>
      <c r="M20" s="23">
        <f>IF(A20&gt;=(Title_RESULTS!$H$7+Title_RESULTS!$C$17),0,(+L20-G20))</f>
        <v>47.713090494349146</v>
      </c>
      <c r="N20" s="24">
        <f>(IF(A19&gt;=(Title_RESULTS!$H$7+Title_RESULTS!$C$17),0,(+$M20/((1+Title_RESULTS!$C$37)^('Sheet9(F_25)'!$A20-Title_RESULTS!$H$7))+N19)))</f>
        <v>-207.12560165956242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49.00197748304937</v>
      </c>
      <c r="F21">
        <f>IF(A21&gt;=(Title_RESULTS!$H$7+Title_RESULTS!$C$17),0,(+'f-11B'!$R20))</f>
        <v>0</v>
      </c>
      <c r="G21" s="5">
        <f>IF(A21&gt;=(Title_RESULTS!$H$7+Title_RESULTS!$C$17),0,(SUM(B21:F21)))</f>
        <v>49.00197748304937</v>
      </c>
      <c r="H21" s="5">
        <f>IF(A21&gt;=(Title_RESULTS!$H$7+Title_RESULTS!$C$17),0,(+'Sheet3(F_21)'!$J21+'Sheet4(F_22)'!$H21))</f>
        <v>80.14845626284807</v>
      </c>
      <c r="I21" s="5">
        <f>IF(A21&gt;=(Title_RESULTS!$H$7+Title_RESULTS!$C$17),0,(+'Sheet4(F_22)'!$D21+'Sheet4(F_22)'!$G21))</f>
        <v>19.940311406200244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100.08876766904831</v>
      </c>
      <c r="M21" s="23">
        <f>IF(A21&gt;=(Title_RESULTS!$H$7+Title_RESULTS!$C$17),0,(+L21-G21))</f>
        <v>51.086790185998936</v>
      </c>
      <c r="N21" s="24">
        <f>(IF(A20&gt;=(Title_RESULTS!$H$7+Title_RESULTS!$C$17),0,(+$M21/((1+Title_RESULTS!$C$37)^('Sheet9(F_25)'!$A21-Title_RESULTS!$H$7))+N20)))</f>
        <v>-170.83728655916343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49.49199725787987</v>
      </c>
      <c r="F22">
        <f>IF(A22&gt;=(Title_RESULTS!$H$7+Title_RESULTS!$C$17),0,(+'f-11B'!$R21))</f>
        <v>0</v>
      </c>
      <c r="G22" s="5">
        <f>IF(A22&gt;=(Title_RESULTS!$H$7+Title_RESULTS!$C$17),0,(SUM(B22:F22)))</f>
        <v>49.49199725787987</v>
      </c>
      <c r="H22" s="5">
        <f>IF(A22&gt;=(Title_RESULTS!$H$7+Title_RESULTS!$C$17),0,(+'Sheet3(F_21)'!$J22+'Sheet4(F_22)'!$H22))</f>
        <v>82.66116575650192</v>
      </c>
      <c r="I22" s="5">
        <f>IF(A22&gt;=(Title_RESULTS!$H$7+Title_RESULTS!$C$17),0,(+'Sheet4(F_22)'!$D22+'Sheet4(F_22)'!$G22))</f>
        <v>20.418878879949048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103.08004463645096</v>
      </c>
      <c r="M22" s="23">
        <f>IF(A22&gt;=(Title_RESULTS!$H$7+Title_RESULTS!$C$17),0,(+L22-G22))</f>
        <v>53.58804737857109</v>
      </c>
      <c r="N22" s="24">
        <f>(IF(A21&gt;=(Title_RESULTS!$H$7+Title_RESULTS!$C$17),0,(+$M22/((1+Title_RESULTS!$C$37)^('Sheet9(F_25)'!$A22-Title_RESULTS!$H$7))+N21)))</f>
        <v>-135.28907488155926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49.98691723045866</v>
      </c>
      <c r="F23">
        <f>IF(A23&gt;=(Title_RESULTS!$H$7+Title_RESULTS!$C$17),0,(+'f-11B'!$R22))</f>
        <v>0</v>
      </c>
      <c r="G23" s="5">
        <f>IF(A23&gt;=(Title_RESULTS!$H$7+Title_RESULTS!$C$17),0,(SUM(B23:F23)))</f>
        <v>49.98691723045866</v>
      </c>
      <c r="H23" s="5">
        <f>IF(A23&gt;=(Title_RESULTS!$H$7+Title_RESULTS!$C$17),0,(+'Sheet3(F_21)'!$J23+'Sheet4(F_22)'!$H23))</f>
        <v>85.94021946330653</v>
      </c>
      <c r="I23" s="5">
        <f>IF(A23&gt;=(Title_RESULTS!$H$7+Title_RESULTS!$C$17),0,(+'Sheet4(F_22)'!$D23+'Sheet4(F_22)'!$G23))</f>
        <v>20.908931973067823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106.84915143637436</v>
      </c>
      <c r="M23" s="23">
        <f>IF(A23&gt;=(Title_RESULTS!$H$7+Title_RESULTS!$C$17),0,(+L23-G23))</f>
        <v>56.8622342059157</v>
      </c>
      <c r="N23" s="24">
        <f>(IF(A22&gt;=(Title_RESULTS!$H$7+Title_RESULTS!$C$17),0,(+$M23/((1+Title_RESULTS!$C$37)^('Sheet9(F_25)'!$A23-Title_RESULTS!$H$7))+N22)))</f>
        <v>-100.06290848774663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50.48678640276326</v>
      </c>
      <c r="F24">
        <f>IF(A24&gt;=(Title_RESULTS!$H$7+Title_RESULTS!$C$17),0,(+'f-11B'!$R23))</f>
        <v>0</v>
      </c>
      <c r="G24" s="5">
        <f>IF(A24&gt;=(Title_RESULTS!$H$7+Title_RESULTS!$C$17),0,(SUM(B24:F24)))</f>
        <v>50.48678640276326</v>
      </c>
      <c r="H24" s="5">
        <f>IF(A24&gt;=(Title_RESULTS!$H$7+Title_RESULTS!$C$17),0,(+'Sheet3(F_21)'!$J24+'Sheet4(F_22)'!$H24))</f>
        <v>90.22480742086287</v>
      </c>
      <c r="I24" s="5">
        <f>IF(A24&gt;=(Title_RESULTS!$H$7+Title_RESULTS!$C$17),0,(+'Sheet4(F_22)'!$D24+'Sheet4(F_22)'!$G24))</f>
        <v>21.41074634042145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111.63555376128433</v>
      </c>
      <c r="M24" s="23">
        <f>IF(A24&gt;=(Title_RESULTS!$H$7+Title_RESULTS!$C$17),0,(+L24-G24))</f>
        <v>61.14876735852107</v>
      </c>
      <c r="N24" s="24">
        <f>(IF(A23&gt;=(Title_RESULTS!$H$7+Title_RESULTS!$C$17),0,(+$M24/((1+Title_RESULTS!$C$37)^('Sheet9(F_25)'!$A24-Title_RESULTS!$H$7))+N23)))</f>
        <v>-64.68592435501755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50.991654266790896</v>
      </c>
      <c r="F25">
        <f>IF(A25&gt;=(Title_RESULTS!$H$7+Title_RESULTS!$C$17),0,(+'f-11B'!$R24))</f>
        <v>0</v>
      </c>
      <c r="G25" s="5">
        <f>IF(A25&gt;=(Title_RESULTS!$H$7+Title_RESULTS!$C$17),0,(SUM(B25:F25)))</f>
        <v>50.991654266790896</v>
      </c>
      <c r="H25" s="5">
        <f>IF(A25&gt;=(Title_RESULTS!$H$7+Title_RESULTS!$C$17),0,(+'Sheet3(F_21)'!$J25+'Sheet4(F_22)'!$H25))</f>
        <v>94.21713739979263</v>
      </c>
      <c r="I25" s="5">
        <f>IF(A25&gt;=(Title_RESULTS!$H$7+Title_RESULTS!$C$17),0,(+'Sheet4(F_22)'!$D25+'Sheet4(F_22)'!$G25))</f>
        <v>21.924604252591568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116.1417416523842</v>
      </c>
      <c r="M25" s="23">
        <f>IF(A25&gt;=(Title_RESULTS!$H$7+Title_RESULTS!$C$17),0,(+L25-G25))</f>
        <v>65.15008738559331</v>
      </c>
      <c r="N25" s="24">
        <f>(IF(A24&gt;=(Title_RESULTS!$H$7+Title_RESULTS!$C$17),0,(+$M25/((1+Title_RESULTS!$C$37)^('Sheet9(F_25)'!$A25-Title_RESULTS!$H$7))+N24)))</f>
        <v>-29.486161310489457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51.501570809458805</v>
      </c>
      <c r="F26">
        <f>IF(A26&gt;=(Title_RESULTS!$H$7+Title_RESULTS!$C$17),0,(+'f-11B'!$R25))</f>
        <v>0</v>
      </c>
      <c r="G26" s="5">
        <f>IF(A26&gt;=(Title_RESULTS!$H$7+Title_RESULTS!$C$17),0,(SUM(B26:F26)))</f>
        <v>51.501570809458805</v>
      </c>
      <c r="H26" s="5">
        <f>IF(A26&gt;=(Title_RESULTS!$H$7+Title_RESULTS!$C$17),0,(+'Sheet3(F_21)'!$J26+'Sheet4(F_22)'!$H26))</f>
        <v>99.49648216095785</v>
      </c>
      <c r="I26" s="5">
        <f>IF(A26&gt;=(Title_RESULTS!$H$7+Title_RESULTS!$C$17),0,(+'Sheet4(F_22)'!$D26+'Sheet4(F_22)'!$G26))</f>
        <v>22.450794754653764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121.94727691561161</v>
      </c>
      <c r="M26" s="23">
        <f>IF(A26&gt;=(Title_RESULTS!$H$7+Title_RESULTS!$C$17),0,(+L26-G26))</f>
        <v>70.44570610615281</v>
      </c>
      <c r="N26" s="24">
        <f>(IF(A25&gt;=(Title_RESULTS!$H$7+Title_RESULTS!$C$17),0,(+$M26/((1+Title_RESULTS!$C$37)^('Sheet9(F_25)'!$A26-Title_RESULTS!$H$7))+N25)))</f>
        <v>6.058215269190391</v>
      </c>
    </row>
    <row r="27" ht="12.75">
      <c r="E27" s="5"/>
    </row>
    <row r="28" spans="1:13" ht="12.75">
      <c r="A28" t="s">
        <v>87</v>
      </c>
      <c r="B28" s="5">
        <f aca="true" t="shared" si="1" ref="B28:M28">SUM(B16:B27)</f>
        <v>0</v>
      </c>
      <c r="C28" s="5">
        <f t="shared" si="1"/>
        <v>92.17728</v>
      </c>
      <c r="D28" s="5">
        <f t="shared" si="1"/>
        <v>209.82197755766893</v>
      </c>
      <c r="E28" s="5">
        <f t="shared" si="1"/>
        <v>468.96377355866883</v>
      </c>
      <c r="F28" s="5">
        <f t="shared" si="1"/>
        <v>0</v>
      </c>
      <c r="G28" s="5">
        <f t="shared" si="1"/>
        <v>770.9630311163378</v>
      </c>
      <c r="H28" s="5">
        <f t="shared" si="1"/>
        <v>720.4705185674027</v>
      </c>
      <c r="I28" s="5">
        <f t="shared" si="1"/>
        <v>202.25026054683528</v>
      </c>
      <c r="J28" s="5">
        <f t="shared" si="1"/>
        <v>0</v>
      </c>
      <c r="K28" s="9">
        <f t="shared" si="1"/>
        <v>0</v>
      </c>
      <c r="L28" s="5">
        <f t="shared" si="1"/>
        <v>922.720779114238</v>
      </c>
      <c r="M28" s="5">
        <f t="shared" si="1"/>
        <v>151.7577479979003</v>
      </c>
    </row>
    <row r="30" spans="1:13" ht="12.75">
      <c r="A30" t="s">
        <v>118</v>
      </c>
      <c r="B30" s="5">
        <f>NPV(Title_RESULTS!$C$37,'Sheet9(F_25)'!B17:B27)+'Sheet9(F_25)'!B16</f>
        <v>0</v>
      </c>
      <c r="C30" s="5">
        <f>NPV(Title_RESULTS!$C$37,'Sheet9(F_25)'!C17:C27)+'Sheet9(F_25)'!C16</f>
        <v>86.12379783289325</v>
      </c>
      <c r="D30" s="5">
        <f>NPV(Title_RESULTS!$C$37,'Sheet9(F_25)'!D17:D27)+'Sheet9(F_25)'!D16</f>
        <v>196.25456153580643</v>
      </c>
      <c r="E30" s="5">
        <f>NPV(Title_RESULTS!$C$37,'Sheet9(F_25)'!E17:E27)+'Sheet9(F_25)'!E16</f>
        <v>321.701960394781</v>
      </c>
      <c r="F30" s="5">
        <f>NPV(Title_RESULTS!$C$37,'Sheet9(F_25)'!F17:F27)+'Sheet9(F_25)'!F16</f>
        <v>0</v>
      </c>
      <c r="G30" s="5">
        <f>NPV(Title_RESULTS!$C$37,'Sheet9(F_25)'!G17:G27)+'Sheet9(F_25)'!G16</f>
        <v>604.0803197634806</v>
      </c>
      <c r="H30" s="5">
        <f>NPV(Title_RESULTS!$C$37,'Sheet9(F_25)'!H17:H27)+'Sheet9(F_25)'!H16</f>
        <v>470.4831286026852</v>
      </c>
      <c r="I30" s="5">
        <f>NPV(Title_RESULTS!$C$37,'Sheet9(F_25)'!I17:I27)+'Sheet9(F_25)'!I16</f>
        <v>139.65540642998587</v>
      </c>
      <c r="J30" s="5">
        <f>NPV(Title_RESULTS!$C$37,'Sheet9(F_25)'!J17:J27)+'Sheet9(F_25)'!J16</f>
        <v>0</v>
      </c>
      <c r="K30" s="9">
        <f>NPV(Title_RESULTS!$C$37,'Sheet9(F_25)'!K17:K27)+'Sheet9(F_25)'!K16</f>
        <v>0</v>
      </c>
      <c r="L30" s="5">
        <f>NPV(Title_RESULTS!$C$37,'Sheet9(F_25)'!L17:L27)+'Sheet9(F_25)'!L16</f>
        <v>610.138535032671</v>
      </c>
      <c r="M30" s="5">
        <f>NPV(Title_RESULTS!$C$37,'Sheet9(F_25)'!M17:M27)+'Sheet9(F_25)'!M16</f>
        <v>6.0582152691903985</v>
      </c>
    </row>
    <row r="32" spans="1:10" ht="12.75">
      <c r="A32" t="s">
        <v>175</v>
      </c>
      <c r="D32">
        <f>+Title_RESULTS!C37</f>
        <v>0.0708</v>
      </c>
      <c r="F32" t="s">
        <v>183</v>
      </c>
      <c r="J32" s="10">
        <f>+L30/G30</f>
        <v>1.0100288241000177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385.356360678925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22.4789504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59.71759104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2.2214216600157677</v>
      </c>
      <c r="P24" s="48">
        <f aca="true" t="shared" si="4" ref="P24:P61">N24*$L$5</f>
        <v>5.901429909299482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2.274735779856146</v>
      </c>
      <c r="P25" s="48">
        <f t="shared" si="4"/>
        <v>6.043064227122669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53.02143687280751</v>
      </c>
      <c r="E26" s="11">
        <f>IF(B26=Title_RESULTS!$H$8,$F$16,+E25*(1+$F$7))</f>
        <v>0.09882230355451863</v>
      </c>
      <c r="F26" s="9">
        <f t="shared" si="1"/>
        <v>38.08180325167729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3.0928936724976546</v>
      </c>
      <c r="L26" s="5">
        <f t="shared" si="3"/>
        <v>8.216582899903488</v>
      </c>
      <c r="N26" s="11">
        <f>IF(+B26=Title_RESULTS!$H$9,'Value of Defferal'!$O$16,+'Value of Defferal'!N25*(1+'Value of Defferal'!$F$7))</f>
        <v>0.10362269577198292</v>
      </c>
      <c r="O26" s="5">
        <f t="shared" si="7"/>
        <v>2.3293294385726937</v>
      </c>
      <c r="P26" s="48">
        <f t="shared" si="4"/>
        <v>6.188097768573614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51.45571998619982</v>
      </c>
      <c r="E27" s="11">
        <f>IF(B27=Title_RESULTS!$H$8,$F$16,+E26*(1+$F$7))</f>
        <v>0.10119403883982707</v>
      </c>
      <c r="F27" s="9">
        <f t="shared" si="1"/>
        <v>38.99576652971754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3.001560880760446</v>
      </c>
      <c r="L27" s="5">
        <f t="shared" si="3"/>
        <v>7.973948159025901</v>
      </c>
      <c r="N27" s="11">
        <f>IF(+B27=Title_RESULTS!$H$9,'Value of Defferal'!$O$16,+'Value of Defferal'!N26*(1+'Value of Defferal'!$F$7))</f>
        <v>0.10610964047051051</v>
      </c>
      <c r="O27" s="5">
        <f t="shared" si="7"/>
        <v>2.385233345098438</v>
      </c>
      <c r="P27" s="48">
        <f t="shared" si="4"/>
        <v>6.33661211501938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49.72717996229962</v>
      </c>
      <c r="E28" s="11">
        <f>IF(B28=Title_RESULTS!$H$8,$F$16,+E27*(1+$F$7))</f>
        <v>0.10362269577198292</v>
      </c>
      <c r="F28" s="9">
        <f t="shared" si="1"/>
        <v>39.93166492643077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2.9007301447808693</v>
      </c>
      <c r="L28" s="5">
        <f t="shared" si="3"/>
        <v>7.706081174654132</v>
      </c>
      <c r="N28" s="11">
        <f>IF(+B28=Title_RESULTS!$H$9,'Value of Defferal'!$O$16,+'Value of Defferal'!N27*(1+'Value of Defferal'!$F$7))</f>
        <v>0.10865627184180277</v>
      </c>
      <c r="O28" s="5">
        <f t="shared" si="7"/>
        <v>2.4424789453808007</v>
      </c>
      <c r="P28" s="48">
        <f t="shared" si="4"/>
        <v>6.488690805779846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48.08142747721999</v>
      </c>
      <c r="E29" s="11">
        <f>IF(B29=Title_RESULTS!$H$8,$F$16,+E28*(1+$F$7))</f>
        <v>0.10610964047051051</v>
      </c>
      <c r="F29" s="9">
        <f t="shared" si="1"/>
        <v>40.8900248846651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2.804728645240018</v>
      </c>
      <c r="L29" s="5">
        <f t="shared" si="3"/>
        <v>7.4510435422561665</v>
      </c>
      <c r="N29" s="11">
        <f>IF(+B29=Title_RESULTS!$H$9,'Value of Defferal'!$O$16,+'Value of Defferal'!N28*(1+'Value of Defferal'!$F$7))</f>
        <v>0.11126402236600604</v>
      </c>
      <c r="O29" s="5">
        <f t="shared" si="7"/>
        <v>2.5010984400699403</v>
      </c>
      <c r="P29" s="48">
        <f t="shared" si="4"/>
        <v>6.644419385118562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46.510160844242606</v>
      </c>
      <c r="E30" s="11">
        <f>IF(B30=Title_RESULTS!$H$8,$F$16,+E29*(1+$F$7))</f>
        <v>0.10865627184180277</v>
      </c>
      <c r="F30" s="9">
        <f t="shared" si="1"/>
        <v>41.87138548189707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2.713072120755394</v>
      </c>
      <c r="L30" s="5">
        <f t="shared" si="3"/>
        <v>7.207548772797511</v>
      </c>
      <c r="N30" s="11">
        <f>IF(+B30=Title_RESULTS!$H$9,'Value of Defferal'!$O$16,+'Value of Defferal'!N29*(1+'Value of Defferal'!$F$7))</f>
        <v>0.11393435890279018</v>
      </c>
      <c r="O30" s="5">
        <f t="shared" si="7"/>
        <v>2.5611248026316185</v>
      </c>
      <c r="P30" s="48">
        <f t="shared" si="4"/>
        <v>6.803885450361407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45.00599569009871</v>
      </c>
      <c r="E31" s="11">
        <f>IF(B31=Title_RESULTS!$H$8,$F$16,+E30*(1+$F$7))</f>
        <v>0.11126402236600604</v>
      </c>
      <c r="F31" s="9">
        <f t="shared" si="1"/>
        <v>42.8762987334626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2.6253298194895254</v>
      </c>
      <c r="L31" s="5">
        <f t="shared" si="3"/>
        <v>6.974452530728147</v>
      </c>
      <c r="N31" s="11">
        <f>IF(+B31=Title_RESULTS!$H$9,'Value of Defferal'!$O$16,+'Value of Defferal'!N30*(1+'Value of Defferal'!$F$7))</f>
        <v>0.11666878351645714</v>
      </c>
      <c r="O31" s="5">
        <f t="shared" si="7"/>
        <v>2.6225917978947773</v>
      </c>
      <c r="P31" s="48">
        <f t="shared" si="4"/>
        <v>6.967178701170081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43.54865938755359</v>
      </c>
      <c r="E32" s="11">
        <f>IF(B32=Title_RESULTS!$H$8,$F$16,+E31*(1+$F$7))</f>
        <v>0.11393435890279018</v>
      </c>
      <c r="F32" s="9">
        <f t="shared" si="1"/>
        <v>43.9053299030657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2.540319180497307</v>
      </c>
      <c r="L32" s="5">
        <f t="shared" si="3"/>
        <v>6.748613224041196</v>
      </c>
      <c r="N32" s="11">
        <f>IF(+B32=Title_RESULTS!$H$9,'Value of Defferal'!$O$16,+'Value of Defferal'!N31*(1+'Value of Defferal'!$F$7))</f>
        <v>0.11946883432085212</v>
      </c>
      <c r="O32" s="5">
        <f t="shared" si="7"/>
        <v>2.6855340010442523</v>
      </c>
      <c r="P32" s="48">
        <f t="shared" si="4"/>
        <v>7.134390989998163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42.106321159908376</v>
      </c>
      <c r="E33" s="11">
        <f>IF(B33=Title_RESULTS!$H$8,$F$16,+E32*(1+$F$7))</f>
        <v>0.11666878351645714</v>
      </c>
      <c r="F33" s="9">
        <f t="shared" si="1"/>
        <v>44.959057820739275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2.4561834225662875</v>
      </c>
      <c r="L33" s="5">
        <f t="shared" si="3"/>
        <v>6.525098126825401</v>
      </c>
      <c r="N33" s="11">
        <f>IF(+B33=Title_RESULTS!$H$9,'Value of Defferal'!$O$16,+'Value of Defferal'!N32*(1+'Value of Defferal'!$F$7))</f>
        <v>0.12233608634455258</v>
      </c>
      <c r="O33" s="5">
        <f t="shared" si="7"/>
        <v>2.7499868170693147</v>
      </c>
      <c r="P33" s="48">
        <f t="shared" si="4"/>
        <v>7.305616373758119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40.66398293226315</v>
      </c>
      <c r="E34" s="11">
        <f>IF(B34=Title_RESULTS!$H$8,$F$16,+E33*(1+$F$7))</f>
        <v>0.11946883432085212</v>
      </c>
      <c r="F34" s="9">
        <f t="shared" si="1"/>
        <v>46.03807520843702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2.3720476646352675</v>
      </c>
      <c r="L34" s="5">
        <f t="shared" si="3"/>
        <v>6.301583029609603</v>
      </c>
      <c r="N34" s="11">
        <f>IF(+B34=Title_RESULTS!$H$9,'Value of Defferal'!$O$16,+'Value of Defferal'!N33*(1+'Value of Defferal'!$F$7))</f>
        <v>0.12527215241682185</v>
      </c>
      <c r="O34" s="5">
        <f t="shared" si="7"/>
        <v>2.8159865006789784</v>
      </c>
      <c r="P34" s="48">
        <f t="shared" si="4"/>
        <v>7.480951166728315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39.22164470461794</v>
      </c>
      <c r="E35" s="11">
        <f>IF(B35=Title_RESULTS!$H$8,$F$16,+E34*(1+$F$7))</f>
        <v>0.12233608634455258</v>
      </c>
      <c r="F35" s="9">
        <f t="shared" si="1"/>
        <v>47.14298901343952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2.287911906704248</v>
      </c>
      <c r="L35" s="5">
        <f t="shared" si="3"/>
        <v>6.0780679323938065</v>
      </c>
      <c r="N35" s="11">
        <f>IF(+B35=Title_RESULTS!$H$9,'Value of Defferal'!$O$16,+'Value of Defferal'!N34*(1+'Value of Defferal'!$F$7))</f>
        <v>0.12827868407482557</v>
      </c>
      <c r="O35" s="5">
        <f t="shared" si="7"/>
        <v>2.8835701766952737</v>
      </c>
      <c r="P35" s="48">
        <f t="shared" si="4"/>
        <v>7.660493994729794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37.77930647697272</v>
      </c>
      <c r="E36" s="11">
        <f>IF(B36=Title_RESULTS!$H$8,$F$16,+E35*(1+$F$7))</f>
        <v>0.12527215241682185</v>
      </c>
      <c r="F36" s="9">
        <f t="shared" si="1"/>
        <v>48.274420749762065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2.203776148773229</v>
      </c>
      <c r="L36" s="5">
        <f t="shared" si="3"/>
        <v>5.85455283517801</v>
      </c>
      <c r="N36" s="11">
        <f>IF(+B36=Title_RESULTS!$H$9,'Value of Defferal'!$O$16,+'Value of Defferal'!N35*(1+'Value of Defferal'!$F$7))</f>
        <v>0.1313573724926214</v>
      </c>
      <c r="O36" s="5">
        <f t="shared" si="7"/>
        <v>2.9527758609359602</v>
      </c>
      <c r="P36" s="48">
        <f t="shared" si="4"/>
        <v>7.84434585060331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36.336968249327505</v>
      </c>
      <c r="E37" s="11">
        <f>IF(B37&gt;Title_RESULTS!$H$8-1+Title_RESULTS!$C$18,0,+E36*(1+$F$7))</f>
        <v>0.12827868407482557</v>
      </c>
      <c r="F37" s="9">
        <f t="shared" si="1"/>
        <v>49.43300684775635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2.119640390842209</v>
      </c>
      <c r="L37" s="5">
        <f t="shared" si="3"/>
        <v>5.631037737962213</v>
      </c>
      <c r="N37" s="11">
        <f>IF(+B37=Title_RESULTS!$H$9,'Value of Defferal'!$O$16,+'Value of Defferal'!N36*(1+'Value of Defferal'!$F$7))</f>
        <v>0.1345099494324443</v>
      </c>
      <c r="O37" s="5">
        <f t="shared" si="7"/>
        <v>3.023642481598423</v>
      </c>
      <c r="P37" s="48">
        <f t="shared" si="4"/>
        <v>8.032610151017789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34.89463002168228</v>
      </c>
      <c r="E38" s="11">
        <f>IF(B38&gt;Title_RESULTS!$H$8-1+Title_RESULTS!$C$18,0,+E37*(1+$F$7))</f>
        <v>0.1313573724926214</v>
      </c>
      <c r="F38" s="9">
        <f t="shared" si="1"/>
        <v>50.61939901210251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2.0355046329111888</v>
      </c>
      <c r="L38" s="5">
        <f t="shared" si="3"/>
        <v>5.407522640746416</v>
      </c>
      <c r="N38" s="11">
        <f>IF(+B38=Title_RESULTS!$H$9,'Value of Defferal'!$O$16,+'Value of Defferal'!N37*(1+'Value of Defferal'!$F$7))</f>
        <v>0.13773818821882297</v>
      </c>
      <c r="O38" s="5">
        <f t="shared" si="7"/>
        <v>3.0962099011567856</v>
      </c>
      <c r="P38" s="48">
        <f t="shared" si="4"/>
        <v>8.225392794642216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33.45229179403706</v>
      </c>
      <c r="E39" s="11">
        <f>IF(B39&gt;Title_RESULTS!$H$8-1+Title_RESULTS!$C$18,0,+E38*(1+$F$7))</f>
        <v>0.1345099494324443</v>
      </c>
      <c r="F39" s="9">
        <f t="shared" si="1"/>
        <v>51.83426458839297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1.9513688749801685</v>
      </c>
      <c r="L39" s="5">
        <f t="shared" si="3"/>
        <v>5.184007543530618</v>
      </c>
      <c r="N39" s="11">
        <f>IF(+B39&gt;Title_RESULTS!$H$9+Title_RESULTS!$C$19-1,0,+'Value of Defferal'!N38*(1+'Value of Defferal'!$F$7))</f>
        <v>0.14104390473607473</v>
      </c>
      <c r="O39" s="5">
        <f t="shared" si="7"/>
        <v>3.1705189387845487</v>
      </c>
      <c r="P39" s="48">
        <f t="shared" si="4"/>
        <v>8.42280222171363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32.00995356639185</v>
      </c>
      <c r="E40" s="11">
        <f>IF(B40&gt;Title_RESULTS!$H$8-1+Title_RESULTS!$C$18,0,+E39*(1+$F$7))</f>
        <v>0.13773818821882297</v>
      </c>
      <c r="F40" s="9">
        <f t="shared" si="1"/>
        <v>53.0782869385144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1.8672331170491496</v>
      </c>
      <c r="L40" s="5">
        <f t="shared" si="3"/>
        <v>4.960492446314824</v>
      </c>
      <c r="N40" s="11">
        <f>IF(+B40&gt;Title_RESULTS!$H$9+Title_RESULTS!$C$19-1,0,+'Value of Defferal'!N39*(1+'Value of Defferal'!$F$7))</f>
        <v>0.14442895844974052</v>
      </c>
      <c r="O40" s="5">
        <f t="shared" si="7"/>
        <v>3.2466113933153777</v>
      </c>
      <c r="P40" s="48">
        <f t="shared" si="4"/>
        <v>8.624949475034757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30.70305666957049</v>
      </c>
      <c r="E41" s="11">
        <f>IF(B41&gt;Title_RESULTS!$H$8-1+Title_RESULTS!$C$18,0,+E40*(1+$F$7))</f>
        <v>0.14104390473607473</v>
      </c>
      <c r="F41" s="9">
        <f t="shared" si="1"/>
        <v>54.35216582503875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1.7909980434414288</v>
      </c>
      <c r="L41" s="5">
        <f t="shared" si="3"/>
        <v>4.757966311081651</v>
      </c>
      <c r="N41" s="11">
        <f>IF(+B41&gt;Title_RESULTS!$H$9+Title_RESULTS!$C$19-1,0,+'Value of Defferal'!N40*(1+'Value of Defferal'!$F$7))</f>
        <v>0.1478952534525343</v>
      </c>
      <c r="O41" s="5">
        <f t="shared" si="7"/>
        <v>3.324530066754947</v>
      </c>
      <c r="P41" s="48">
        <f t="shared" si="4"/>
        <v>8.831948262435592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29.666996568724393</v>
      </c>
      <c r="E42" s="11">
        <f>IF(B42&gt;Title_RESULTS!$H$8-1+Title_RESULTS!$C$18,0,+E41*(1+$F$7))</f>
        <v>0.14442895844974052</v>
      </c>
      <c r="F42" s="9">
        <f t="shared" si="1"/>
        <v>55.65661780483968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1.7305616630030556</v>
      </c>
      <c r="L42" s="5">
        <f t="shared" si="3"/>
        <v>4.597410992139507</v>
      </c>
      <c r="N42" s="11">
        <f>IF(+B42&gt;Title_RESULTS!$H$9+Title_RESULTS!$C$19-1,0,+'Value of Defferal'!N41*(1+'Value of Defferal'!$F$7))</f>
        <v>0.1514447395353951</v>
      </c>
      <c r="O42" s="5">
        <f t="shared" si="7"/>
        <v>3.4043187883570654</v>
      </c>
      <c r="P42" s="48">
        <f t="shared" si="4"/>
        <v>9.043915020734046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28.766331933029686</v>
      </c>
      <c r="E43" s="11">
        <f>IF(B43&gt;Title_RESULTS!$H$8-1+Title_RESULTS!$C$18,0,+E42*(1+$F$7))</f>
        <v>0.1478952534525343</v>
      </c>
      <c r="F43" s="9">
        <f t="shared" si="1"/>
        <v>56.99237663215583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1.6780232914107307</v>
      </c>
      <c r="L43" s="5">
        <f t="shared" si="3"/>
        <v>4.457837527505767</v>
      </c>
      <c r="N43" s="11">
        <f>IF(+B43&gt;Title_RESULTS!$H$9+Title_RESULTS!$C$19-1,0,+'Value of Defferal'!N42*(1+'Value of Defferal'!$F$7))</f>
        <v>0.1550794132842446</v>
      </c>
      <c r="O43" s="5">
        <f t="shared" si="7"/>
        <v>3.4860224392776353</v>
      </c>
      <c r="P43" s="48">
        <f t="shared" si="4"/>
        <v>9.260968981231663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27.865667297334983</v>
      </c>
      <c r="E44" s="11">
        <f>IF(B44&gt;Title_RESULTS!$H$8-1+Title_RESULTS!$C$18,0,+E43*(1+$F$7))</f>
        <v>0.1514447395353951</v>
      </c>
      <c r="F44" s="9">
        <f t="shared" si="1"/>
        <v>58.36019367132757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1.625484919818406</v>
      </c>
      <c r="L44" s="5">
        <f t="shared" si="3"/>
        <v>4.318264062872027</v>
      </c>
      <c r="N44" s="11">
        <f>IF(+B44&gt;Title_RESULTS!$H$9+Title_RESULTS!$C$19-1,0,+'Value of Defferal'!N43*(1+'Value of Defferal'!$F$7))</f>
        <v>0.15880131920306648</v>
      </c>
      <c r="O44" s="5">
        <f t="shared" si="7"/>
        <v>3.5696869778202984</v>
      </c>
      <c r="P44" s="48">
        <f t="shared" si="4"/>
        <v>9.483232236781223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26.965002661640266</v>
      </c>
      <c r="E45" s="11">
        <f>IF(B45&gt;Title_RESULTS!$H$8-1+Title_RESULTS!$C$18,0,+E44*(1+$F$7))</f>
        <v>0.1550794132842446</v>
      </c>
      <c r="F45" s="9">
        <f t="shared" si="1"/>
        <v>59.760838319439436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1.5729465482260803</v>
      </c>
      <c r="L45" s="5">
        <f t="shared" si="3"/>
        <v>4.178690598238284</v>
      </c>
      <c r="N45" s="11">
        <f>IF(+B45&gt;Title_RESULTS!$H$9+Title_RESULTS!$C$19-1,0,+'Value of Defferal'!N44*(1+'Value of Defferal'!$F$7))</f>
        <v>0.16261255086394008</v>
      </c>
      <c r="O45" s="5">
        <f t="shared" si="7"/>
        <v>3.655359465287986</v>
      </c>
      <c r="P45" s="48">
        <f t="shared" si="4"/>
        <v>9.710829810463974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26.06433802594556</v>
      </c>
      <c r="E46" s="11">
        <f>IF(B46&gt;Title_RESULTS!$H$8-1+Title_RESULTS!$C$18,0,+E45*(1+$F$7))</f>
        <v>0.15880131920306648</v>
      </c>
      <c r="F46" s="9">
        <f t="shared" si="1"/>
        <v>61.19509843910598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1.5204081766337554</v>
      </c>
      <c r="L46" s="5">
        <f t="shared" si="3"/>
        <v>4.039117133604543</v>
      </c>
      <c r="N46" s="11">
        <f>IF(+B46&gt;Title_RESULTS!$H$9+Title_RESULTS!$C$19-1,0,+'Value of Defferal'!N45*(1+'Value of Defferal'!$F$7))</f>
        <v>0.16651525208467466</v>
      </c>
      <c r="O46" s="5">
        <f t="shared" si="7"/>
        <v>3.743088092454898</v>
      </c>
      <c r="P46" s="48">
        <f t="shared" si="4"/>
        <v>9.94388972591511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25.163673390250857</v>
      </c>
      <c r="E47" s="11">
        <f>IF(B47&gt;Title_RESULTS!$H$8-1+Title_RESULTS!$C$18,0,+E46*(1+$F$7))</f>
        <v>0.16261255086394008</v>
      </c>
      <c r="F47" s="9">
        <f t="shared" si="1"/>
        <v>62.66378080164453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1.4678698050414305</v>
      </c>
      <c r="L47" s="5">
        <f t="shared" si="3"/>
        <v>3.8995436689708027</v>
      </c>
      <c r="N47" s="11">
        <f>IF(+B47&gt;Title_RESULTS!$H$9+Title_RESULTS!$C$19-1,0,+'Value of Defferal'!N46*(1+'Value of Defferal'!$F$7))</f>
        <v>0.17051161813470686</v>
      </c>
      <c r="O47" s="5">
        <f t="shared" si="7"/>
        <v>3.832922206673816</v>
      </c>
      <c r="P47" s="48">
        <f t="shared" si="4"/>
        <v>10.182543079337073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24.26300875455615</v>
      </c>
      <c r="E48" s="11">
        <f>IF(B48&gt;Title_RESULTS!$H$8-1+Title_RESULTS!$C$18,0,+E47*(1+$F$7))</f>
        <v>0.16651525208467466</v>
      </c>
      <c r="F48" s="9">
        <f t="shared" si="1"/>
        <v>64.167711540884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1.4153314334491056</v>
      </c>
      <c r="L48" s="5">
        <f t="shared" si="3"/>
        <v>3.7599702043370615</v>
      </c>
      <c r="N48" s="11">
        <f>IF(+B48&gt;Title_RESULTS!$H$9+Title_RESULTS!$C$19-1,0,+'Value of Defferal'!N47*(1+'Value of Defferal'!$F$7))</f>
        <v>0.17460389696993983</v>
      </c>
      <c r="O48" s="5">
        <f t="shared" si="7"/>
        <v>3.9249123396339876</v>
      </c>
      <c r="P48" s="48">
        <f t="shared" si="4"/>
        <v>10.426924113241162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23.362344118861436</v>
      </c>
      <c r="E49" s="11">
        <f>IF(B49&gt;Title_RESULTS!$H$8-1+Title_RESULTS!$C$18,0,+E48*(1+$F$7))</f>
        <v>0.17051161813470686</v>
      </c>
      <c r="F49" s="9">
        <f t="shared" si="1"/>
        <v>65.70773661786522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1.36279306185678</v>
      </c>
      <c r="L49" s="5">
        <f t="shared" si="3"/>
        <v>3.6203967397033194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22.46167948316673</v>
      </c>
      <c r="E50" s="11">
        <f>IF(B50&gt;Title_RESULTS!$H$8-1+Title_RESULTS!$C$18,0,+E49*(1+$F$7))</f>
        <v>0.17460389696993983</v>
      </c>
      <c r="F50" s="9">
        <f t="shared" si="1"/>
        <v>67.284722296694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1.3102546902644552</v>
      </c>
      <c r="L50" s="5">
        <f t="shared" si="3"/>
        <v>3.4808232750695782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21.561014847472027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1.2577163186721303</v>
      </c>
      <c r="L51" s="5">
        <f t="shared" si="3"/>
        <v>3.3412498104358375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920.6587928761751</v>
      </c>
      <c r="F63" s="9">
        <f>SUM(F23:F61)</f>
        <v>1284.0730158390556</v>
      </c>
      <c r="J63" t="s">
        <v>87</v>
      </c>
      <c r="K63" s="9">
        <f>SUM(K23:K61)</f>
        <v>53.70468857430032</v>
      </c>
      <c r="O63" s="9">
        <f>SUM(O23:O61)</f>
        <v>74.90369065705973</v>
      </c>
    </row>
    <row r="64" spans="3:15" ht="12.75">
      <c r="C64" t="s">
        <v>89</v>
      </c>
      <c r="D64" s="9">
        <f>NPV(+Title_RESULTS!$C$37,'Value of Defferal'!D24:D61)+'Value of Defferal'!D23</f>
        <v>411.07971906848803</v>
      </c>
      <c r="F64" s="9">
        <f>NPV(+Title_RESULTS!$C$37,'Value of Defferal'!F24:F61)+'Value of Defferal'!F23</f>
        <v>477.4768384215271</v>
      </c>
      <c r="J64" t="s">
        <v>89</v>
      </c>
      <c r="K64" s="9">
        <f>NPV(+Title_RESULTS!$C$37,'Value of Defferal'!K24:K61)+'Value of Defferal'!K23</f>
        <v>23.979468248833932</v>
      </c>
      <c r="O64" s="9">
        <f>NPV(+Title_RESULTS!$C$37,'Value of Defferal'!O24:O61)+'Value of Defferal'!O23</f>
        <v>31.936147967426233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0.20975563997936308</v>
      </c>
      <c r="C25" t="s">
        <v>372</v>
      </c>
    </row>
    <row r="26" spans="2:3" ht="18">
      <c r="B26" s="15">
        <f>+((Input!$C$6*'EUE_Line Losses'!C4)+(Input!$C$7*'EUE_Line Losses'!C3))/'EUE_Line Losses'!C22</f>
        <v>0.20907900888265546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7">
      <selection activeCell="C40" sqref="C4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0.236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261.8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1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11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30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132.01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69.94065918588964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Smart Thermostat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43599.32802523148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0.236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0.20975563997936308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7.3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277.3305084745763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5.6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261.8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11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30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132.01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5.9363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0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69.94065918588964</v>
      </c>
      <c r="D39" s="13" t="s">
        <v>189</v>
      </c>
      <c r="G39" s="20" t="s">
        <v>346</v>
      </c>
      <c r="H39" s="79">
        <f>+'Sheet7(F_23)'!H32</f>
        <v>1.3128648621028955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+'Sheet8(F_24)'!K30</f>
        <v>296.4802422438963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+'Sheet9(F_25)'!J32</f>
        <v>1.0100288241000177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2019-05-14T11:52:22Z</dcterms:created>
  <dcterms:modified xsi:type="dcterms:W3CDTF">2019-05-14T11:52:39Z</dcterms:modified>
  <cp:category/>
  <cp:version/>
  <cp:contentType/>
  <cp:contentStatus/>
</cp:coreProperties>
</file>