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'Sheet2(F_12)'!$A$1:$K$50</definedName>
    <definedName name="_xlnm.Print_Area" localSheetId="11">'Sheet3(F_21)'!$A$1:$J$39</definedName>
    <definedName name="_xlnm.Print_Area" localSheetId="14">'Sheet4(F_22)'!$A$1:$J$39</definedName>
    <definedName name="_xlnm.Print_Area" localSheetId="12">'Sheet5(p_5)'!$A$1:$H$39</definedName>
    <definedName name="_xlnm.Print_Area" localSheetId="15">'Sheet6(p_6)'!$A$1:$R$39</definedName>
    <definedName name="_xlnm.Print_Area" localSheetId="16">'Sheet7(F_23)'!$A$1:$M$39</definedName>
    <definedName name="_xlnm.Print_Area" localSheetId="17">'Sheet8(F_24)'!$A$1:$M$39</definedName>
    <definedName name="_xlnm.Print_Area" localSheetId="18">'Sheet9(F_25)'!$A$1:$N$39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<sst xmlns="http://schemas.openxmlformats.org/spreadsheetml/2006/main" count="1258" uniqueCount="468">
  <si>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</si>
  <si>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</si>
  <si>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</si>
  <si>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</si>
  <si>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</si>
  <si>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</si>
  <si>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</si>
  <si>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</si>
  <si>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</si>
  <si>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</si>
  <si>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</si>
  <si>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</si>
  <si>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</si>
  <si>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</si>
  <si>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</si>
  <si>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</si>
  <si>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</si>
  <si>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</si>
  <si>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</si>
  <si>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</si>
  <si>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</si>
  <si>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</si>
  <si>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</si>
  <si>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</si>
  <si>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</si>
  <si>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</si>
  <si>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</si>
  <si>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</si>
  <si>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</si>
  <si>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</si>
  <si>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</si>
  <si>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</si>
  <si>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</si>
  <si>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</si>
  <si>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</si>
  <si>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</si>
  <si>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</si>
  <si>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</si>
  <si>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</si>
  <si>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</si>
  <si>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</si>
  <si>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</si>
  <si>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</si>
  <si>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</si>
  <si>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</si>
  <si>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</si>
  <si>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</si>
  <si>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</si>
  <si>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</si>
  <si>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</si>
  <si>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</si>
  <si>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</si>
  <si>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</si>
  <si>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</si>
  <si>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</si>
  <si>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</si>
  <si>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</si>
  <si>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</si>
  <si>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</si>
  <si>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</si>
  <si>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</si>
  <si>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</si>
  <si>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</si>
  <si>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</si>
  <si>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</si>
  <si>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</si>
  <si>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</si>
  <si>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</si>
  <si>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</si>
  <si>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</si>
  <si>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</si>
  <si>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</si>
  <si>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</si>
  <si>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</si>
  <si>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</si>
  <si>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</si>
  <si>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</si>
  <si>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</si>
  <si>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</si>
  <si>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</si>
  <si>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</si>
  <si>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</si>
  <si>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</si>
  <si>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</si>
  <si>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</si>
  <si>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</si>
  <si>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</si>
  <si>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</si>
  <si>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</si>
  <si>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</si>
  <si>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</si>
  <si>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</si>
  <si>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</si>
  <si>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</si>
  <si>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</si>
  <si>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</si>
  <si>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</si>
  <si>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</si>
  <si>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</si>
  <si>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</si>
  <si>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</si>
  <si>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</si>
  <si>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</si>
  <si>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</si>
  <si>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</si>
  <si>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</si>
  <si>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</si>
  <si>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</si>
  <si>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</si>
  <si>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</si>
  <si>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</si>
  <si>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</si>
  <si>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</si>
  <si>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</si>
  <si>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</si>
  <si>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</si>
  <si>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</si>
  <si>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</si>
  <si>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</si>
  <si>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</si>
  <si>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</si>
  <si>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</si>
  <si>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</si>
  <si>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</si>
  <si>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</si>
  <si>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</si>
  <si>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</si>
  <si>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</si>
  <si>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</si>
  <si>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</si>
  <si>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</si>
  <si>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</si>
  <si>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</si>
  <si>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</si>
  <si>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</si>
  <si>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</si>
  <si>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</si>
  <si>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</si>
  <si>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</si>
  <si>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</si>
  <si>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</si>
  <si>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</si>
  <si>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</si>
  <si>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</si>
  <si>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</si>
  <si>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</si>
  <si>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</si>
  <si>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</si>
  <si>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</si>
  <si>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</si>
  <si>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</si>
  <si>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</si>
  <si>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</si>
  <si>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</si>
  <si>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</si>
  <si>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</si>
  <si>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</si>
  <si>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</si>
  <si>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</si>
  <si>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</si>
  <si>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</si>
  <si>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</si>
  <si>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</si>
  <si>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</si>
  <si>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</si>
  <si>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</si>
  <si>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</si>
  <si>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</si>
  <si>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</si>
  <si>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</si>
  <si>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</si>
  <si>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</si>
  <si>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</si>
  <si>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</si>
  <si>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</si>
  <si>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</si>
  <si>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</si>
  <si>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</si>
  <si>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</si>
  <si>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</si>
  <si>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</si>
  <si>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</si>
  <si>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</si>
  <si>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</si>
  <si>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</si>
  <si>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</si>
  <si>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</si>
  <si>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</si>
  <si>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</si>
  <si>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</si>
  <si>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</si>
  <si>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</si>
  <si>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</si>
  <si>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</si>
  <si>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</si>
  <si>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</si>
  <si>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</si>
  <si>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</si>
  <si>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</si>
  <si>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</si>
  <si>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</si>
  <si>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</si>
  <si>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</si>
  <si>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</si>
  <si>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</si>
  <si>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</si>
  <si>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</si>
  <si>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</si>
  <si>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</si>
  <si>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</si>
  <si>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</si>
  <si>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</si>
  <si>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</si>
  <si>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</si>
  <si>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</si>
  <si>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</si>
  <si>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</si>
  <si>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</si>
  <si>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</si>
  <si>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</si>
  <si>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</si>
  <si>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</si>
  <si>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</si>
  <si>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</si>
  <si>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</si>
  <si>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</si>
  <si>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</si>
  <si>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</si>
  <si>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</si>
  <si>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</si>
  <si>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</si>
  <si>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</si>
  <si>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</si>
  <si>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</si>
  <si>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</si>
  <si>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</si>
  <si>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</si>
  <si>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</si>
  <si>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</si>
  <si>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</si>
  <si>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</si>
  <si>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</si>
  <si>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</si>
  <si>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</si>
  <si>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</si>
  <si>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</si>
  <si>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</si>
  <si>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</si>
  <si>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</si>
  <si>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</si>
  <si>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</si>
  <si>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</si>
  <si>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</si>
  <si>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</si>
  <si>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</si>
  <si>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</si>
  <si>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</si>
  <si>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</si>
  <si>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</si>
  <si>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</si>
  <si>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</si>
  <si>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</si>
  <si>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</si>
  <si>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</si>
  <si>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</si>
  <si>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</si>
  <si>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</si>
  <si>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</si>
  <si>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</si>
  <si>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</si>
  <si>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</si>
  <si>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</si>
  <si>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</si>
  <si>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</si>
  <si>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</si>
  <si>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</si>
  <si>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</si>
  <si>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</si>
  <si>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</si>
  <si>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</si>
  <si>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</si>
  <si>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</si>
  <si>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</si>
  <si>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</si>
  <si>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</si>
  <si>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</si>
  <si>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</si>
  <si>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</si>
  <si>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</si>
  <si>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</si>
  <si>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</si>
  <si>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</si>
  <si>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</si>
  <si>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</si>
  <si>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</si>
  <si>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</si>
  <si>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</si>
  <si>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</si>
  <si>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</si>
  <si>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</si>
  <si>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</si>
  <si>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</si>
  <si>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</si>
  <si>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</si>
  <si>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</si>
  <si>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</si>
  <si>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</si>
  <si>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</si>
  <si>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</si>
  <si>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</si>
  <si>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</si>
  <si>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</si>
  <si>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</si>
  <si>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</si>
  <si>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</si>
  <si>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</si>
  <si>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</si>
  <si>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</si>
  <si>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</si>
  <si>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</si>
  <si>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</si>
  <si>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</si>
  <si>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</si>
  <si>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</si>
  <si>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</si>
  <si>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</si>
  <si>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</si>
  <si>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</si>
  <si>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</si>
  <si>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</si>
  <si>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</si>
  <si>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</si>
  <si>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</si>
  <si>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</si>
  <si>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</si>
  <si>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</si>
  <si>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</si>
  <si>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</si>
  <si>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</si>
  <si>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</si>
  <si>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</si>
  <si>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</si>
  <si>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</si>
  <si>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</si>
  <si>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</si>
  <si>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</si>
  <si>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</si>
  <si>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</si>
  <si>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</si>
  <si>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</si>
  <si>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</si>
  <si>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</si>
  <si>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</si>
  <si>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</si>
  <si>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</si>
  <si>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</si>
  <si>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</si>
  <si>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</si>
  <si>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</si>
  <si>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</si>
  <si>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</si>
  <si>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</si>
  <si>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</si>
  <si>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</si>
  <si>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</si>
  <si>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</si>
  <si>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</si>
  <si>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</si>
  <si>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</si>
  <si>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</si>
  <si>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</si>
  <si>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</si>
  <si>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</si>
  <si>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</si>
  <si>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</si>
  <si>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</si>
  <si>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</si>
  <si>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</si>
  <si>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</si>
  <si>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</si>
  <si>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</si>
  <si>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</si>
  <si>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</si>
  <si>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</si>
  <si>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</si>
  <si>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</si>
  <si>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</si>
  <si>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</si>
  <si>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</si>
  <si>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</si>
  <si>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</si>
  <si>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</si>
  <si>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</si>
  <si>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</si>
  <si>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</si>
  <si>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</si>
  <si>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</si>
  <si>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</si>
  <si>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</si>
  <si>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</si>
  <si>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</si>
  <si>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</si>
  <si>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</si>
  <si>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</si>
  <si>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</si>
  <si>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</si>
  <si>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</si>
  <si>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</si>
  <si>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</si>
  <si>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</si>
  <si>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</si>
  <si>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</si>
  <si>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</si>
  <si>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</si>
  <si>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</si>
  <si>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</si>
  <si>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</si>
  <si>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</si>
  <si>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</si>
  <si>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</si>
  <si>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</si>
  <si>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</si>
  <si>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</si>
  <si>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</si>
  <si>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</si>
  <si>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</si>
  <si>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</si>
  <si>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</si>
  <si>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</si>
  <si>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</si>
  <si>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</si>
  <si>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</si>
  <si>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</si>
  <si>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</si>
  <si>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</si>
  <si>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</si>
  <si>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</si>
  <si>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</si>
  <si>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</si>
  <si>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</si>
  <si>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</si>
  <si>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</si>
  <si>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</si>
  <si>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</si>
  <si>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</si>
  <si>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</si>
  <si>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</si>
  <si>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</si>
  <si>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</si>
  <si>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</si>
  <si>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</si>
  <si>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</si>
  <si>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</si>
  <si>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</si>
  <si>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</si>
  <si>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</si>
  <si>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</si>
  <si>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</si>
  <si>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</si>
  <si>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</si>
  <si>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</si>
  <si>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</si>
  <si>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</si>
  <si>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</si>
  <si>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</si>
  <si>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</si>
  <si>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</si>
  <si>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Residential Duct Repair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</si>
</sst>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43599.32854826389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758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43599.32854826389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Residential Duct Repair</v>
      </c>
      <c r="J2" t="s">
        <v>55</v>
      </c>
    </row>
    <row r="3" ht="12.75">
      <c r="J3" s="35">
        <f>+Title_RESULTS!I4</f>
        <v>43599.32854826389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758</v>
      </c>
      <c r="H5" t="s">
        <v>59</v>
      </c>
    </row>
    <row r="6" spans="3:7" ht="12.75">
      <c r="C6" t="s">
        <v>61</v>
      </c>
      <c r="G6" s="36">
        <f>+'Value of Defferal'!E3</f>
        <v>464.38811032531817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3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45.89190280567788</v>
      </c>
      <c r="D19" s="5">
        <f>IF((Title_RESULTS!$H$8-Title_RESULTS!$H$7)&lt;=('Sheet3(F_21)'!A19-Title_RESULTS!$H$7),((Title_RESULTS!$C$8*Partcipation!$C$26*8760*Title_RESULTS!$H$21/100000)),0)</f>
        <v>604.0595844378781</v>
      </c>
      <c r="E19" s="5">
        <f>IF($G19=0,0,((Title_RESULTS!$H$14*((1+Title_RESULTS!$H$15/100)^($A19-Title_RESULTS!$H$7))*'EUE_Line Losses'!$B$25*Partcipation!$C$26))/1000)</f>
        <v>4.743541513867009</v>
      </c>
      <c r="F19" s="5">
        <f>IF($G19=0,0,(Title_RESULTS!$H$19/100*((1+Title_RESULTS!$H$20/100)^($A19-Title_RESULTS!$H$7))*$D19*1000)/1000)</f>
        <v>1.3620684839979194</v>
      </c>
      <c r="G19" s="5">
        <f>(+Title_RESULTS!$H$22/100*((1+Title_RESULTS!$H$23/100)^(+'Sheet4(F_22)'!A19-Title_RESULTS!$H$7)))*'Sheet3(F_21)'!D19</f>
        <v>25.87965810293498</v>
      </c>
      <c r="H19" s="5">
        <f>IF($G19=0,0,(($D19))*(Partcipation!$G19/100))</f>
        <v>19.164560962968455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58.712609943509335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46.993308473014146</v>
      </c>
      <c r="D20" s="5">
        <f>IF((Title_RESULTS!$H$8-Title_RESULTS!$H$7)&lt;=('Sheet3(F_21)'!A20-Title_RESULTS!$H$7),((Title_RESULTS!$C$8*Partcipation!$C$26*8760*Title_RESULTS!$H$21/100000)),0)</f>
        <v>604.0595844378781</v>
      </c>
      <c r="E20" s="5">
        <f>IF($G20=0,0,((Title_RESULTS!$H$14*((1+Title_RESULTS!$H$15/100)^($A20-Title_RESULTS!$H$7))*'EUE_Line Losses'!$B$25*Partcipation!$C$26))/1000)</f>
        <v>4.857386510199817</v>
      </c>
      <c r="F20" s="5">
        <f>IF($G20=0,0,(Title_RESULTS!$H$19/100*((1+Title_RESULTS!$H$20/100)^($A20-Title_RESULTS!$H$7))*$D20*1000)/1000)</f>
        <v>1.3947581276138694</v>
      </c>
      <c r="G20" s="5">
        <f>(+Title_RESULTS!$H$22/100*((1+Title_RESULTS!$H$23/100)^(+'Sheet4(F_22)'!A20-Title_RESULTS!$H$7)))*'Sheet3(F_21)'!D20</f>
        <v>27.05459458080823</v>
      </c>
      <c r="H20" s="5">
        <f>IF($G20=0,0,(($D20))*(Partcipation!$G20/100))</f>
        <v>20.021876151163305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60.27817154047276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48.121147876366486</v>
      </c>
      <c r="D21" s="5">
        <f>IF((Title_RESULTS!$H$8-Title_RESULTS!$H$7)&lt;=('Sheet3(F_21)'!A21-Title_RESULTS!$H$7),((Title_RESULTS!$C$8*Partcipation!$C$26*8760*Title_RESULTS!$H$21/100000)),0)</f>
        <v>604.0595844378781</v>
      </c>
      <c r="E21" s="5">
        <f>IF($G21=0,0,((Title_RESULTS!$H$14*((1+Title_RESULTS!$H$15/100)^($A21-Title_RESULTS!$H$7))*'EUE_Line Losses'!$B$25*Partcipation!$C$26))/1000)</f>
        <v>4.973963786444612</v>
      </c>
      <c r="F21" s="5">
        <f>IF($G21=0,0,(Title_RESULTS!$H$19/100*((1+Title_RESULTS!$H$20/100)^($A21-Title_RESULTS!$H$7))*$D21*1000)/1000)</f>
        <v>1.4282323226766025</v>
      </c>
      <c r="G21" s="5">
        <f>(+Title_RESULTS!$H$22/100*((1+Title_RESULTS!$H$23/100)^(+'Sheet4(F_22)'!A21-Title_RESULTS!$H$7)))*'Sheet3(F_21)'!D21</f>
        <v>28.282873174776928</v>
      </c>
      <c r="H21" s="5">
        <f>IF($G21=0,0,(($D21))*(Partcipation!$G21/100))</f>
        <v>20.815309332511113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61.990907827753524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49.27605542539928</v>
      </c>
      <c r="D22" s="5">
        <f>IF((Title_RESULTS!$H$8-Title_RESULTS!$H$7)&lt;=('Sheet3(F_21)'!A22-Title_RESULTS!$H$7),((Title_RESULTS!$C$8*Partcipation!$C$26*8760*Title_RESULTS!$H$21/100000)),0)</f>
        <v>604.0595844378781</v>
      </c>
      <c r="E22" s="5">
        <f>IF($G22=0,0,((Title_RESULTS!$H$14*((1+Title_RESULTS!$H$15/100)^($A22-Title_RESULTS!$H$7))*'EUE_Line Losses'!$B$25*Partcipation!$C$26))/1000)</f>
        <v>5.093338917319282</v>
      </c>
      <c r="F22" s="5">
        <f>IF($G22=0,0,(Title_RESULTS!$H$19/100*((1+Title_RESULTS!$H$20/100)^($A22-Title_RESULTS!$H$7))*$D22*1000)/1000)</f>
        <v>1.4625098984208407</v>
      </c>
      <c r="G22" s="5">
        <f>(+Title_RESULTS!$H$22/100*((1+Title_RESULTS!$H$23/100)^(+'Sheet4(F_22)'!A22-Title_RESULTS!$H$7)))*'Sheet3(F_21)'!D22</f>
        <v>29.566915616911803</v>
      </c>
      <c r="H22" s="5">
        <f>IF($G22=0,0,(($D22))*(Partcipation!$G22/100))</f>
        <v>21.48973279498255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63.90908706306866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50.45868075560887</v>
      </c>
      <c r="D23" s="5">
        <f>IF((Title_RESULTS!$H$8-Title_RESULTS!$H$7)&lt;=('Sheet3(F_21)'!A23-Title_RESULTS!$H$7),((Title_RESULTS!$C$8*Partcipation!$C$26*8760*Title_RESULTS!$H$21/100000)),0)</f>
        <v>604.0595844378781</v>
      </c>
      <c r="E23" s="5">
        <f>IF($G23=0,0,((Title_RESULTS!$H$14*((1+Title_RESULTS!$H$15/100)^($A23-Title_RESULTS!$H$7))*'EUE_Line Losses'!$B$25*Partcipation!$C$26))/1000)</f>
        <v>5.215579051334946</v>
      </c>
      <c r="F23" s="5">
        <f>IF($G23=0,0,(Title_RESULTS!$H$19/100*((1+Title_RESULTS!$H$20/100)^($A23-Title_RESULTS!$H$7))*$D23*1000)/1000)</f>
        <v>1.497610135982941</v>
      </c>
      <c r="G23" s="5">
        <f>(+Title_RESULTS!$H$22/100*((1+Title_RESULTS!$H$23/100)^(+'Sheet4(F_22)'!A23-Title_RESULTS!$H$7)))*'Sheet3(F_21)'!D23</f>
        <v>30.909253585919604</v>
      </c>
      <c r="H23" s="5">
        <f>IF($G23=0,0,(($D23))*(Partcipation!$G23/100))</f>
        <v>22.451606119746227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65.62951740910012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51.66968909374348</v>
      </c>
      <c r="D24" s="5">
        <f>IF((Title_RESULTS!$H$8-Title_RESULTS!$H$7)&lt;=('Sheet3(F_21)'!A24-Title_RESULTS!$H$7),((Title_RESULTS!$C$8*Partcipation!$C$26*8760*Title_RESULTS!$H$21/100000)),0)</f>
        <v>604.0595844378781</v>
      </c>
      <c r="E24" s="5">
        <f>IF($G24=0,0,((Title_RESULTS!$H$14*((1+Title_RESULTS!$H$15/100)^($A24-Title_RESULTS!$H$7))*'EUE_Line Losses'!$B$25*Partcipation!$C$26))/1000)</f>
        <v>5.340752948566984</v>
      </c>
      <c r="F24" s="5">
        <f>IF($G24=0,0,(Title_RESULTS!$H$19/100*((1+Title_RESULTS!$H$20/100)^($A24-Title_RESULTS!$H$7))*$D24*1000)/1000)</f>
        <v>1.5335527792465315</v>
      </c>
      <c r="G24" s="5">
        <f>(+Title_RESULTS!$H$22/100*((1+Title_RESULTS!$H$23/100)^(+'Sheet4(F_22)'!A24-Title_RESULTS!$H$7)))*'Sheet3(F_21)'!D24</f>
        <v>32.31253369872036</v>
      </c>
      <c r="H24" s="5">
        <f>IF($G24=0,0,(($D24))*(Partcipation!$G24/100))</f>
        <v>24.16386416724112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66.69266435303624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52.90976163199332</v>
      </c>
      <c r="D25" s="5">
        <f>IF((Title_RESULTS!$H$8-Title_RESULTS!$H$7)&lt;=('Sheet3(F_21)'!A25-Title_RESULTS!$H$7),((Title_RESULTS!$C$8*Partcipation!$C$26*8760*Title_RESULTS!$H$21/100000)),0)</f>
        <v>604.0595844378781</v>
      </c>
      <c r="E25" s="5">
        <f>IF($G25=0,0,((Title_RESULTS!$H$14*((1+Title_RESULTS!$H$15/100)^($A25-Title_RESULTS!$H$7))*'EUE_Line Losses'!$B$25*Partcipation!$C$26))/1000)</f>
        <v>5.468931019332591</v>
      </c>
      <c r="F25" s="5">
        <f>IF($G25=0,0,(Title_RESULTS!$H$19/100*((1+Title_RESULTS!$H$20/100)^($A25-Title_RESULTS!$H$7))*$D25*1000)/1000)</f>
        <v>1.570358045948448</v>
      </c>
      <c r="G25" s="5">
        <f>(+Title_RESULTS!$H$22/100*((1+Title_RESULTS!$H$23/100)^(+'Sheet4(F_22)'!A25-Title_RESULTS!$H$7)))*'Sheet3(F_21)'!D25</f>
        <v>33.77952272864226</v>
      </c>
      <c r="H25" s="5">
        <f>IF($G25=0,0,(($D25))*(Partcipation!$G25/100))</f>
        <v>25.22431113846524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68.50426228745138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54.17959591116116</v>
      </c>
      <c r="D26" s="5">
        <f>IF((Title_RESULTS!$H$8-Title_RESULTS!$H$7)&lt;=('Sheet3(F_21)'!A26-Title_RESULTS!$H$7),((Title_RESULTS!$C$8*Partcipation!$C$26*8760*Title_RESULTS!$H$21/100000)),0)</f>
        <v>604.0595844378781</v>
      </c>
      <c r="E26" s="5">
        <f>IF($G26=0,0,((Title_RESULTS!$H$14*((1+Title_RESULTS!$H$15/100)^($A26-Title_RESULTS!$H$7))*'EUE_Line Losses'!$B$25*Partcipation!$C$26))/1000)</f>
        <v>5.600185363796573</v>
      </c>
      <c r="F26" s="5">
        <f>IF($G26=0,0,(Title_RESULTS!$H$19/100*((1+Title_RESULTS!$H$20/100)^($A26-Title_RESULTS!$H$7))*$D26*1000)/1000)</f>
        <v>1.608046639051211</v>
      </c>
      <c r="G26" s="5">
        <f>(+Title_RESULTS!$H$22/100*((1+Title_RESULTS!$H$23/100)^(+'Sheet4(F_22)'!A26-Title_RESULTS!$H$7)))*'Sheet3(F_21)'!D26</f>
        <v>35.313113060522625</v>
      </c>
      <c r="H26" s="5">
        <f>IF($G26=0,0,(($D26))*(Partcipation!$G26/100))</f>
        <v>27.099811990857138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69.60112898367443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55.47990621302903</v>
      </c>
      <c r="D27" s="5">
        <f>IF((Title_RESULTS!$H$8-Title_RESULTS!$H$7)&lt;=('Sheet3(F_21)'!A27-Title_RESULTS!$H$7),((Title_RESULTS!$C$8*Partcipation!$C$26*8760*Title_RESULTS!$H$21/100000)),0)</f>
        <v>604.0595844378781</v>
      </c>
      <c r="E27" s="5">
        <f>IF($G27=0,0,((Title_RESULTS!$H$14*((1+Title_RESULTS!$H$15/100)^($A27-Title_RESULTS!$H$7))*'EUE_Line Losses'!$B$25*Partcipation!$C$26))/1000)</f>
        <v>5.734589812527693</v>
      </c>
      <c r="F27" s="5">
        <f>IF($G27=0,0,(Title_RESULTS!$H$19/100*((1+Title_RESULTS!$H$20/100)^($A27-Title_RESULTS!$H$7))*$D27*1000)/1000)</f>
        <v>1.6466397583884402</v>
      </c>
      <c r="G27" s="5">
        <f>(+Title_RESULTS!$H$22/100*((1+Title_RESULTS!$H$23/100)^(+'Sheet4(F_22)'!A27-Title_RESULTS!$H$7)))*'Sheet3(F_21)'!D27</f>
        <v>36.91632839347036</v>
      </c>
      <c r="H27" s="5">
        <f>IF($G27=0,0,(($D27))*(Partcipation!$G27/100))</f>
        <v>27.7737045517582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72.00375962565732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56.81142396214173</v>
      </c>
      <c r="D28" s="5">
        <f>IF((Title_RESULTS!$H$8-Title_RESULTS!$H$7)&lt;=('Sheet3(F_21)'!A28-Title_RESULTS!$H$7),((Title_RESULTS!$C$8*Partcipation!$C$26*8760*Title_RESULTS!$H$21/100000)),0)</f>
        <v>604.0595844378781</v>
      </c>
      <c r="E28" s="5">
        <f>IF($G28=0,0,((Title_RESULTS!$H$14*((1+Title_RESULTS!$H$15/100)^($A28-Title_RESULTS!$H$7))*'EUE_Line Losses'!$B$25*Partcipation!$C$26))/1000)</f>
        <v>5.872219968028356</v>
      </c>
      <c r="F28" s="5">
        <f>IF($G28=0,0,(Title_RESULTS!$H$19/100*((1+Title_RESULTS!$H$20/100)^($A28-Title_RESULTS!$H$7))*$D28*1000)/1000)</f>
        <v>1.6861591125897626</v>
      </c>
      <c r="G28" s="5">
        <f>(+Title_RESULTS!$H$22/100*((1+Title_RESULTS!$H$23/100)^(+'Sheet4(F_22)'!A28-Title_RESULTS!$H$7)))*'Sheet3(F_21)'!D28</f>
        <v>38.59232970253392</v>
      </c>
      <c r="H28" s="5">
        <f>IF($G28=0,0,(($D28))*(Partcipation!$G28/100))</f>
        <v>29.440402103563958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73.52173064172982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58.174898137233136</v>
      </c>
      <c r="D29" s="5">
        <f>IF((Title_RESULTS!$H$8-Title_RESULTS!$H$7)&lt;=('Sheet3(F_21)'!A29-Title_RESULTS!$H$7),((Title_RESULTS!$C$8*Partcipation!$C$26*8760*Title_RESULTS!$H$21/100000)),0)</f>
        <v>604.0595844378781</v>
      </c>
      <c r="E29" s="5">
        <f>IF($G29=0,0,((Title_RESULTS!$H$14*((1+Title_RESULTS!$H$15/100)^($A29-Title_RESULTS!$H$7))*'EUE_Line Losses'!$B$25*Partcipation!$C$26))/1000)</f>
        <v>6.013153247261037</v>
      </c>
      <c r="F29" s="5">
        <f>IF($G29=0,0,(Title_RESULTS!$H$19/100*((1+Title_RESULTS!$H$20/100)^($A29-Title_RESULTS!$H$7))*$D29*1000)/1000)</f>
        <v>1.726626931291917</v>
      </c>
      <c r="G29" s="5">
        <f>(+Title_RESULTS!$H$22/100*((1+Title_RESULTS!$H$23/100)^(+'Sheet4(F_22)'!A29-Title_RESULTS!$H$7)))*'Sheet3(F_21)'!D29</f>
        <v>40.34442147102896</v>
      </c>
      <c r="H29" s="5">
        <f>IF($G29=0,0,(($D29))*(Partcipation!$G29/100))</f>
        <v>30.111862862687943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76.14723692412711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59.57109569252673</v>
      </c>
      <c r="D30" s="5">
        <f>IF((Title_RESULTS!$H$8-Title_RESULTS!$H$7)&lt;=('Sheet3(F_21)'!A30-Title_RESULTS!$H$7),((Title_RESULTS!$C$8*Partcipation!$C$26*8760*Title_RESULTS!$H$21/100000)),0)</f>
        <v>604.0595844378781</v>
      </c>
      <c r="E30" s="5">
        <f>IF($G30=0,0,((Title_RESULTS!$H$14*((1+Title_RESULTS!$H$15/100)^($A30-Title_RESULTS!$H$7))*'EUE_Line Losses'!$B$25*Partcipation!$C$26))/1000)</f>
        <v>6.1574689251953005</v>
      </c>
      <c r="F30" s="5">
        <f>IF($G30=0,0,(Title_RESULTS!$H$19/100*((1+Title_RESULTS!$H$20/100)^($A30-Title_RESULTS!$H$7))*$D30*1000)/1000)</f>
        <v>1.7680659776429228</v>
      </c>
      <c r="G30" s="5">
        <f>(+Title_RESULTS!$H$22/100*((1+Title_RESULTS!$H$23/100)^(+'Sheet4(F_22)'!A30-Title_RESULTS!$H$7)))*'Sheet3(F_21)'!D30</f>
        <v>42.176058205813675</v>
      </c>
      <c r="H30" s="5">
        <f>IF($G30=0,0,(($D30))*(Partcipation!$G30/100))</f>
        <v>32.054893990654065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77.61779481052456</v>
      </c>
    </row>
    <row r="31" spans="1:10" ht="12.75">
      <c r="A31">
        <f t="shared" si="0"/>
        <v>2035</v>
      </c>
      <c r="B31" s="43">
        <f>VLOOKUP(A31,'Value of Defferal'!$B38:$F$61,'Value of Defferal'!$C$10)</f>
        <v>0.1313573724926214</v>
      </c>
      <c r="C31" s="44">
        <f>VLOOKUP(A31,'Value of Defferal'!$B38:$F$61,'Value of Defferal'!$C$9)</f>
        <v>61.00080198914738</v>
      </c>
      <c r="D31" s="5">
        <f>IF((Title_RESULTS!$H$8-Title_RESULTS!$H$7)&lt;=('Sheet3(F_21)'!A31-Title_RESULTS!$H$7),((Title_RESULTS!$C$8*Partcipation!$C$26*8760*Title_RESULTS!$H$21/100000)),0)</f>
        <v>604.0595844378781</v>
      </c>
      <c r="E31" s="5">
        <f>IF($G31=0,0,((Title_RESULTS!$H$14*((1+Title_RESULTS!$H$15/100)^($A31-Title_RESULTS!$H$7))*'EUE_Line Losses'!$B$25*Partcipation!$C$26))/1000)</f>
        <v>6.30524817939999</v>
      </c>
      <c r="F31" s="5">
        <f>IF($G31=0,0,(Title_RESULTS!$H$19/100*((1+Title_RESULTS!$H$20/100)^($A31-Title_RESULTS!$H$7))*$D31*1000)/1000)</f>
        <v>1.8104995611063532</v>
      </c>
      <c r="G31" s="5">
        <f>(+Title_RESULTS!$H$22/100*((1+Title_RESULTS!$H$23/100)^(+'Sheet4(F_22)'!A31-Title_RESULTS!$H$7)))*'Sheet3(F_21)'!D31</f>
        <v>44.090851248357616</v>
      </c>
      <c r="H31" s="5">
        <f>IF($G31=0,0,(($D31))*(Partcipation!$G31/100))</f>
        <v>33.28398186625553</v>
      </c>
      <c r="I31" s="5">
        <f>IF($A31&gt;=+Title_RESULTS!$H$8,+Partcipation!$C$60*Title_RESULTS!$H$24/1000*(1+Title_RESULTS!$H$25/100)^($A31-Title_RESULTS!$H$7),0)</f>
        <v>0</v>
      </c>
      <c r="J31" s="5">
        <f>(+C31+G31+E31+F31-H31+I31)*Partcipation!H31</f>
        <v>79.92341911175582</v>
      </c>
    </row>
    <row r="32" spans="1:10" ht="12.75">
      <c r="A32">
        <f t="shared" si="0"/>
        <v>2036</v>
      </c>
      <c r="B32" s="43">
        <f>VLOOKUP(A32,'Value of Defferal'!$B39:$F$61,'Value of Defferal'!$C$10)</f>
        <v>0.1345099494324443</v>
      </c>
      <c r="C32" s="44">
        <f>VLOOKUP(A32,'Value of Defferal'!$B39:$F$61,'Value of Defferal'!$C$9)</f>
        <v>62.464821236886905</v>
      </c>
      <c r="D32" s="5">
        <f>IF((Title_RESULTS!$H$8-Title_RESULTS!$H$7)&lt;=('Sheet3(F_21)'!A32-Title_RESULTS!$H$7),((Title_RESULTS!$C$8*Partcipation!$C$26*8760*Title_RESULTS!$H$21/100000)),0)</f>
        <v>604.0595844378781</v>
      </c>
      <c r="E32" s="5">
        <f>IF($G32=0,0,((Title_RESULTS!$H$14*((1+Title_RESULTS!$H$15/100)^($A32-Title_RESULTS!$H$7))*'EUE_Line Losses'!$B$25*Partcipation!$C$26))/1000)</f>
        <v>6.456574135705588</v>
      </c>
      <c r="F32" s="5">
        <f>IF($G32=0,0,(Title_RESULTS!$H$19/100*((1+Title_RESULTS!$H$20/100)^($A32-Title_RESULTS!$H$7))*$D32*1000)/1000)</f>
        <v>1.8539515505729052</v>
      </c>
      <c r="G32" s="5">
        <f>(+Title_RESULTS!$H$22/100*((1+Title_RESULTS!$H$23/100)^(+'Sheet4(F_22)'!A32-Title_RESULTS!$H$7)))*'Sheet3(F_21)'!D32</f>
        <v>46.092575895033065</v>
      </c>
      <c r="H32" s="5">
        <f>IF($G32=0,0,(($D32))*(Partcipation!$G32/100))</f>
        <v>33.95504203021329</v>
      </c>
      <c r="I32" s="5">
        <f>IF($A32&gt;=+Title_RESULTS!$H$8,+Partcipation!$C$60*Title_RESULTS!$H$24/1000*(1+Title_RESULTS!$H$25/100)^($A32-Title_RESULTS!$H$7),0)</f>
        <v>0</v>
      </c>
      <c r="J32" s="5">
        <f>(+C32+G32+E32+F32-H32+I32)*Partcipation!H32</f>
        <v>82.91288078798517</v>
      </c>
    </row>
    <row r="33" spans="1:10" ht="12.75">
      <c r="A33">
        <f t="shared" si="0"/>
        <v>2037</v>
      </c>
      <c r="B33" s="43">
        <f>VLOOKUP(A33,'Value of Defferal'!$B40:$F$61,'Value of Defferal'!$C$10)</f>
        <v>0.13773818821882297</v>
      </c>
      <c r="C33" s="44">
        <f>VLOOKUP(A33,'Value of Defferal'!$B40:$F$61,'Value of Defferal'!$C$9)</f>
        <v>63.9639769465722</v>
      </c>
      <c r="D33" s="5">
        <f>IF((Title_RESULTS!$H$8-Title_RESULTS!$H$7)&lt;=('Sheet3(F_21)'!A33-Title_RESULTS!$H$7),((Title_RESULTS!$C$8*Partcipation!$C$26*8760*Title_RESULTS!$H$21/100000)),0)</f>
        <v>604.0595844378781</v>
      </c>
      <c r="E33" s="5">
        <f>IF($G33=0,0,((Title_RESULTS!$H$14*((1+Title_RESULTS!$H$15/100)^($A33-Title_RESULTS!$H$7))*'EUE_Line Losses'!$B$25*Partcipation!$C$26))/1000)</f>
        <v>6.611531914962522</v>
      </c>
      <c r="F33" s="5">
        <f>IF($G33=0,0,(Title_RESULTS!$H$19/100*((1+Title_RESULTS!$H$20/100)^($A33-Title_RESULTS!$H$7))*$D33*1000)/1000)</f>
        <v>1.8984463877866553</v>
      </c>
      <c r="G33" s="5">
        <f>(+Title_RESULTS!$H$22/100*((1+Title_RESULTS!$H$23/100)^(+'Sheet4(F_22)'!A33-Title_RESULTS!$H$7)))*'Sheet3(F_21)'!D33</f>
        <v>48.185178840667575</v>
      </c>
      <c r="H33" s="5">
        <f>IF($G33=0,0,(($D33))*(Partcipation!$G33/100))</f>
        <v>35.79537738331411</v>
      </c>
      <c r="I33" s="5">
        <f>IF($A33&gt;=+Title_RESULTS!$H$8,+Partcipation!$C$60*Title_RESULTS!$H$24/1000*(1+Title_RESULTS!$H$25/100)^($A33-Title_RESULTS!$H$7),0)</f>
        <v>0</v>
      </c>
      <c r="J33" s="5">
        <f>(+C33+G33+E33+F33-H33+I33)*Partcipation!H33</f>
        <v>84.86375670667485</v>
      </c>
    </row>
    <row r="34" spans="3:10" ht="12.75">
      <c r="C34" s="5"/>
      <c r="D34" s="5"/>
      <c r="E34" s="5"/>
      <c r="F34" s="5"/>
      <c r="G34" s="5"/>
      <c r="H34" s="5"/>
      <c r="I34" s="5"/>
      <c r="J34" s="5"/>
    </row>
    <row r="35" spans="1:10" ht="12.75">
      <c r="A35" t="s">
        <v>87</v>
      </c>
      <c r="B35" s="9"/>
      <c r="C35" s="9">
        <f aca="true" t="shared" si="1" ref="C35:J35">SUM(C16:C34)</f>
        <v>816.9670661505016</v>
      </c>
      <c r="D35" s="9">
        <f t="shared" si="1"/>
        <v>9060.893766568175</v>
      </c>
      <c r="E35" s="9">
        <f t="shared" si="1"/>
        <v>84.44446529394232</v>
      </c>
      <c r="F35" s="9">
        <f t="shared" si="1"/>
        <v>24.247525712317323</v>
      </c>
      <c r="G35" s="9">
        <f t="shared" si="1"/>
        <v>539.496208306142</v>
      </c>
      <c r="H35" s="9">
        <f t="shared" si="1"/>
        <v>402.84633744638234</v>
      </c>
      <c r="I35" s="9">
        <f t="shared" si="1"/>
        <v>0</v>
      </c>
      <c r="J35" s="9">
        <f t="shared" si="1"/>
        <v>1062.3089280165211</v>
      </c>
    </row>
    <row r="36" spans="3:10" ht="12.75">
      <c r="C36" s="5"/>
      <c r="D36" s="5"/>
      <c r="E36" s="5"/>
      <c r="F36" s="5"/>
      <c r="G36" s="5"/>
      <c r="H36" s="5"/>
      <c r="I36" s="5"/>
      <c r="J36" s="5"/>
    </row>
    <row r="37" spans="1:10" ht="12.75">
      <c r="A37" t="s">
        <v>89</v>
      </c>
      <c r="C37" s="5">
        <f>NPV(Title_RESULTS!$C$37,C17:C34)+'Sheet3(F_21)'!C16</f>
        <v>417.74229472766</v>
      </c>
      <c r="D37" s="5"/>
      <c r="E37" s="5">
        <f>NPV(Title_RESULTS!$C$37,E17:E34)+'Sheet3(F_21)'!E16</f>
        <v>43.179249409844815</v>
      </c>
      <c r="F37" s="5">
        <f>NPV(Title_RESULTS!$C$37,F17:F34)+'Sheet3(F_21)'!F16</f>
        <v>12.398562258157627</v>
      </c>
      <c r="G37" s="5">
        <f>NPV(Title_RESULTS!$C$37,G17:G34)+'Sheet3(F_21)'!G16</f>
        <v>268.70585513077054</v>
      </c>
      <c r="H37" s="5">
        <f>NPV(Title_RESULTS!$C$37,H17:H34)+'Sheet3(F_21)'!H16</f>
        <v>200.27139319873902</v>
      </c>
      <c r="I37" s="5">
        <f>NPV(Title_RESULTS!$C$37,I17:I34)+'Sheet3(F_21)'!I16</f>
        <v>0</v>
      </c>
      <c r="J37" s="5">
        <f>NPV(Title_RESULTS!$C$37,J17:J34)+'Sheet3(F_21)'!J16</f>
        <v>541.754568327694</v>
      </c>
    </row>
    <row r="39" ht="12.75">
      <c r="A39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Residential Duct Repair</v>
      </c>
      <c r="F2" t="s">
        <v>55</v>
      </c>
    </row>
    <row r="3" spans="6:7" ht="12.75">
      <c r="F3" s="35">
        <f>+Title_RESULTS!I4</f>
        <v>43599.32854826389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368.50105932203394</v>
      </c>
      <c r="C16" s="5">
        <f>$B16*'Sheet2(F_12)'!$E16/100</f>
        <v>10.689145690667356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10.689145690667356</v>
      </c>
      <c r="G16" s="5">
        <f>+$F16*'Sheet2(F_12)'!$I16</f>
        <v>10.689145690667356</v>
      </c>
    </row>
    <row r="17" spans="1:7" ht="12.75">
      <c r="A17">
        <f>+A16+1</f>
        <v>2021</v>
      </c>
      <c r="B17" s="5">
        <f>(+Partcipation!$C16+(Partcipation!$C17-Partcipation!$C16)/2)*Title_RESULTS!$C$10/1000</f>
        <v>1105.5031779661017</v>
      </c>
      <c r="C17" s="5">
        <f>$B17*'Sheet2(F_12)'!$E17/100</f>
        <v>31.80660524654632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31.80660524654632</v>
      </c>
      <c r="G17" s="5">
        <f>+$F17*'Sheet2(F_12)'!$I17</f>
        <v>31.80660524654632</v>
      </c>
    </row>
    <row r="18" spans="1:7" ht="12.75">
      <c r="A18">
        <f>+A17+1</f>
        <v>2022</v>
      </c>
      <c r="B18" s="5">
        <f>(+Partcipation!$C17+(Partcipation!$C18-Partcipation!$C17)/2)*Title_RESULTS!$C$10/1000</f>
        <v>1842.5052966101696</v>
      </c>
      <c r="C18" s="5">
        <f>$B18*'Sheet2(F_12)'!$E18/100</f>
        <v>54.71090917885613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54.71090917885613</v>
      </c>
      <c r="G18" s="5">
        <f>+$F18*'Sheet2(F_12)'!$I18</f>
        <v>54.71090917885613</v>
      </c>
    </row>
    <row r="19" spans="1:7" ht="12.75">
      <c r="A19">
        <f aca="true" t="shared" si="0" ref="A19:A33">+A18+1</f>
        <v>2023</v>
      </c>
      <c r="B19" s="5">
        <f>(+Partcipation!$C18+(Partcipation!$C19-Partcipation!$C18)/2)*Title_RESULTS!$C$10/1000</f>
        <v>2211.0063559322034</v>
      </c>
      <c r="C19" s="5">
        <f>$B19*'Sheet2(F_12)'!$E19/100</f>
        <v>68.34642992149409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3">+C19-E19</f>
        <v>68.34642992149409</v>
      </c>
      <c r="G19" s="5">
        <f>+$F19*'Sheet2(F_12)'!$I19</f>
        <v>68.34642992149409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2211.0063559322034</v>
      </c>
      <c r="C20" s="5">
        <f>$B20*'Sheet2(F_12)'!$E20/100</f>
        <v>71.03218700434728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71.03218700434728</v>
      </c>
      <c r="G20" s="5">
        <f>+$F20*'Sheet2(F_12)'!$I20</f>
        <v>71.03218700434728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2211.0063559322034</v>
      </c>
      <c r="C21" s="5">
        <f>$B21*'Sheet2(F_12)'!$E21/100</f>
        <v>76.2671835130311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76.2671835130311</v>
      </c>
      <c r="G21" s="5">
        <f>+$F21*'Sheet2(F_12)'!$I21</f>
        <v>76.2671835130311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2211.0063559322034</v>
      </c>
      <c r="C22" s="5">
        <f>$B22*'Sheet2(F_12)'!$E22/100</f>
        <v>78.7134247917634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78.7134247917634</v>
      </c>
      <c r="G22" s="5">
        <f>+$F22*'Sheet2(F_12)'!$I22</f>
        <v>78.7134247917634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2211.0063559322034</v>
      </c>
      <c r="C23" s="5">
        <f>$B23*'Sheet2(F_12)'!$E23/100</f>
        <v>83.63266153572673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83.63266153572673</v>
      </c>
      <c r="G23" s="5">
        <f>+$F23*'Sheet2(F_12)'!$I23</f>
        <v>83.63266153572673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2211.0063559322034</v>
      </c>
      <c r="C24" s="5">
        <f>$B24*'Sheet2(F_12)'!$E24/100</f>
        <v>92.67466030784013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92.67466030784013</v>
      </c>
      <c r="G24" s="5">
        <f>+$F24*'Sheet2(F_12)'!$I24</f>
        <v>92.67466030784013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2211.0063559322034</v>
      </c>
      <c r="C25" s="5">
        <f>$B25*'Sheet2(F_12)'!$E25/100</f>
        <v>99.28831966856279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99.28831966856279</v>
      </c>
      <c r="G25" s="5">
        <f>+$F25*'Sheet2(F_12)'!$I25</f>
        <v>99.28831966856279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2211.0063559322034</v>
      </c>
      <c r="C26" s="5">
        <f>$B26*'Sheet2(F_12)'!$E26/100</f>
        <v>110.89955247634668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110.89955247634668</v>
      </c>
      <c r="G26" s="5">
        <f>+$F26*'Sheet2(F_12)'!$I26</f>
        <v>110.89955247634668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2211.0063559322034</v>
      </c>
      <c r="C27" s="5">
        <f>$B27*'Sheet2(F_12)'!$E27/100</f>
        <v>110.48713416748899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110.48713416748899</v>
      </c>
      <c r="G27" s="5">
        <f>+$F27*'Sheet2(F_12)'!$I27</f>
        <v>110.48713416748899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2211.0063559322034</v>
      </c>
      <c r="C28" s="5">
        <f>$B28*'Sheet2(F_12)'!$E28/100</f>
        <v>120.75222599448915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120.75222599448915</v>
      </c>
      <c r="G28" s="5">
        <f>+$F28*'Sheet2(F_12)'!$I28</f>
        <v>120.75222599448915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2211.0063559322034</v>
      </c>
      <c r="C29" s="5">
        <f>$B29*'Sheet2(F_12)'!$E29/100</f>
        <v>128.77126492483166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128.77126492483166</v>
      </c>
      <c r="G29" s="5">
        <f>+$F29*'Sheet2(F_12)'!$I29</f>
        <v>128.77126492483166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2211.0063559322034</v>
      </c>
      <c r="C30" s="5">
        <f>$B30*'Sheet2(F_12)'!$E30/100</f>
        <v>134.7671473437137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134.7671473437137</v>
      </c>
      <c r="G30" s="5">
        <f>+$F30*'Sheet2(F_12)'!$I30</f>
        <v>134.7671473437137</v>
      </c>
    </row>
    <row r="31" spans="1:7" ht="12.75">
      <c r="A31">
        <f t="shared" si="0"/>
        <v>2035</v>
      </c>
      <c r="B31" s="5">
        <f>(+Partcipation!$C30+(Partcipation!$C31-Partcipation!$C30)/2)*Title_RESULTS!$C$10/1000</f>
        <v>2211.0063559322034</v>
      </c>
      <c r="C31" s="5">
        <f>$B31*'Sheet2(F_12)'!$E31/100</f>
        <v>148.4254119492975</v>
      </c>
      <c r="D31" s="5">
        <f>(+Partcipation!$C30+(Partcipation!$C31-Partcipation!$C30)/2)*(+Title_RESULTS!$C$31/(1-Title_RESULTS!$C$11/100))/1000</f>
        <v>0</v>
      </c>
      <c r="E31" s="5">
        <f>+$D31*'Sheet2(F_12)'!$F31/100</f>
        <v>0</v>
      </c>
      <c r="F31" s="5">
        <f t="shared" si="1"/>
        <v>148.4254119492975</v>
      </c>
      <c r="G31" s="5">
        <f>+$F31*'Sheet2(F_12)'!$I31</f>
        <v>148.4254119492975</v>
      </c>
    </row>
    <row r="32" spans="1:7" ht="12.75">
      <c r="A32">
        <f t="shared" si="0"/>
        <v>2036</v>
      </c>
      <c r="B32" s="5">
        <f>(+Partcipation!$C31+(Partcipation!$C32-Partcipation!$C31)/2)*Title_RESULTS!$C$10/1000</f>
        <v>2211.0063559322034</v>
      </c>
      <c r="C32" s="5">
        <f>$B32*'Sheet2(F_12)'!$E32/100</f>
        <v>146.60015890554115</v>
      </c>
      <c r="D32" s="5">
        <f>(+Partcipation!$C31+(Partcipation!$C32-Partcipation!$C31)/2)*(+Title_RESULTS!$C$31/(1-Title_RESULTS!$C$11/100))/1000</f>
        <v>0</v>
      </c>
      <c r="E32" s="5">
        <f>+$D32*'Sheet2(F_12)'!$F32/100</f>
        <v>0</v>
      </c>
      <c r="F32" s="5">
        <f t="shared" si="1"/>
        <v>146.60015890554115</v>
      </c>
      <c r="G32" s="5">
        <f>+$F32*'Sheet2(F_12)'!$I32</f>
        <v>146.60015890554115</v>
      </c>
    </row>
    <row r="33" spans="1:7" ht="12.75">
      <c r="A33">
        <f t="shared" si="0"/>
        <v>2037</v>
      </c>
      <c r="B33" s="5">
        <f>(+Partcipation!$C32+(Partcipation!$C33-Partcipation!$C32)/2)*Title_RESULTS!$C$10/1000</f>
        <v>2211.0063559322034</v>
      </c>
      <c r="C33" s="5">
        <f>$B33*'Sheet2(F_12)'!$E33/100</f>
        <v>156.46849443130367</v>
      </c>
      <c r="D33" s="5">
        <f>(+Partcipation!$C32+(Partcipation!$C33-Partcipation!$C32)/2)*(+Title_RESULTS!$C$31/(1-Title_RESULTS!$C$11/100))/1000</f>
        <v>0</v>
      </c>
      <c r="E33" s="5">
        <f>+$D33*'Sheet2(F_12)'!$F33/100</f>
        <v>0</v>
      </c>
      <c r="F33" s="5">
        <f t="shared" si="1"/>
        <v>156.46849443130367</v>
      </c>
      <c r="G33" s="5">
        <f>+$F33*'Sheet2(F_12)'!$I33</f>
        <v>156.46849443130367</v>
      </c>
    </row>
    <row r="34" spans="2:7" ht="12.75">
      <c r="B34" s="5"/>
      <c r="C34" s="5"/>
      <c r="D34" s="5"/>
      <c r="E34" s="5"/>
      <c r="F34" s="5"/>
      <c r="G34" s="5"/>
    </row>
    <row r="35" spans="1:7" ht="12.75">
      <c r="A35" t="s">
        <v>87</v>
      </c>
      <c r="B35" s="5">
        <f aca="true" t="shared" si="2" ref="B35:G35">SUM(B16:B34)</f>
        <v>36481.60487288136</v>
      </c>
      <c r="C35" s="5">
        <f t="shared" si="2"/>
        <v>1724.332917051848</v>
      </c>
      <c r="D35" s="5">
        <f t="shared" si="2"/>
        <v>0</v>
      </c>
      <c r="E35" s="5">
        <f t="shared" si="2"/>
        <v>0</v>
      </c>
      <c r="F35" s="5">
        <f t="shared" si="2"/>
        <v>1724.332917051848</v>
      </c>
      <c r="G35" s="5">
        <f t="shared" si="2"/>
        <v>1724.332917051848</v>
      </c>
    </row>
    <row r="36" spans="2:7" ht="12.75">
      <c r="B36" s="5"/>
      <c r="C36" s="5"/>
      <c r="D36" s="5"/>
      <c r="E36" s="5"/>
      <c r="F36" s="5"/>
      <c r="G36" s="5"/>
    </row>
    <row r="37" spans="1:7" ht="12.75">
      <c r="A37" t="s">
        <v>118</v>
      </c>
      <c r="B37" s="5"/>
      <c r="C37" s="5">
        <f>NPV(+Title_RESULTS!$C$37,C17:C34)+C16</f>
        <v>880.2307293309734</v>
      </c>
      <c r="D37" s="5"/>
      <c r="E37" s="5">
        <f>NPV(+Title_RESULTS!$C$37,E17:E34)+E16</f>
        <v>0</v>
      </c>
      <c r="F37" s="5">
        <f>NPV(+Title_RESULTS!$C$37,F17:F34)+F16</f>
        <v>880.2307293309734</v>
      </c>
      <c r="G37" s="5">
        <f>NPV(+Title_RESULTS!$C$37,G17:G34)+G16</f>
        <v>880.2307293309734</v>
      </c>
    </row>
    <row r="38" spans="6:7" ht="12.75">
      <c r="F38" s="9"/>
      <c r="G38" s="9"/>
    </row>
    <row r="39" ht="12.75">
      <c r="A39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Residential Duct Repair</v>
      </c>
      <c r="J2" t="s">
        <v>42</v>
      </c>
    </row>
    <row r="3" spans="9:10" ht="12.75">
      <c r="I3" s="4"/>
      <c r="J3" s="35">
        <f>+Title_RESULTS!I4</f>
        <v>43599.32854826389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3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1:16" ht="15">
      <c r="A31">
        <f t="shared" si="0"/>
        <v>2035</v>
      </c>
      <c r="B31" s="28">
        <f>+Partcipation!B31</f>
        <v>3000</v>
      </c>
      <c r="C31" s="28">
        <f>+Partcipation!C31</f>
        <v>3000</v>
      </c>
      <c r="D31" s="10">
        <f>+Partcipation!D31</f>
        <v>5.112907004977054</v>
      </c>
      <c r="E31" s="10">
        <f>+Partcipation!E31</f>
        <v>6.713025114155245</v>
      </c>
      <c r="F31">
        <v>0</v>
      </c>
      <c r="G31" s="10">
        <f>+Partcipation!G31</f>
        <v>5.5100494593143035</v>
      </c>
      <c r="H31">
        <v>1</v>
      </c>
      <c r="I31">
        <v>1</v>
      </c>
      <c r="J31">
        <v>0</v>
      </c>
      <c r="K31" s="10">
        <f>+Partcipation!L31</f>
        <v>0</v>
      </c>
      <c r="N31" s="64"/>
      <c r="P31" s="65"/>
    </row>
    <row r="32" spans="1:16" ht="15">
      <c r="A32">
        <f t="shared" si="0"/>
        <v>2036</v>
      </c>
      <c r="B32" s="28">
        <f>+Partcipation!B32</f>
        <v>3000</v>
      </c>
      <c r="C32" s="28">
        <f>+Partcipation!C32</f>
        <v>3000</v>
      </c>
      <c r="D32" s="10">
        <f>+Partcipation!D32</f>
        <v>5.284774499790177</v>
      </c>
      <c r="E32" s="10">
        <f>+Partcipation!E32</f>
        <v>6.630472070431098</v>
      </c>
      <c r="F32">
        <v>0</v>
      </c>
      <c r="G32" s="10">
        <f>+Partcipation!G32</f>
        <v>5.621141176298189</v>
      </c>
      <c r="H32">
        <v>1</v>
      </c>
      <c r="I32">
        <v>1</v>
      </c>
      <c r="J32">
        <v>0</v>
      </c>
      <c r="K32" s="10">
        <f>+Partcipation!L32</f>
        <v>0</v>
      </c>
      <c r="N32" s="64"/>
      <c r="P32" s="65"/>
    </row>
    <row r="33" spans="1:16" ht="15">
      <c r="A33">
        <f t="shared" si="0"/>
        <v>2037</v>
      </c>
      <c r="B33" s="28">
        <f>+Partcipation!B33</f>
        <v>3000</v>
      </c>
      <c r="C33" s="28">
        <f>+Partcipation!C33</f>
        <v>3000</v>
      </c>
      <c r="D33" s="10">
        <f>+Partcipation!D33</f>
        <v>5.5807770564484205</v>
      </c>
      <c r="E33" s="10">
        <f>+Partcipation!E33</f>
        <v>7.076799847792998</v>
      </c>
      <c r="F33">
        <v>0</v>
      </c>
      <c r="G33" s="10">
        <f>+Partcipation!G33</f>
        <v>5.925802405175698</v>
      </c>
      <c r="H33">
        <v>1</v>
      </c>
      <c r="I33">
        <v>1</v>
      </c>
      <c r="J33">
        <v>0</v>
      </c>
      <c r="K33" s="10">
        <f>+Partcipation!L33</f>
        <v>0</v>
      </c>
      <c r="N33" s="64"/>
      <c r="P33" s="65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14" ht="15">
      <c r="B36" s="28"/>
      <c r="C36" s="28"/>
      <c r="D36" s="10"/>
      <c r="E36" s="10"/>
      <c r="N36" s="64"/>
    </row>
    <row r="37" spans="2:14" ht="15">
      <c r="B37" s="28"/>
      <c r="C37" s="28"/>
      <c r="D37" s="10"/>
      <c r="E37" s="10"/>
      <c r="N37" s="64"/>
    </row>
    <row r="38" spans="2:14" ht="15">
      <c r="B38" s="28"/>
      <c r="C38" s="28"/>
      <c r="D38" s="10"/>
      <c r="E38" s="10"/>
      <c r="N38" s="64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  <row r="46" spans="2:5" ht="12.75">
      <c r="B46" s="28"/>
      <c r="C46" s="28"/>
      <c r="D46" s="10"/>
      <c r="E46" s="10"/>
    </row>
    <row r="47" spans="2:5" ht="12.75">
      <c r="B47" s="28"/>
      <c r="C47" s="28"/>
      <c r="D47" s="10"/>
      <c r="E47" s="10"/>
    </row>
    <row r="48" spans="2:5" ht="12.75">
      <c r="B48" s="28"/>
      <c r="C48" s="28"/>
      <c r="D48" s="10"/>
      <c r="E48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Residential Duct Repair</v>
      </c>
      <c r="H2" t="s">
        <v>108</v>
      </c>
    </row>
    <row r="3" ht="12.75">
      <c r="H3" s="35">
        <f>+Title_RESULTS!I4</f>
        <v>43599.32854826389</v>
      </c>
    </row>
    <row r="5" spans="3:6" ht="12.75">
      <c r="C5" t="s">
        <v>60</v>
      </c>
      <c r="F5" s="38">
        <f>+'Value of Defferal'!L4</f>
        <v>27.0891008</v>
      </c>
    </row>
    <row r="6" spans="3:6" ht="12.75">
      <c r="C6" t="s">
        <v>62</v>
      </c>
      <c r="F6" s="38">
        <f>+'Value of Defferal'!L5</f>
        <v>84.16131686400001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10.689145690667356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2.6770073422765535</v>
      </c>
      <c r="C17" s="5">
        <f>IF(+Title_RESULTS!$H$9&lt;='Sheet4(F_22)'!$A17,(+Title_RESULTS!$H$16*((1+Title_RESULTS!$H$18/100)^('Sheet4(F_22)'!$A17-Title_RESULTS!$H$7))*Title_RESULTS!$C$8*Partcipation!$C$26/1000),0)</f>
        <v>2.1571434846341973</v>
      </c>
      <c r="D17" s="5">
        <f>(+B17+C17)*+Partcipation!$H17</f>
        <v>4.834150826910751</v>
      </c>
      <c r="E17" s="5">
        <f>VLOOKUP(A17,'Value of Defferal'!$I24:$P$58,'Value of Defferal'!$K$13)</f>
        <v>8.317015202682237</v>
      </c>
      <c r="F17" s="5">
        <f>IF(+'Value of Defferal'!P24=0,0,Title_RESULTS!$H$17*Title_RESULTS!$C$7*Partcipation!$C$26*(1+Title_RESULTS!$H$18/100)^('Sheet4(F_22)'!A17-Title_RESULTS!$H$7))/1000</f>
        <v>11.586613247999999</v>
      </c>
      <c r="G17" s="5">
        <f>(+E17+F17)*Partcipation!$H17</f>
        <v>19.903628450682234</v>
      </c>
      <c r="H17" s="5">
        <f>+'Sheet5(p_5)'!$F17*'Sheet2(F_12)'!$I17</f>
        <v>31.80660524654632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2.7412555184911906</v>
      </c>
      <c r="C18" s="5">
        <f>IF(+Title_RESULTS!$H$9&lt;='Sheet4(F_22)'!$A18,(+Title_RESULTS!$H$16*((1+Title_RESULTS!$H$18/100)^('Sheet4(F_22)'!$A18-Title_RESULTS!$H$7))*Title_RESULTS!$C$8*Partcipation!$C$26/1000),0)</f>
        <v>2.2089149282654175</v>
      </c>
      <c r="D18" s="5">
        <f>(+B18+C18)*+Partcipation!$H18</f>
        <v>4.9501704467566086</v>
      </c>
      <c r="E18" s="5">
        <f>VLOOKUP(A18,'Value of Defferal'!$I25:$P$58,'Value of Defferal'!$K$13)</f>
        <v>8.51662356754661</v>
      </c>
      <c r="F18" s="5">
        <f>IF(+'Value of Defferal'!P25=0,0,Title_RESULTS!$H$17*Title_RESULTS!$C$7*Partcipation!$C$26*(1+Title_RESULTS!$H$18/100)^('Sheet4(F_22)'!A18-Title_RESULTS!$H$7))/1000</f>
        <v>11.864691965952</v>
      </c>
      <c r="G18" s="5">
        <f>(+E18+F18)*Partcipation!$H18</f>
        <v>20.381315533498608</v>
      </c>
      <c r="H18" s="5">
        <f>+'Sheet5(p_5)'!$F18*'Sheet2(F_12)'!$I18</f>
        <v>54.71090917885613</v>
      </c>
      <c r="I18" s="5"/>
      <c r="J18" s="5"/>
    </row>
    <row r="19" spans="1:10" ht="12.75">
      <c r="A19">
        <f aca="true" t="shared" si="0" ref="A19:A33">+A18+1</f>
        <v>2023</v>
      </c>
      <c r="B19" s="5">
        <f>VLOOKUP(A19,'Value of Defferal'!$I26:$P$58,'Value of Defferal'!$K$9)</f>
        <v>2.8070456509349793</v>
      </c>
      <c r="C19" s="5">
        <f>IF(+Title_RESULTS!$H$9&lt;='Sheet4(F_22)'!$A19,(+Title_RESULTS!$H$16*((1+Title_RESULTS!$H$18/100)^('Sheet4(F_22)'!$A19-Title_RESULTS!$H$7))*Title_RESULTS!$C$8*Partcipation!$C$26/1000),0)</f>
        <v>2.2619288865437874</v>
      </c>
      <c r="D19" s="5">
        <f>(+B19+C19)*+Partcipation!$H19</f>
        <v>5.068974537478766</v>
      </c>
      <c r="E19" s="5">
        <f>VLOOKUP(A19,'Value of Defferal'!$I26:$P$58,'Value of Defferal'!$K$13)</f>
        <v>8.72102253316773</v>
      </c>
      <c r="F19" s="5">
        <f>IF(+'Value of Defferal'!P26=0,0,Title_RESULTS!$H$17*Title_RESULTS!$C$7*Partcipation!$C$26*(1+Title_RESULTS!$H$18/100)^('Sheet4(F_22)'!A19-Title_RESULTS!$H$7))/1000</f>
        <v>12.149444573134847</v>
      </c>
      <c r="G19" s="5">
        <f>(+E19+F19)*Partcipation!$H19</f>
        <v>20.870467106302577</v>
      </c>
      <c r="H19" s="5">
        <f>+'Sheet5(p_5)'!$F19*'Sheet2(F_12)'!$I19</f>
        <v>68.34642992149409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2.874414746557419</v>
      </c>
      <c r="C20" s="5">
        <f>IF(+Title_RESULTS!$H$9&lt;='Sheet4(F_22)'!$A20,(+Title_RESULTS!$H$16*((1+Title_RESULTS!$H$18/100)^('Sheet4(F_22)'!$A20-Title_RESULTS!$H$7))*Title_RESULTS!$C$8*Partcipation!$C$26/1000),0)</f>
        <v>2.316215179820839</v>
      </c>
      <c r="D20" s="5">
        <f>(+B20+C20)*+Partcipation!$H20</f>
        <v>5.190629926378257</v>
      </c>
      <c r="E20" s="5">
        <f>VLOOKUP(A20,'Value of Defferal'!$I27:$P$58,'Value of Defferal'!$K$13)</f>
        <v>8.930327073963754</v>
      </c>
      <c r="F20" s="5">
        <f>IF(+'Value of Defferal'!P27=0,0,Title_RESULTS!$H$17*Title_RESULTS!$C$7*Partcipation!$C$26*(1+Title_RESULTS!$H$18/100)^('Sheet4(F_22)'!A20-Title_RESULTS!$H$7))/1000</f>
        <v>12.441031242890084</v>
      </c>
      <c r="G20" s="5">
        <f>(+E20+F20)*Partcipation!$H20</f>
        <v>21.371358316853836</v>
      </c>
      <c r="H20" s="5">
        <f>+'Sheet5(p_5)'!$F20*'Sheet2(F_12)'!$I20</f>
        <v>71.03218700434728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2.943400700474797</v>
      </c>
      <c r="C21" s="5">
        <f>IF(+Title_RESULTS!$H$9&lt;='Sheet4(F_22)'!$A21,(+Title_RESULTS!$H$16*((1+Title_RESULTS!$H$18/100)^('Sheet4(F_22)'!$A21-Title_RESULTS!$H$7))*Title_RESULTS!$C$8*Partcipation!$C$26/1000),0)</f>
        <v>2.371804344136539</v>
      </c>
      <c r="D21" s="5">
        <f>(+B21+C21)*+Partcipation!$H21</f>
        <v>5.315205044611336</v>
      </c>
      <c r="E21" s="5">
        <f>VLOOKUP(A21,'Value of Defferal'!$I28:$P$58,'Value of Defferal'!$K$13)</f>
        <v>9.144654923738885</v>
      </c>
      <c r="F21" s="5">
        <f>IF(+'Value of Defferal'!P28=0,0,Title_RESULTS!$H$17*Title_RESULTS!$C$7*Partcipation!$C$26*(1+Title_RESULTS!$H$18/100)^('Sheet4(F_22)'!A21-Title_RESULTS!$H$7))/1000</f>
        <v>12.739615992719447</v>
      </c>
      <c r="G21" s="5">
        <f>(+E21+F21)*Partcipation!$H21</f>
        <v>21.884270916458334</v>
      </c>
      <c r="H21" s="5">
        <f>+'Sheet5(p_5)'!$F21*'Sheet2(F_12)'!$I21</f>
        <v>76.2671835130311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3.014042317286192</v>
      </c>
      <c r="C22" s="5">
        <f>IF(+Title_RESULTS!$H$9&lt;='Sheet4(F_22)'!$A22,(+Title_RESULTS!$H$16*((1+Title_RESULTS!$H$18/100)^('Sheet4(F_22)'!$A22-Title_RESULTS!$H$7))*Title_RESULTS!$C$8*Partcipation!$C$26/1000),0)</f>
        <v>2.428727648395815</v>
      </c>
      <c r="D22" s="5">
        <f>(+B22+C22)*+Partcipation!$H22</f>
        <v>5.442769965682007</v>
      </c>
      <c r="E22" s="5">
        <f>VLOOKUP(A22,'Value of Defferal'!$I29:$P$58,'Value of Defferal'!$K$13)</f>
        <v>9.36412664190862</v>
      </c>
      <c r="F22" s="5">
        <f>IF(+'Value of Defferal'!P29=0,0,Title_RESULTS!$H$17*Title_RESULTS!$C$7*Partcipation!$C$26*(1+Title_RESULTS!$H$18/100)^('Sheet4(F_22)'!A22-Title_RESULTS!$H$7))/1000</f>
        <v>13.045366776544713</v>
      </c>
      <c r="G22" s="5">
        <f>(+E22+F22)*Partcipation!$H22</f>
        <v>22.40949341845333</v>
      </c>
      <c r="H22" s="5">
        <f>+'Sheet5(p_5)'!$F22*'Sheet2(F_12)'!$I22</f>
        <v>78.7134247917634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3.0863793329010605</v>
      </c>
      <c r="C23" s="5">
        <f>IF(+Title_RESULTS!$H$9&lt;='Sheet4(F_22)'!$A23,(+Title_RESULTS!$H$16*((1+Title_RESULTS!$H$18/100)^('Sheet4(F_22)'!$A23-Title_RESULTS!$H$7))*Title_RESULTS!$C$8*Partcipation!$C$26/1000),0)</f>
        <v>2.4870171119573152</v>
      </c>
      <c r="D23" s="5">
        <f>(+B23+C23)*+Partcipation!$H23</f>
        <v>5.573396444858376</v>
      </c>
      <c r="E23" s="5">
        <f>VLOOKUP(A23,'Value of Defferal'!$I30:$P$58,'Value of Defferal'!$K$13)</f>
        <v>9.588865681314426</v>
      </c>
      <c r="F23" s="5">
        <f>IF(+'Value of Defferal'!P30=0,0,Title_RESULTS!$H$17*Title_RESULTS!$C$7*Partcipation!$C$26*(1+Title_RESULTS!$H$18/100)^('Sheet4(F_22)'!A23-Title_RESULTS!$H$7))/1000</f>
        <v>13.358455579181788</v>
      </c>
      <c r="G23" s="5">
        <f>(+E23+F23)*Partcipation!$H23</f>
        <v>22.947321260496214</v>
      </c>
      <c r="H23" s="5">
        <f>+'Sheet5(p_5)'!$F23*'Sheet2(F_12)'!$I23</f>
        <v>83.63266153572673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3.160452436890686</v>
      </c>
      <c r="C24" s="5">
        <f>IF(+Title_RESULTS!$H$9&lt;='Sheet4(F_22)'!$A24,(+Title_RESULTS!$H$16*((1+Title_RESULTS!$H$18/100)^('Sheet4(F_22)'!$A24-Title_RESULTS!$H$7))*Title_RESULTS!$C$8*Partcipation!$C$26/1000),0)</f>
        <v>2.5467055226442903</v>
      </c>
      <c r="D24" s="5">
        <f>(+B24+C24)*+Partcipation!$H24</f>
        <v>5.707157959534976</v>
      </c>
      <c r="E24" s="5">
        <f>VLOOKUP(A24,'Value of Defferal'!$I31:$P$58,'Value of Defferal'!$K$13)</f>
        <v>9.818998457665971</v>
      </c>
      <c r="F24" s="5">
        <f>IF(+'Value of Defferal'!P31=0,0,Title_RESULTS!$H$17*Title_RESULTS!$C$7*Partcipation!$C$26*(1+Title_RESULTS!$H$18/100)^('Sheet4(F_22)'!A24-Title_RESULTS!$H$7))/1000</f>
        <v>13.679058513082147</v>
      </c>
      <c r="G24" s="5">
        <f>(+E24+F24)*Partcipation!$H24</f>
        <v>23.498056970748117</v>
      </c>
      <c r="H24" s="5">
        <f>+'Sheet5(p_5)'!$F24*'Sheet2(F_12)'!$I24</f>
        <v>92.67466030784013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3.2363032953760626</v>
      </c>
      <c r="C25" s="5">
        <f>IF(+Title_RESULTS!$H$9&lt;='Sheet4(F_22)'!$A25,(+Title_RESULTS!$H$16*((1+Title_RESULTS!$H$18/100)^('Sheet4(F_22)'!$A25-Title_RESULTS!$H$7))*Title_RESULTS!$C$8*Partcipation!$C$26/1000),0)</f>
        <v>2.6078264551877535</v>
      </c>
      <c r="D25" s="5">
        <f>(+B25+C25)*+Partcipation!$H25</f>
        <v>5.844129750563816</v>
      </c>
      <c r="E25" s="5">
        <f>VLOOKUP(A25,'Value of Defferal'!$I32:$P$58,'Value of Defferal'!$K$13)</f>
        <v>10.054654420649955</v>
      </c>
      <c r="F25" s="5">
        <f>IF(+'Value of Defferal'!P32=0,0,Title_RESULTS!$H$17*Title_RESULTS!$C$7*Partcipation!$C$26*(1+Title_RESULTS!$H$18/100)^('Sheet4(F_22)'!A25-Title_RESULTS!$H$7))/1000</f>
        <v>14.007355917396119</v>
      </c>
      <c r="G25" s="5">
        <f>(+E25+F25)*Partcipation!$H25</f>
        <v>24.062010338046072</v>
      </c>
      <c r="H25" s="5">
        <f>+'Sheet5(p_5)'!$F25*'Sheet2(F_12)'!$I25</f>
        <v>99.28831966856279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3.3139745744650884</v>
      </c>
      <c r="C26" s="5">
        <f>IF(+Title_RESULTS!$H$9&lt;='Sheet4(F_22)'!$A26,(+Title_RESULTS!$H$16*((1+Title_RESULTS!$H$18/100)^('Sheet4(F_22)'!$A26-Title_RESULTS!$H$7))*Title_RESULTS!$C$8*Partcipation!$C$26/1000),0)</f>
        <v>2.6704142901122596</v>
      </c>
      <c r="D26" s="5">
        <f>(+B26+C26)*+Partcipation!$H26</f>
        <v>5.9843888645773475</v>
      </c>
      <c r="E26" s="5">
        <f>VLOOKUP(A26,'Value of Defferal'!$I33:$P$58,'Value of Defferal'!$K$13)</f>
        <v>10.295966126745554</v>
      </c>
      <c r="F26" s="5">
        <f>IF(+'Value of Defferal'!P33=0,0,Title_RESULTS!$H$17*Title_RESULTS!$C$7*Partcipation!$C$26*(1+Title_RESULTS!$H$18/100)^('Sheet4(F_22)'!A26-Title_RESULTS!$H$7))/1000</f>
        <v>14.343532459413625</v>
      </c>
      <c r="G26" s="5">
        <f>(+E26+F26)*Partcipation!$H26</f>
        <v>24.639498586159178</v>
      </c>
      <c r="H26" s="5">
        <f>+'Sheet5(p_5)'!$F26*'Sheet2(F_12)'!$I26</f>
        <v>110.89955247634668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3.393509964252251</v>
      </c>
      <c r="C27" s="5">
        <f>IF(+Title_RESULTS!$H$9&lt;='Sheet4(F_22)'!$A27,(+Title_RESULTS!$H$16*((1+Title_RESULTS!$H$18/100)^('Sheet4(F_22)'!$A27-Title_RESULTS!$H$7))*Title_RESULTS!$C$8*Partcipation!$C$26/1000),0)</f>
        <v>2.7345042330749543</v>
      </c>
      <c r="D27" s="5">
        <f>(+B27+C27)*+Partcipation!$H27</f>
        <v>6.1280141973272055</v>
      </c>
      <c r="E27" s="5">
        <f>VLOOKUP(A27,'Value of Defferal'!$I34:$P$58,'Value of Defferal'!$K$13)</f>
        <v>10.543069313787448</v>
      </c>
      <c r="F27" s="5">
        <f>IF(+'Value of Defferal'!P34=0,0,Title_RESULTS!$H$17*Title_RESULTS!$C$7*Partcipation!$C$26*(1+Title_RESULTS!$H$18/100)^('Sheet4(F_22)'!A27-Title_RESULTS!$H$7))/1000</f>
        <v>14.687777238439555</v>
      </c>
      <c r="G27" s="5">
        <f>(+E27+F27)*Partcipation!$H27</f>
        <v>25.230846552227003</v>
      </c>
      <c r="H27" s="5">
        <f>+'Sheet5(p_5)'!$F27*'Sheet2(F_12)'!$I27</f>
        <v>110.48713416748899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3.4749542033943044</v>
      </c>
      <c r="C28" s="5">
        <f>IF(+Title_RESULTS!$H$9&lt;='Sheet4(F_22)'!$A28,(+Title_RESULTS!$H$16*((1+Title_RESULTS!$H$18/100)^('Sheet4(F_22)'!$A28-Title_RESULTS!$H$7))*Title_RESULTS!$C$8*Partcipation!$C$26/1000),0)</f>
        <v>2.8001323346687528</v>
      </c>
      <c r="D28" s="5">
        <f>(+B28+C28)*+Partcipation!$H28</f>
        <v>6.275086538063057</v>
      </c>
      <c r="E28" s="5">
        <f>VLOOKUP(A28,'Value of Defferal'!$I35:$P$58,'Value of Defferal'!$K$13)</f>
        <v>10.796102977318347</v>
      </c>
      <c r="F28" s="5">
        <f>IF(+'Value of Defferal'!P35=0,0,Title_RESULTS!$H$17*Title_RESULTS!$C$7*Partcipation!$C$26*(1+Title_RESULTS!$H$18/100)^('Sheet4(F_22)'!A28-Title_RESULTS!$H$7))/1000</f>
        <v>15.040283892162103</v>
      </c>
      <c r="G28" s="5">
        <f>(+E28+F28)*Partcipation!$H28</f>
        <v>25.83638686948045</v>
      </c>
      <c r="H28" s="5">
        <f>+'Sheet5(p_5)'!$F28*'Sheet2(F_12)'!$I28</f>
        <v>120.75222599448915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3.5583531042757683</v>
      </c>
      <c r="C29" s="5">
        <f>IF(+Title_RESULTS!$H$9&lt;='Sheet4(F_22)'!$A29,(+Title_RESULTS!$H$16*((1+Title_RESULTS!$H$18/100)^('Sheet4(F_22)'!$A29-Title_RESULTS!$H$7))*Title_RESULTS!$C$8*Partcipation!$C$26/1000),0)</f>
        <v>2.8673355107008027</v>
      </c>
      <c r="D29" s="5">
        <f>(+B29+C29)*+Partcipation!$H29</f>
        <v>6.425688614976571</v>
      </c>
      <c r="E29" s="5">
        <f>VLOOKUP(A29,'Value of Defferal'!$I36:$P$58,'Value of Defferal'!$K$13)</f>
        <v>11.055209448773988</v>
      </c>
      <c r="F29" s="5">
        <f>IF(+'Value of Defferal'!P36=0,0,Title_RESULTS!$H$17*Title_RESULTS!$C$7*Partcipation!$C$26*(1+Title_RESULTS!$H$18/100)^('Sheet4(F_22)'!A29-Title_RESULTS!$H$7))/1000</f>
        <v>15.401250705573993</v>
      </c>
      <c r="G29" s="5">
        <f>(+E29+F29)*Partcipation!$H29</f>
        <v>26.45646015434798</v>
      </c>
      <c r="H29" s="5">
        <f>+'Sheet5(p_5)'!$F29*'Sheet2(F_12)'!$I29</f>
        <v>128.77126492483166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3.6437535787783863</v>
      </c>
      <c r="C30" s="5">
        <f>IF(+Title_RESULTS!$H$9&lt;='Sheet4(F_22)'!$A30,(+Title_RESULTS!$H$16*((1+Title_RESULTS!$H$18/100)^('Sheet4(F_22)'!$A30-Title_RESULTS!$H$7))*Title_RESULTS!$C$8*Partcipation!$C$26/1000),0)</f>
        <v>2.936151562957622</v>
      </c>
      <c r="D30" s="5">
        <f>(+B30+C30)*+Partcipation!$H30</f>
        <v>6.579905141736008</v>
      </c>
      <c r="E30" s="5">
        <f>VLOOKUP(A30,'Value of Defferal'!$I37:$P$58,'Value of Defferal'!$K$13)</f>
        <v>11.320534475544562</v>
      </c>
      <c r="F30" s="5">
        <f>IF(+'Value of Defferal'!P37=0,0,Title_RESULTS!$H$17*Title_RESULTS!$C$7*Partcipation!$C$26*(1+Title_RESULTS!$H$18/100)^('Sheet4(F_22)'!A30-Title_RESULTS!$H$7))/1000</f>
        <v>15.770880722507767</v>
      </c>
      <c r="G30" s="5">
        <f>(+E30+F30)*Partcipation!$H30</f>
        <v>27.09141519805233</v>
      </c>
      <c r="H30" s="5">
        <f>+'Sheet5(p_5)'!$F30*'Sheet2(F_12)'!$I30</f>
        <v>134.7671473437137</v>
      </c>
      <c r="I30" s="5"/>
      <c r="J30" s="5"/>
    </row>
    <row r="31" spans="1:10" ht="12.75">
      <c r="A31">
        <f t="shared" si="0"/>
        <v>2035</v>
      </c>
      <c r="B31" s="5">
        <f>VLOOKUP(A31,'Value of Defferal'!$I38:$P$58,'Value of Defferal'!$K$9)</f>
        <v>3.731203664669068</v>
      </c>
      <c r="C31" s="5">
        <f>IF(+Title_RESULTS!$H$9&lt;='Sheet4(F_22)'!$A31,(+Title_RESULTS!$H$16*((1+Title_RESULTS!$H$18/100)^('Sheet4(F_22)'!$A31-Title_RESULTS!$H$7))*Title_RESULTS!$C$8*Partcipation!$C$26/1000),0)</f>
        <v>3.006619200468605</v>
      </c>
      <c r="D31" s="5">
        <f>(+B31+C31)*+Partcipation!$H31</f>
        <v>6.737822865137673</v>
      </c>
      <c r="E31" s="5">
        <f>VLOOKUP(A31,'Value of Defferal'!$I38:$P$58,'Value of Defferal'!$K$13)</f>
        <v>11.592227302957633</v>
      </c>
      <c r="F31" s="5">
        <f>IF(+'Value of Defferal'!P38=0,0,Title_RESULTS!$H$17*Title_RESULTS!$C$7*Partcipation!$C$26*(1+Title_RESULTS!$H$18/100)^('Sheet4(F_22)'!A31-Title_RESULTS!$H$7))/1000</f>
        <v>16.149381859847956</v>
      </c>
      <c r="G31" s="5">
        <f>(+E31+F31)*Partcipation!$H31</f>
        <v>27.741609162805588</v>
      </c>
      <c r="H31" s="5">
        <f>+'Sheet5(p_5)'!$F31*'Sheet2(F_12)'!$I31</f>
        <v>148.4254119492975</v>
      </c>
      <c r="I31" s="5"/>
      <c r="J31" s="5"/>
    </row>
    <row r="32" spans="1:10" ht="12.75">
      <c r="A32">
        <f t="shared" si="0"/>
        <v>2036</v>
      </c>
      <c r="B32" s="5">
        <f>VLOOKUP(A32,'Value of Defferal'!$I39:$P$58,'Value of Defferal'!$K$9)</f>
        <v>3.820752552621126</v>
      </c>
      <c r="C32" s="5">
        <f>IF(+Title_RESULTS!$H$9&lt;='Sheet4(F_22)'!$A32,(+Title_RESULTS!$H$16*((1+Title_RESULTS!$H$18/100)^('Sheet4(F_22)'!$A32-Title_RESULTS!$H$7))*Title_RESULTS!$C$8*Partcipation!$C$26/1000),0)</f>
        <v>3.0787780612798517</v>
      </c>
      <c r="D32" s="5">
        <f>(+B32+C32)*+Partcipation!$H32</f>
        <v>6.8995306139009775</v>
      </c>
      <c r="E32" s="5">
        <f>VLOOKUP(A32,'Value of Defferal'!$I39:$P$58,'Value of Defferal'!$K$13)</f>
        <v>11.870440758228618</v>
      </c>
      <c r="F32" s="5">
        <f>IF(+'Value of Defferal'!P39=0,0,Title_RESULTS!$H$17*Title_RESULTS!$C$7*Partcipation!$C$26*(1+Title_RESULTS!$H$18/100)^('Sheet4(F_22)'!A32-Title_RESULTS!$H$7))/1000</f>
        <v>16.536967024484305</v>
      </c>
      <c r="G32" s="5">
        <f>(+E32+F32)*Partcipation!$H32</f>
        <v>28.407407782712923</v>
      </c>
      <c r="H32" s="5">
        <f>+'Sheet5(p_5)'!$F32*'Sheet2(F_12)'!$I32</f>
        <v>146.60015890554115</v>
      </c>
      <c r="I32" s="5"/>
      <c r="J32" s="5"/>
    </row>
    <row r="33" spans="1:10" ht="12.75">
      <c r="A33">
        <f t="shared" si="0"/>
        <v>2037</v>
      </c>
      <c r="B33" s="5">
        <f>VLOOKUP(A33,'Value of Defferal'!$I40:$P$58,'Value of Defferal'!$K$9)</f>
        <v>3.9124506138840327</v>
      </c>
      <c r="C33" s="5">
        <f>IF(+Title_RESULTS!$H$9&lt;='Sheet4(F_22)'!$A33,(+Title_RESULTS!$H$16*((1+Title_RESULTS!$H$18/100)^('Sheet4(F_22)'!$A33-Title_RESULTS!$H$7))*Title_RESULTS!$C$8*Partcipation!$C$26/1000),0)</f>
        <v>3.1526687347505677</v>
      </c>
      <c r="D33" s="5">
        <f>(+B33+C33)*+Partcipation!$H33</f>
        <v>7.0651193486346004</v>
      </c>
      <c r="E33" s="5">
        <f>VLOOKUP(A33,'Value of Defferal'!$I40:$P$58,'Value of Defferal'!$K$13)</f>
        <v>12.155331336426103</v>
      </c>
      <c r="F33" s="5">
        <f>IF(+'Value of Defferal'!P40=0,0,Title_RESULTS!$H$17*Title_RESULTS!$C$7*Partcipation!$C$26*(1+Title_RESULTS!$H$18/100)^('Sheet4(F_22)'!A33-Title_RESULTS!$H$7))/1000</f>
        <v>16.93385423307193</v>
      </c>
      <c r="G33" s="5">
        <f>(+E33+F33)*Partcipation!$H33</f>
        <v>29.089185569498035</v>
      </c>
      <c r="H33" s="5">
        <f>+'Sheet5(p_5)'!$F33*'Sheet2(F_12)'!$I33</f>
        <v>156.46849443130367</v>
      </c>
      <c r="I33" s="5"/>
      <c r="J33" s="5"/>
    </row>
    <row r="34" spans="2:10" ht="12.75"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t="s">
        <v>88</v>
      </c>
      <c r="B35" s="5">
        <f aca="true" t="shared" si="1" ref="B35:H35">SUM(B16:B34)</f>
        <v>55.389253597528956</v>
      </c>
      <c r="C35" s="5">
        <f t="shared" si="1"/>
        <v>44.63288748959937</v>
      </c>
      <c r="D35" s="5">
        <f t="shared" si="1"/>
        <v>100.02214108712832</v>
      </c>
      <c r="E35" s="5">
        <f t="shared" si="1"/>
        <v>172.08517024242047</v>
      </c>
      <c r="F35" s="5">
        <f t="shared" si="1"/>
        <v>239.73556194440243</v>
      </c>
      <c r="G35" s="5">
        <f t="shared" si="1"/>
        <v>411.82073218682285</v>
      </c>
      <c r="H35" s="5">
        <f t="shared" si="1"/>
        <v>1724.332917051848</v>
      </c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t="s">
        <v>90</v>
      </c>
      <c r="B37" s="5">
        <f>NPV(Title_RESULTS!$C$37,'Sheet4(F_22)'!B17:B34)+'Sheet4(F_22)'!B16</f>
        <v>30.442570438436764</v>
      </c>
      <c r="C37" s="5">
        <f>NPV(Title_RESULTS!$C$37,'Sheet4(F_22)'!C17:C34)+'Sheet4(F_22)'!C16</f>
        <v>24.530747988515376</v>
      </c>
      <c r="D37" s="5">
        <f>NPV(Title_RESULTS!$C$37,'Sheet4(F_22)'!D17:D34)+'Sheet4(F_22)'!D16</f>
        <v>54.97331842695214</v>
      </c>
      <c r="E37" s="5">
        <f>NPV(Title_RESULTS!$C$37,'Sheet4(F_22)'!E17:E34)+'Sheet4(F_22)'!E16</f>
        <v>94.57998756547563</v>
      </c>
      <c r="F37" s="5">
        <f>NPV(Title_RESULTS!$C$37,'Sheet4(F_22)'!F17:F34)+'Sheet4(F_22)'!F16</f>
        <v>131.76142043943838</v>
      </c>
      <c r="G37" s="5">
        <f>NPV(Title_RESULTS!$C$37,'Sheet4(F_22)'!G17:G34)+'Sheet4(F_22)'!G16</f>
        <v>226.341408004914</v>
      </c>
      <c r="H37" s="5">
        <f>NPV(Title_RESULTS!$C$37,'Sheet4(F_22)'!H17:H34)+'Sheet4(F_22)'!H16</f>
        <v>880.2307293309734</v>
      </c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ht="12.75">
      <c r="A39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Residential Duct Repair</v>
      </c>
      <c r="P2" t="s">
        <v>121</v>
      </c>
    </row>
    <row r="3" ht="12.75">
      <c r="P3" s="35">
        <f>+Title_RESULTS!I4</f>
        <v>43599.32854826389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30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30</v>
      </c>
      <c r="E16" s="5">
        <f>IF(+'Sheet9(F_25)'!$A16&gt;=Title_RESULTS!$H$8,0,((Partcipation!$B16-Partcipation!$B15)*(Title_RESULTS!$C$39*((1+Title_RESULTS!$C$41/100)^('Sheet9(F_25)'!$A16-Title_RESULTS!$H$7)))/1000))</f>
        <v>159.94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159.94</v>
      </c>
      <c r="H16" s="5">
        <f>IF(Partcipation!$B17&lt;Partcipation!$B16,0,IF(Partcipation!$B16=0,0,(Partcipation!$B16-Partcipation!$B15)*(+Title_RESULTS!$C$29*(1+Title_RESULTS!$C$30/100)^(+'Sheet8(F_24)'!$A16-Title_RESULTS!$H$7))/1000))</f>
        <v>275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275</v>
      </c>
      <c r="K16" s="5">
        <f>(+Partcipation!$B15+(Partcipation!$B16-Partcipation!$B15)/2)*(+Title_RESULTS!$C$14)/1000</f>
        <v>347.865</v>
      </c>
      <c r="L16" s="5">
        <f>($K16)*Partcipation!$E73*Title_RESULTS!$C$12/100</f>
        <v>8.46916491770354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20.650309995</v>
      </c>
      <c r="N16" s="5">
        <f>'Sheet2(F_12)'!$I16*('Sheet6(p_6)'!$L16+'Sheet6(p_6)'!$M16)</f>
        <v>29.11947491270354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30.72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30.72</v>
      </c>
      <c r="E17" s="5">
        <f>IF(+'Sheet9(F_25)'!$A17&gt;=Title_RESULTS!$H$8,0,((Partcipation!$B17-Partcipation!$B16)*(Title_RESULTS!$C$39*((1+Title_RESULTS!$C$41/100)^('Sheet9(F_25)'!$A17-Title_RESULTS!$H$7)))/1000))</f>
        <v>159.94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159.94</v>
      </c>
      <c r="H17" s="5">
        <f>IF(Partcipation!$B18&lt;Partcipation!$B17,0,IF(Partcipation!$B17=0,0,(Partcipation!$B17-Partcipation!$B16)*(+Title_RESULTS!$C$29*(1+Title_RESULTS!$C$30/100)^(+'Sheet8(F_24)'!$A17-Title_RESULTS!$H$7))/1000))</f>
        <v>281.325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281.325</v>
      </c>
      <c r="K17" s="5">
        <f>(+Partcipation!$B16+(Partcipation!$B17-Partcipation!$B16)/2)*(+Title_RESULTS!$C$14)/1000</f>
        <v>1043.595</v>
      </c>
      <c r="L17" s="5">
        <f>($K17)*Partcipation!$E74*Title_RESULTS!$C$12/100</f>
        <v>26.61672594303328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62.57043928485</v>
      </c>
      <c r="N17" s="5">
        <f>'Sheet2(F_12)'!$I17*('Sheet6(p_6)'!$L17+'Sheet6(p_6)'!$M17)</f>
        <v>89.18716522788328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31.457279999999997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31.457279999999997</v>
      </c>
      <c r="E18" s="5">
        <f>IF(+'Sheet9(F_25)'!$A18&gt;=Title_RESULTS!$H$8,0,((Partcipation!$B18-Partcipation!$B17)*(Title_RESULTS!$C$39*((1+Title_RESULTS!$C$41/100)^('Sheet9(F_25)'!$A18-Title_RESULTS!$H$7)))/1000))</f>
        <v>159.94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159.94</v>
      </c>
      <c r="H18" s="5">
        <f>IF(Partcipation!$B19&lt;Partcipation!$B18,0,IF(Partcipation!$B18=0,0,(Partcipation!$B18-Partcipation!$B17)*(+Title_RESULTS!$C$29*(1+Title_RESULTS!$C$30/100)^(+'Sheet8(F_24)'!$A18-Title_RESULTS!$H$7))/1000))</f>
        <v>287.79547499999995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287.79547499999995</v>
      </c>
      <c r="K18" s="5">
        <f>(+Partcipation!$B17+(Partcipation!$B18-Partcipation!$B17)/2)*(+Title_RESULTS!$C$14)/1000</f>
        <v>1739.325</v>
      </c>
      <c r="L18" s="5">
        <f>($K18)*Partcipation!$E75*Title_RESULTS!$C$12/100</f>
        <v>45.99527228759761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105.3269061294975</v>
      </c>
      <c r="N18" s="5">
        <f>'Sheet2(F_12)'!$I18*('Sheet6(p_6)'!$L18+'Sheet6(p_6)'!$M18)</f>
        <v>151.3221784170951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3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3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3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3">SUM(H19:I19)</f>
        <v>0</v>
      </c>
      <c r="K19" s="5">
        <f>(+Partcipation!$B18+(Partcipation!$B19-Partcipation!$B18)/2)*(+Title_RESULTS!$C$14)/1000</f>
        <v>2087.19</v>
      </c>
      <c r="L19" s="5">
        <f>($K19)*Partcipation!$E76*Title_RESULTS!$C$12/100</f>
        <v>54.74187740700838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127.65621022895097</v>
      </c>
      <c r="N19" s="5">
        <f>'Sheet2(F_12)'!$I19*('Sheet6(p_6)'!$L19+'Sheet6(p_6)'!$M19)</f>
        <v>182.39808763595934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2087.19</v>
      </c>
      <c r="L20" s="5">
        <f>($K20)*Partcipation!$E77*Title_RESULTS!$C$12/100</f>
        <v>57.84682210729968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128.9327723312405</v>
      </c>
      <c r="N20" s="5">
        <f>'Sheet2(F_12)'!$I20*('Sheet6(p_6)'!$L20+'Sheet6(p_6)'!$M20)</f>
        <v>186.7795944385402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2087.19</v>
      </c>
      <c r="L21" s="5">
        <f>($K21)*Partcipation!$E78*Title_RESULTS!$C$12/100</f>
        <v>61.16715316114443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130.22210005455287</v>
      </c>
      <c r="N21" s="5">
        <f>'Sheet2(F_12)'!$I21*('Sheet6(p_6)'!$L21+'Sheet6(p_6)'!$M21)</f>
        <v>191.3892532156973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2087.19</v>
      </c>
      <c r="L22" s="5">
        <f>($K22)*Partcipation!$E79*Title_RESULTS!$C$12/100</f>
        <v>63.93277500616309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131.52432105509843</v>
      </c>
      <c r="N22" s="5">
        <f>'Sheet2(F_12)'!$I22*('Sheet6(p_6)'!$L22+'Sheet6(p_6)'!$M22)</f>
        <v>195.45709606126152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2087.19</v>
      </c>
      <c r="L23" s="5">
        <f>($K23)*Partcipation!$E80*Title_RESULTS!$C$12/100</f>
        <v>67.69719868074901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132.8395642656494</v>
      </c>
      <c r="N23" s="5">
        <f>'Sheet2(F_12)'!$I23*('Sheet6(p_6)'!$L23+'Sheet6(p_6)'!$M23)</f>
        <v>200.5367629463984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2087.19</v>
      </c>
      <c r="L24" s="5">
        <f>($K24)*Partcipation!$E81*Title_RESULTS!$C$12/100</f>
        <v>74.10779245419408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134.1679599083059</v>
      </c>
      <c r="N24" s="5">
        <f>'Sheet2(F_12)'!$I24*('Sheet6(p_6)'!$L24+'Sheet6(p_6)'!$M24)</f>
        <v>208.2757523625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2087.19</v>
      </c>
      <c r="L25" s="5">
        <f>($K25)*Partcipation!$E82*Title_RESULTS!$C$12/100</f>
        <v>77.88341760843184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135.50963950738898</v>
      </c>
      <c r="N25" s="5">
        <f>'Sheet2(F_12)'!$I25*('Sheet6(p_6)'!$L25+'Sheet6(p_6)'!$M25)</f>
        <v>213.39305711582082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2087.19</v>
      </c>
      <c r="L26" s="5">
        <f>($K26)*Partcipation!$E83*Title_RESULTS!$C$12/100</f>
        <v>84.85803242677665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136.86473590246288</v>
      </c>
      <c r="N26" s="5">
        <f>'Sheet2(F_12)'!$I26*('Sheet6(p_6)'!$L26+'Sheet6(p_6)'!$M26)</f>
        <v>221.72276832923953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2087.19</v>
      </c>
      <c r="L27" s="5">
        <f>($K27)*Partcipation!$E84*Title_RESULTS!$C$12/100</f>
        <v>87.78326548733776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138.23338326148746</v>
      </c>
      <c r="N27" s="5">
        <f>'Sheet2(F_12)'!$I27*('Sheet6(p_6)'!$L27+'Sheet6(p_6)'!$M27)</f>
        <v>226.01664874882522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2087.19</v>
      </c>
      <c r="L28" s="5">
        <f>($K28)*Partcipation!$E85*Title_RESULTS!$C$12/100</f>
        <v>94.0466934629091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139.61571709410237</v>
      </c>
      <c r="N28" s="5">
        <f>'Sheet2(F_12)'!$I28*('Sheet6(p_6)'!$L28+'Sheet6(p_6)'!$M28)</f>
        <v>233.66241055701147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2087.19</v>
      </c>
      <c r="L29" s="5">
        <f>($K29)*Partcipation!$E86*Title_RESULTS!$C$12/100</f>
        <v>96.01935895419187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141.0118742650434</v>
      </c>
      <c r="N29" s="5">
        <f>'Sheet2(F_12)'!$I29*('Sheet6(p_6)'!$L29+'Sheet6(p_6)'!$M29)</f>
        <v>237.03123321923528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2087.19</v>
      </c>
      <c r="L30" s="5">
        <f>($K30)*Partcipation!$E87*Title_RESULTS!$C$12/100</f>
        <v>102.36093497277956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142.42199300769383</v>
      </c>
      <c r="N30" s="5">
        <f>'Sheet2(F_12)'!$I30*('Sheet6(p_6)'!$L30+'Sheet6(p_6)'!$M30)</f>
        <v>244.7829279804734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1:18" ht="12.75">
      <c r="A31">
        <f t="shared" si="0"/>
        <v>2035</v>
      </c>
      <c r="B31" s="5">
        <f>IF(+'Sheet9(F_25)'!$A31&gt;=Title_RESULTS!$H$8,0,((Partcipation!$B31-Partcipation!$B30)*(Title_RESULTS!$C$26*((1+Title_RESULTS!$C$28/100)^('Sheet9(F_25)'!$A31-Title_RESULTS!$H$7)))/1000))</f>
        <v>0</v>
      </c>
      <c r="C31" s="5">
        <f>(Partcipation!$C30+(Partcipation!$C31-Partcipation!$C30)/2)*(Title_RESULTS!$C$27*((1+Title_RESULTS!$C$28/100)^('Sheet9(F_25)'!$A31-Title_RESULTS!$H$7)))/1000</f>
        <v>0</v>
      </c>
      <c r="D31" s="5">
        <f t="shared" si="1"/>
        <v>0</v>
      </c>
      <c r="E31" s="5">
        <f>IF(+'Sheet9(F_25)'!$A31&gt;=Title_RESULTS!$H$8,0,((Partcipation!$B31-Partcipation!$B30)*(Title_RESULTS!$C$39*((1+Title_RESULTS!$C$41/100)^('Sheet9(F_25)'!$A31-Title_RESULTS!$H$7)))/1000))</f>
        <v>0</v>
      </c>
      <c r="F31" s="5">
        <f>(Partcipation!$C30+(Partcipation!$C31-Partcipation!$C30)/2)*(Title_RESULTS!$C$40*((1+Title_RESULTS!$C$41/100)^('Sheet9(F_25)'!$A31-Title_RESULTS!$H$7)))/1000</f>
        <v>0</v>
      </c>
      <c r="G31" s="5">
        <f t="shared" si="2"/>
        <v>0</v>
      </c>
      <c r="H31" s="5">
        <f>IF(Partcipation!$B32&lt;Partcipation!$B31,0,IF(Partcipation!$B31=0,0,(Partcipation!$B31-Partcipation!$B30)*(+Title_RESULTS!$C$29*(1+Title_RESULTS!$C$30/100)^(+'Sheet8(F_24)'!$A31-Title_RESULTS!$H$7))/1000))</f>
        <v>0</v>
      </c>
      <c r="I31" s="5">
        <f>IF(+Title_RESULTS!$C$31&lt;0,0,(+Partcipation!$B30+(Partcipation!$B31-Partcipation!$B30)/2)*(+Title_RESULTS!$C$31*(1+Title_RESULTS!$C$32/100)^(+'Sheet6(p_6)'!$A31-Title_RESULTS!$H$7))/1000)</f>
        <v>0</v>
      </c>
      <c r="J31" s="5">
        <f t="shared" si="3"/>
        <v>0</v>
      </c>
      <c r="K31" s="5">
        <f>(+Partcipation!$B30+(Partcipation!$B31-Partcipation!$B30)/2)*(+Title_RESULTS!$C$14)/1000</f>
        <v>2087.19</v>
      </c>
      <c r="L31" s="5">
        <f>($K31)*Partcipation!$E88*Title_RESULTS!$C$12/100</f>
        <v>106.71608371718057</v>
      </c>
      <c r="M31" s="5">
        <f>((+$K31*(Title_RESULTS!$H$30/100)*((1+Title_RESULTS!$H$31/100)^('Sheet9(F_25)'!$A31-Title_RESULTS!$H$7)))+((Title_RESULTS!$H$32*Title_RESULTS!$H$35*12*Title_RESULTS!$C$7/1000)*(Partcipation!$B30+(Partcipation!$B31-Partcipation!$B30)/2))*((1+Title_RESULTS!$H$33/100)^('Sheet9(F_25)'!$A31-Title_RESULTS!$H$7)))</f>
        <v>143.84621293777073</v>
      </c>
      <c r="N31" s="5">
        <f>'Sheet2(F_12)'!$I31*('Sheet6(p_6)'!$L31+'Sheet6(p_6)'!$M31)</f>
        <v>250.5622966549513</v>
      </c>
      <c r="O31" s="5">
        <f>(Partcipation!$B30+(Partcipation!$B31-Partcipation!$B30)/2)*(Title_RESULTS!$C$13)/1000</f>
        <v>0</v>
      </c>
      <c r="P31" s="5">
        <f>($O31)*'Sheet2(F_12)'!$D31*Title_RESULTS!$C$12/100</f>
        <v>0</v>
      </c>
      <c r="Q31" s="5">
        <f>+$O31*((Title_RESULTS!$H$30/100)*((1+Title_RESULTS!$H$31/100)^('Sheet9(F_25)'!$A31-Title_RESULTS!$H$7)))</f>
        <v>0</v>
      </c>
      <c r="R31" s="5">
        <f>+Partcipation!$I31*('Sheet6(p_6)'!$P31-'Sheet6(p_6)'!$Q31)</f>
        <v>0</v>
      </c>
    </row>
    <row r="32" spans="1:18" ht="12.75">
      <c r="A32">
        <f t="shared" si="0"/>
        <v>2036</v>
      </c>
      <c r="B32" s="5">
        <f>IF(+'Sheet9(F_25)'!$A32&gt;=Title_RESULTS!$H$8,0,((Partcipation!$B32-Partcipation!$B31)*(Title_RESULTS!$C$26*((1+Title_RESULTS!$C$28/100)^('Sheet9(F_25)'!$A32-Title_RESULTS!$H$7)))/1000))</f>
        <v>0</v>
      </c>
      <c r="C32" s="5">
        <f>(Partcipation!$C31+(Partcipation!$C32-Partcipation!$C31)/2)*(Title_RESULTS!$C$27*((1+Title_RESULTS!$C$28/100)^('Sheet9(F_25)'!$A32-Title_RESULTS!$H$7)))/1000</f>
        <v>0</v>
      </c>
      <c r="D32" s="5">
        <f t="shared" si="1"/>
        <v>0</v>
      </c>
      <c r="E32" s="5">
        <f>IF(+'Sheet9(F_25)'!$A32&gt;=Title_RESULTS!$H$8,0,((Partcipation!$B32-Partcipation!$B31)*(Title_RESULTS!$C$39*((1+Title_RESULTS!$C$41/100)^('Sheet9(F_25)'!$A32-Title_RESULTS!$H$7)))/1000))</f>
        <v>0</v>
      </c>
      <c r="F32" s="5">
        <f>(Partcipation!$C31+(Partcipation!$C32-Partcipation!$C31)/2)*(Title_RESULTS!$C$40*((1+Title_RESULTS!$C$41/100)^('Sheet9(F_25)'!$A32-Title_RESULTS!$H$7)))/1000</f>
        <v>0</v>
      </c>
      <c r="G32" s="5">
        <f t="shared" si="2"/>
        <v>0</v>
      </c>
      <c r="H32" s="5">
        <f>IF(Partcipation!$B33&lt;Partcipation!$B32,0,IF(Partcipation!$B32=0,0,(Partcipation!$B32-Partcipation!$B31)*(+Title_RESULTS!$C$29*(1+Title_RESULTS!$C$30/100)^(+'Sheet8(F_24)'!$A32-Title_RESULTS!$H$7))/1000))</f>
        <v>0</v>
      </c>
      <c r="I32" s="5">
        <f>IF(+Title_RESULTS!$C$31&lt;0,0,(+Partcipation!$B31+(Partcipation!$B32-Partcipation!$B31)/2)*(+Title_RESULTS!$C$31*(1+Title_RESULTS!$C$32/100)^(+'Sheet6(p_6)'!$A32-Title_RESULTS!$H$7))/1000)</f>
        <v>0</v>
      </c>
      <c r="J32" s="5">
        <f t="shared" si="3"/>
        <v>0</v>
      </c>
      <c r="K32" s="5">
        <f>(+Partcipation!$B31+(Partcipation!$B32-Partcipation!$B31)/2)*(+Title_RESULTS!$C$14)/1000</f>
        <v>2087.19</v>
      </c>
      <c r="L32" s="5">
        <f>($K32)*Partcipation!$E89*Title_RESULTS!$C$12/100</f>
        <v>110.30328488217059</v>
      </c>
      <c r="M32" s="5">
        <f>((+$K32*(Title_RESULTS!$H$30/100)*((1+Title_RESULTS!$H$31/100)^('Sheet9(F_25)'!$A32-Title_RESULTS!$H$7)))+((Title_RESULTS!$H$32*Title_RESULTS!$H$35*12*Title_RESULTS!$C$7/1000)*(Partcipation!$B31+(Partcipation!$B32-Partcipation!$B31)/2))*((1+Title_RESULTS!$H$33/100)^('Sheet9(F_25)'!$A32-Title_RESULTS!$H$7)))</f>
        <v>145.28467506714847</v>
      </c>
      <c r="N32" s="5">
        <f>'Sheet2(F_12)'!$I32*('Sheet6(p_6)'!$L32+'Sheet6(p_6)'!$M32)</f>
        <v>255.58795994931904</v>
      </c>
      <c r="O32" s="5">
        <f>(Partcipation!$B31+(Partcipation!$B32-Partcipation!$B31)/2)*(Title_RESULTS!$C$13)/1000</f>
        <v>0</v>
      </c>
      <c r="P32" s="5">
        <f>($O32)*'Sheet2(F_12)'!$D32*Title_RESULTS!$C$12/100</f>
        <v>0</v>
      </c>
      <c r="Q32" s="5">
        <f>+$O32*((Title_RESULTS!$H$30/100)*((1+Title_RESULTS!$H$31/100)^('Sheet9(F_25)'!$A32-Title_RESULTS!$H$7)))</f>
        <v>0</v>
      </c>
      <c r="R32" s="5">
        <f>+Partcipation!$I32*('Sheet6(p_6)'!$P32-'Sheet6(p_6)'!$Q32)</f>
        <v>0</v>
      </c>
    </row>
    <row r="33" spans="1:18" ht="12.75">
      <c r="A33">
        <f t="shared" si="0"/>
        <v>2037</v>
      </c>
      <c r="B33" s="5">
        <f>IF(+'Sheet9(F_25)'!$A33&gt;=Title_RESULTS!$H$8,0,((Partcipation!$B33-Partcipation!$B32)*(Title_RESULTS!$C$26*((1+Title_RESULTS!$C$28/100)^('Sheet9(F_25)'!$A33-Title_RESULTS!$H$7)))/1000))</f>
        <v>0</v>
      </c>
      <c r="C33" s="5">
        <f>(Partcipation!$C32+(Partcipation!$C33-Partcipation!$C32)/2)*(Title_RESULTS!$C$27*((1+Title_RESULTS!$C$28/100)^('Sheet9(F_25)'!$A33-Title_RESULTS!$H$7)))/1000</f>
        <v>0</v>
      </c>
      <c r="D33" s="5">
        <f t="shared" si="1"/>
        <v>0</v>
      </c>
      <c r="E33" s="5">
        <f>IF(+'Sheet9(F_25)'!$A33&gt;=Title_RESULTS!$H$8,0,((Partcipation!$B33-Partcipation!$B32)*(Title_RESULTS!$C$39*((1+Title_RESULTS!$C$41/100)^('Sheet9(F_25)'!$A33-Title_RESULTS!$H$7)))/1000))</f>
        <v>0</v>
      </c>
      <c r="F33" s="5">
        <f>(Partcipation!$C32+(Partcipation!$C33-Partcipation!$C32)/2)*(Title_RESULTS!$C$40*((1+Title_RESULTS!$C$41/100)^('Sheet9(F_25)'!$A33-Title_RESULTS!$H$7)))/1000</f>
        <v>0</v>
      </c>
      <c r="G33" s="5">
        <f t="shared" si="2"/>
        <v>0</v>
      </c>
      <c r="H33" s="5">
        <f>IF(Partcipation!$B34&lt;Partcipation!$B33,0,IF(Partcipation!$B33=0,0,(Partcipation!$B33-Partcipation!$B32)*(+Title_RESULTS!$C$29*(1+Title_RESULTS!$C$30/100)^(+'Sheet8(F_24)'!$A33-Title_RESULTS!$H$7))/1000))</f>
        <v>0</v>
      </c>
      <c r="I33" s="5">
        <f>IF(+Title_RESULTS!$C$31&lt;0,0,(+Partcipation!$B32+(Partcipation!$B33-Partcipation!$B32)/2)*(+Title_RESULTS!$C$31*(1+Title_RESULTS!$C$32/100)^(+'Sheet6(p_6)'!$A33-Title_RESULTS!$H$7))/1000)</f>
        <v>0</v>
      </c>
      <c r="J33" s="5">
        <f t="shared" si="3"/>
        <v>0</v>
      </c>
      <c r="K33" s="5">
        <f>(+Partcipation!$B32+(Partcipation!$B33-Partcipation!$B32)/2)*(+Title_RESULTS!$C$14)/1000</f>
        <v>2087.19</v>
      </c>
      <c r="L33" s="5">
        <f>($K33)*Partcipation!$E90*Title_RESULTS!$C$12/100</f>
        <v>116.4814206444858</v>
      </c>
      <c r="M33" s="5">
        <f>((+$K33*(Title_RESULTS!$H$30/100)*((1+Title_RESULTS!$H$31/100)^('Sheet9(F_25)'!$A33-Title_RESULTS!$H$7)))+((Title_RESULTS!$H$32*Title_RESULTS!$H$35*12*Title_RESULTS!$C$7/1000)*(Partcipation!$B32+(Partcipation!$B33-Partcipation!$B32)/2))*((1+Title_RESULTS!$H$33/100)^('Sheet9(F_25)'!$A33-Title_RESULTS!$H$7)))</f>
        <v>146.73752181781998</v>
      </c>
      <c r="N33" s="5">
        <f>'Sheet2(F_12)'!$I33*('Sheet6(p_6)'!$L33+'Sheet6(p_6)'!$M33)</f>
        <v>263.2189424623058</v>
      </c>
      <c r="O33" s="5">
        <f>(Partcipation!$B32+(Partcipation!$B33-Partcipation!$B32)/2)*(Title_RESULTS!$C$13)/1000</f>
        <v>0</v>
      </c>
      <c r="P33" s="5">
        <f>($O33)*'Sheet2(F_12)'!$D33*Title_RESULTS!$C$12/100</f>
        <v>0</v>
      </c>
      <c r="Q33" s="5">
        <f>+$O33*((Title_RESULTS!$H$30/100)*((1+Title_RESULTS!$H$31/100)^('Sheet9(F_25)'!$A33-Title_RESULTS!$H$7)))</f>
        <v>0</v>
      </c>
      <c r="R33" s="5">
        <f>+Partcipation!$I33*('Sheet6(p_6)'!$P33-'Sheet6(p_6)'!$Q33)</f>
        <v>0</v>
      </c>
    </row>
    <row r="34" spans="2:18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t="s">
        <v>87</v>
      </c>
      <c r="B35" s="5">
        <f aca="true" t="shared" si="4" ref="B35:R35">SUM(B16:B34)</f>
        <v>92.17728</v>
      </c>
      <c r="C35" s="5">
        <f t="shared" si="4"/>
        <v>0</v>
      </c>
      <c r="D35" s="5">
        <f t="shared" si="4"/>
        <v>92.17728</v>
      </c>
      <c r="E35" s="5">
        <f t="shared" si="4"/>
        <v>479.82</v>
      </c>
      <c r="F35" s="5">
        <f t="shared" si="4"/>
        <v>0</v>
      </c>
      <c r="G35" s="5">
        <f t="shared" si="4"/>
        <v>479.82</v>
      </c>
      <c r="H35" s="5">
        <f t="shared" si="4"/>
        <v>844.1204749999999</v>
      </c>
      <c r="I35" s="5">
        <f t="shared" si="4"/>
        <v>0</v>
      </c>
      <c r="J35" s="5">
        <f t="shared" si="4"/>
        <v>844.1204749999999</v>
      </c>
      <c r="K35" s="5">
        <f t="shared" si="4"/>
        <v>34438.634999999995</v>
      </c>
      <c r="L35" s="5">
        <f t="shared" si="4"/>
        <v>1337.0272741211568</v>
      </c>
      <c r="M35" s="5">
        <f t="shared" si="4"/>
        <v>2243.4163361140636</v>
      </c>
      <c r="N35" s="5">
        <f t="shared" si="4"/>
        <v>3580.4436102352197</v>
      </c>
      <c r="O35" s="5">
        <f t="shared" si="4"/>
        <v>0</v>
      </c>
      <c r="P35" s="5">
        <f t="shared" si="4"/>
        <v>0</v>
      </c>
      <c r="Q35" s="5">
        <f t="shared" si="4"/>
        <v>0</v>
      </c>
      <c r="R35" s="5">
        <f t="shared" si="4"/>
        <v>0</v>
      </c>
    </row>
    <row r="36" spans="2:18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t="s">
        <v>89</v>
      </c>
      <c r="B37" s="5">
        <f>NPV(Title_RESULTS!$C$37,'Sheet6(p_6)'!B17:B34)+'Sheet6(p_6)'!B16</f>
        <v>86.12379783289325</v>
      </c>
      <c r="C37" s="5">
        <f>NPV(Title_RESULTS!$C$37,'Sheet6(p_6)'!C17:C34)+'Sheet6(p_6)'!C16</f>
        <v>0</v>
      </c>
      <c r="D37" s="5">
        <f>NPV(Title_RESULTS!$C$37,'Sheet6(p_6)'!D17:D34)+'Sheet6(p_6)'!D16</f>
        <v>86.12379783289325</v>
      </c>
      <c r="E37" s="5">
        <f>NPV(Title_RESULTS!$C$37,'Sheet6(p_6)'!E17:E34)+'Sheet6(p_6)'!E16</f>
        <v>448.79409112531675</v>
      </c>
      <c r="F37" s="5">
        <f>NPV(Title_RESULTS!$C$37,'Sheet6(p_6)'!F17:F34)+'Sheet6(p_6)'!F16</f>
        <v>0</v>
      </c>
      <c r="G37" s="5">
        <f>NPV(Title_RESULTS!$C$37,'Sheet6(p_6)'!G17:G34)+'Sheet6(p_6)'!G16</f>
        <v>448.79409112531675</v>
      </c>
      <c r="H37" s="5">
        <f>NPV(Title_RESULTS!$C$37,'Sheet6(p_6)'!H17:H34)+'Sheet6(p_6)'!H16</f>
        <v>788.7203833720165</v>
      </c>
      <c r="I37" s="5">
        <f>NPV(Title_RESULTS!$C$37,'Sheet6(p_6)'!I17:I34)+'Sheet6(p_6)'!I16</f>
        <v>0</v>
      </c>
      <c r="J37" s="5">
        <f>NPV(Title_RESULTS!$C$37,'Sheet6(p_6)'!J17:J34)+'Sheet6(p_6)'!J16</f>
        <v>788.7203833720165</v>
      </c>
      <c r="K37" s="5"/>
      <c r="L37" s="5">
        <f>NPV(Title_RESULTS!$C$37,'Sheet6(p_6)'!L17:L34)+'Sheet6(p_6)'!L16</f>
        <v>690.6613841928241</v>
      </c>
      <c r="M37" s="5">
        <f>NPV(Title_RESULTS!$C$37,'Sheet6(p_6)'!M17:M34)+'Sheet6(p_6)'!M16</f>
        <v>1240.1501995418087</v>
      </c>
      <c r="N37" s="5">
        <f>NPV(Title_RESULTS!$C$37,'Sheet6(p_6)'!N17:N34)+'Sheet6(p_6)'!N16</f>
        <v>1930.8115837346327</v>
      </c>
      <c r="O37" s="5"/>
      <c r="P37" s="5">
        <f>NPV(Title_RESULTS!$C$37,'Sheet6(p_6)'!P17:P34)+'Sheet6(p_6)'!P16</f>
        <v>0</v>
      </c>
      <c r="Q37" s="5">
        <f>NPV(Title_RESULTS!$C$37,'Sheet6(p_6)'!Q17:Q34)+'Sheet6(p_6)'!Q16</f>
        <v>0</v>
      </c>
      <c r="R37" s="5">
        <f>NPV(Title_RESULTS!$C$37,'Sheet6(p_6)'!R17:R34)+'Sheet6(p_6)'!R16</f>
        <v>0</v>
      </c>
    </row>
    <row r="39" ht="12.75">
      <c r="A39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Residential Duct Repair</v>
      </c>
      <c r="M2" t="s">
        <v>55</v>
      </c>
    </row>
    <row r="3" ht="12.75">
      <c r="M3" s="35">
        <f>+Title_RESULTS!I4</f>
        <v>43599.32854826389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30</v>
      </c>
      <c r="D16" s="5">
        <f>IF(A16&gt;=(Title_RESULTS!$H$7+Title_RESULTS!$C$17),0,(+'Sheet6(p_6)'!$J16))</f>
        <v>275</v>
      </c>
      <c r="E16" s="5">
        <f>IF(A16&gt;=(Title_RESULTS!$H$7+Title_RESULTS!$C$17),0,(+'f-11B'!$N15))</f>
        <v>0</v>
      </c>
      <c r="F16" s="5">
        <f>IF(A16&gt;=(Title_RESULTS!$H$7+Title_RESULTS!$C$17),0,(SUM(B16:E16)))</f>
        <v>305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10.689145690667356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10.689145690667356</v>
      </c>
      <c r="L16" s="23">
        <f>IF(A16&gt;=(Title_RESULTS!$H$7+Title_RESULTS!$C$17),0,(+$K16-$F16))</f>
        <v>-294.3108543093326</v>
      </c>
      <c r="M16" s="23">
        <f>IF(A16&gt;=(Title_RESULTS!$H$7+Title_RESULTS!$C$17),0,(+$L16/(1+Title_RESULTS!$C$37)^('Sheet7(F_23)'!$A16-Title_RESULTS!$H$7)))</f>
        <v>-294.3108543093326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30.72</v>
      </c>
      <c r="D17" s="5">
        <f>IF(A17&gt;=(Title_RESULTS!$H$7+Title_RESULTS!$C$17),0,(+'Sheet6(p_6)'!$J17))</f>
        <v>281.325</v>
      </c>
      <c r="E17" s="5">
        <f>IF(A17&gt;=(Title_RESULTS!$H$7+Title_RESULTS!$C$17),0,(+'f-11B'!$N16))</f>
        <v>0</v>
      </c>
      <c r="F17" s="5">
        <f>IF(A17&gt;=(Title_RESULTS!$H$7+Title_RESULTS!$C$17),0,(SUM(B17:E17)))</f>
        <v>312.04499999999996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24.737779277592985</v>
      </c>
      <c r="I17" s="5">
        <f>IF(A17&gt;=(Title_RESULTS!$H$7+Title_RESULTS!$C$17),0,(+'Sheet4(F_22)'!$H17))</f>
        <v>31.80660524654632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56.5443845241393</v>
      </c>
      <c r="L17" s="23">
        <f>IF(A17&gt;=(Title_RESULTS!$H$7+Title_RESULTS!$C$17),0,(+$K17-$F17))</f>
        <v>-255.50061547586066</v>
      </c>
      <c r="M17" s="23">
        <f>IF(A17&gt;=(Title_RESULTS!$H$7+Title_RESULTS!$C$17),0,(+M16+$L17/(1+Title_RESULTS!$C$37)^('Sheet7(F_23)'!$A17-Title_RESULTS!$H$7)))</f>
        <v>-532.9180783248917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31.457279999999997</v>
      </c>
      <c r="D18" s="5">
        <f>IF(A18&gt;=(Title_RESULTS!$H$7+Title_RESULTS!$C$17),0,(+'Sheet6(p_6)'!$J18))</f>
        <v>287.79547499999995</v>
      </c>
      <c r="E18" s="5">
        <f>IF(A18&gt;=(Title_RESULTS!$H$7+Title_RESULTS!$C$17),0,(+'f-11B'!$N17))</f>
        <v>0</v>
      </c>
      <c r="F18" s="5">
        <f>IF(A18&gt;=(Title_RESULTS!$H$7+Title_RESULTS!$C$17),0,(SUM(B18:E18)))</f>
        <v>319.252755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25.331485980255216</v>
      </c>
      <c r="I18" s="5">
        <f>IF(A18&gt;=(Title_RESULTS!$H$7+Title_RESULTS!$C$17),0,(+'Sheet4(F_22)'!$H18))</f>
        <v>54.71090917885613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80.04239515911135</v>
      </c>
      <c r="L18" s="23">
        <f>IF(A18&gt;=(Title_RESULTS!$H$7+Title_RESULTS!$C$17),0,(+$K18-$F18))</f>
        <v>-239.21035984088863</v>
      </c>
      <c r="M18" s="23">
        <f>IF(A18&gt;=(Title_RESULTS!$H$7+Title_RESULTS!$C$17),0,(+M17+$L18/(1+Title_RESULTS!$C$37)^('Sheet7(F_23)'!$A18-Title_RESULTS!$H$7)))</f>
        <v>-741.5415937964189</v>
      </c>
    </row>
    <row r="19" spans="1:13" ht="12.75">
      <c r="A19">
        <f aca="true" t="shared" si="0" ref="A19:A33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58.712609943509335</v>
      </c>
      <c r="H19" s="5">
        <f>IF(A19&gt;=(Title_RESULTS!$H$7+Title_RESULTS!$C$17),0,(+'Sheet4(F_22)'!$D19+'Sheet4(F_22)'!$G19))</f>
        <v>25.939441643781343</v>
      </c>
      <c r="I19" s="5">
        <f>IF(A19&gt;=(Title_RESULTS!$H$7+Title_RESULTS!$C$17),0,(+'Sheet4(F_22)'!$H19))</f>
        <v>68.34642992149409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152.99848150878478</v>
      </c>
      <c r="L19" s="23">
        <f>IF(A19&gt;=(Title_RESULTS!$H$7+Title_RESULTS!$C$17),0,(+$K19-$F19))</f>
        <v>152.99848150878478</v>
      </c>
      <c r="M19" s="23">
        <f>IF(A19&gt;=(Title_RESULTS!$H$7+Title_RESULTS!$C$17),0,(+M18+$L19/(1+Title_RESULTS!$C$37)^('Sheet7(F_23)'!$A19-Title_RESULTS!$H$7)))</f>
        <v>-616.9289721467713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60.27817154047276</v>
      </c>
      <c r="H20" s="5">
        <f>IF(A20&gt;=(Title_RESULTS!$H$7+Title_RESULTS!$C$17),0,(+'Sheet4(F_22)'!$D20+'Sheet4(F_22)'!$G20))</f>
        <v>26.561988243232094</v>
      </c>
      <c r="I20" s="5">
        <f>IF(A20&gt;=(Title_RESULTS!$H$7+Title_RESULTS!$C$17),0,(+'Sheet4(F_22)'!$H20))</f>
        <v>71.03218700434728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157.87234678805214</v>
      </c>
      <c r="L20" s="23">
        <f>IF(A20&gt;=(Title_RESULTS!$H$7+Title_RESULTS!$C$17),0,(+$K20-$F20))</f>
        <v>157.87234678805214</v>
      </c>
      <c r="M20" s="23">
        <f>IF(A20&gt;=(Title_RESULTS!$H$7+Title_RESULTS!$C$17),0,(+M19+$L20/(1+Title_RESULTS!$C$37)^('Sheet7(F_23)'!$A20-Title_RESULTS!$H$7)))</f>
        <v>-496.84843697644544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61.990907827753524</v>
      </c>
      <c r="H21" s="5">
        <f>IF(A21&gt;=(Title_RESULTS!$H$7+Title_RESULTS!$C$17),0,(+'Sheet4(F_22)'!$D21+'Sheet4(F_22)'!$G21))</f>
        <v>27.19947596106967</v>
      </c>
      <c r="I21" s="5">
        <f>IF(A21&gt;=(Title_RESULTS!$H$7+Title_RESULTS!$C$17),0,(+'Sheet4(F_22)'!$H21))</f>
        <v>76.2671835130311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165.45756730185428</v>
      </c>
      <c r="L21" s="23">
        <f>IF(A21&gt;=(Title_RESULTS!$H$7+Title_RESULTS!$C$17),0,(+$K21-$F21))</f>
        <v>165.45756730185428</v>
      </c>
      <c r="M21" s="23">
        <f>IF(A21&gt;=(Title_RESULTS!$H$7+Title_RESULTS!$C$17),0,(+M20+$L21/(1+Title_RESULTS!$C$37)^('Sheet7(F_23)'!$A21-Title_RESULTS!$H$7)))</f>
        <v>-379.3194962045766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63.90908706306866</v>
      </c>
      <c r="H22" s="5">
        <f>IF(A22&gt;=(Title_RESULTS!$H$7+Title_RESULTS!$C$17),0,(+'Sheet4(F_22)'!$D22+'Sheet4(F_22)'!$G22))</f>
        <v>27.852263384135338</v>
      </c>
      <c r="I22" s="5">
        <f>IF(A22&gt;=(Title_RESULTS!$H$7+Title_RESULTS!$C$17),0,(+'Sheet4(F_22)'!$H22))</f>
        <v>78.7134247917634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170.4747752389674</v>
      </c>
      <c r="L22" s="23">
        <f>IF(A22&gt;=(Title_RESULTS!$H$7+Title_RESULTS!$C$17),0,(+$K22-$F22))</f>
        <v>170.4747752389674</v>
      </c>
      <c r="M22" s="23">
        <f>IF(A22&gt;=(Title_RESULTS!$H$7+Title_RESULTS!$C$17),0,(+M21+$L22/(1+Title_RESULTS!$C$37)^('Sheet7(F_23)'!$A22-Title_RESULTS!$H$7)))</f>
        <v>-266.2332075201689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65.62951740910012</v>
      </c>
      <c r="H23" s="5">
        <f>IF(A23&gt;=(Title_RESULTS!$H$7+Title_RESULTS!$C$17),0,(+'Sheet4(F_22)'!$D23+'Sheet4(F_22)'!$G23))</f>
        <v>28.52071770535459</v>
      </c>
      <c r="I23" s="5">
        <f>IF(A23&gt;=(Title_RESULTS!$H$7+Title_RESULTS!$C$17),0,(+'Sheet4(F_22)'!$H23))</f>
        <v>83.63266153572673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177.78289665018144</v>
      </c>
      <c r="L23" s="23">
        <f>IF(A23&gt;=(Title_RESULTS!$H$7+Title_RESULTS!$C$17),0,(+$K23-$F23))</f>
        <v>177.78289665018144</v>
      </c>
      <c r="M23" s="23">
        <f>IF(A23&gt;=(Title_RESULTS!$H$7+Title_RESULTS!$C$17),0,(+M22+$L23/(1+Title_RESULTS!$C$37)^('Sheet7(F_23)'!$A23-Title_RESULTS!$H$7)))</f>
        <v>-156.0966645786017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66.69266435303624</v>
      </c>
      <c r="H24" s="5">
        <f>IF(A24&gt;=(Title_RESULTS!$H$7+Title_RESULTS!$C$17),0,(+'Sheet4(F_22)'!$D24+'Sheet4(F_22)'!$G24))</f>
        <v>29.20521493028309</v>
      </c>
      <c r="I24" s="5">
        <f>IF(A24&gt;=(Title_RESULTS!$H$7+Title_RESULTS!$C$17),0,(+'Sheet4(F_22)'!$H24))</f>
        <v>92.67466030784013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188.57253959115945</v>
      </c>
      <c r="L24" s="23">
        <f>IF(A24&gt;=(Title_RESULTS!$H$7+Title_RESULTS!$C$17),0,(+$K24-$F24))</f>
        <v>188.57253959115945</v>
      </c>
      <c r="M24" s="23">
        <f>IF(A24&gt;=(Title_RESULTS!$H$7+Title_RESULTS!$C$17),0,(+M23+$L24/(1+Title_RESULTS!$C$37)^('Sheet7(F_23)'!$A24-Title_RESULTS!$H$7)))</f>
        <v>-46.99998071788845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68.50426228745138</v>
      </c>
      <c r="H25" s="5">
        <f>IF(A25&gt;=(Title_RESULTS!$H$7+Title_RESULTS!$C$17),0,(+'Sheet4(F_22)'!$D25+'Sheet4(F_22)'!$G25))</f>
        <v>29.906140088609888</v>
      </c>
      <c r="I25" s="5">
        <f>IF(A25&gt;=(Title_RESULTS!$H$7+Title_RESULTS!$C$17),0,(+'Sheet4(F_22)'!$H25))</f>
        <v>99.28831966856279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197.69872204462405</v>
      </c>
      <c r="L25" s="23">
        <f>IF(A25&gt;=(Title_RESULTS!$H$7+Title_RESULTS!$C$17),0,(+$K25-$F25))</f>
        <v>197.69872204462405</v>
      </c>
      <c r="M25" s="23">
        <f>IF(A25&gt;=(Title_RESULTS!$H$7+Title_RESULTS!$C$17),0,(+M24+$L25/(1+Title_RESULTS!$C$37)^('Sheet7(F_23)'!$A25-Title_RESULTS!$H$7)))</f>
        <v>59.81412267678522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69.60112898367443</v>
      </c>
      <c r="H26" s="5">
        <f>IF(A26&gt;=(Title_RESULTS!$H$7+Title_RESULTS!$C$17),0,(+'Sheet4(F_22)'!$D26+'Sheet4(F_22)'!$G26))</f>
        <v>30.623887450736525</v>
      </c>
      <c r="I26" s="5">
        <f>IF(A26&gt;=(Title_RESULTS!$H$7+Title_RESULTS!$C$17),0,(+'Sheet4(F_22)'!$H26))</f>
        <v>110.89955247634668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211.12456891075763</v>
      </c>
      <c r="L26" s="23">
        <f>IF(A26&gt;=(Title_RESULTS!$H$7+Title_RESULTS!$C$17),0,(+$K26-$F26))</f>
        <v>211.12456891075763</v>
      </c>
      <c r="M26" s="23">
        <f>IF(A26&gt;=(Title_RESULTS!$H$7+Title_RESULTS!$C$17),0,(+M25+$L26/(1+Title_RESULTS!$C$37)^('Sheet7(F_23)'!$A26-Title_RESULTS!$H$7)))</f>
        <v>166.34000760834533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72.00375962565732</v>
      </c>
      <c r="H27" s="5">
        <f>IF(A27&gt;=(Title_RESULTS!$H$7+Title_RESULTS!$C$17),0,(+'Sheet4(F_22)'!$D27+'Sheet4(F_22)'!$G27))</f>
        <v>31.35886074955421</v>
      </c>
      <c r="I27" s="5">
        <f>IF(A27&gt;=(Title_RESULTS!$H$7+Title_RESULTS!$C$17),0,(+'Sheet4(F_22)'!$H27))</f>
        <v>110.48713416748899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213.8497545427005</v>
      </c>
      <c r="L27" s="23">
        <f>IF(A27&gt;=(Title_RESULTS!$H$7+Title_RESULTS!$C$17),0,(+$K27-$F27))</f>
        <v>213.8497545427005</v>
      </c>
      <c r="M27" s="23">
        <f>IF(A27&gt;=(Title_RESULTS!$H$7+Title_RESULTS!$C$17),0,(+M26+$L27/(1+Title_RESULTS!$C$37)^('Sheet7(F_23)'!$A27-Title_RESULTS!$H$7)))</f>
        <v>267.10664550099693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73.52173064172982</v>
      </c>
      <c r="H28" s="5">
        <f>IF(A28&gt;=(Title_RESULTS!$H$7+Title_RESULTS!$C$17),0,(+'Sheet4(F_22)'!$D28+'Sheet4(F_22)'!$G28))</f>
        <v>32.11147340754351</v>
      </c>
      <c r="I28" s="5">
        <f>IF(A28&gt;=(Title_RESULTS!$H$7+Title_RESULTS!$C$17),0,(+'Sheet4(F_22)'!$H28))</f>
        <v>120.75222599448915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226.38543004376248</v>
      </c>
      <c r="L28" s="23">
        <f>IF(A28&gt;=(Title_RESULTS!$H$7+Title_RESULTS!$C$17),0,(+$K28-$F28))</f>
        <v>226.38543004376248</v>
      </c>
      <c r="M28" s="23">
        <f>IF(A28&gt;=(Title_RESULTS!$H$7+Title_RESULTS!$C$17),0,(+M27+$L28/(1+Title_RESULTS!$C$37)^('Sheet7(F_23)'!$A28-Title_RESULTS!$H$7)))</f>
        <v>366.7270090861613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76.14723692412711</v>
      </c>
      <c r="H29" s="5">
        <f>IF(A29&gt;=(Title_RESULTS!$H$7+Title_RESULTS!$C$17),0,(+'Sheet4(F_22)'!$D29+'Sheet4(F_22)'!$G29))</f>
        <v>32.88214876932455</v>
      </c>
      <c r="I29" s="5">
        <f>IF(A29&gt;=(Title_RESULTS!$H$7+Title_RESULTS!$C$17),0,(+'Sheet4(F_22)'!$H29))</f>
        <v>128.77126492483166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237.80065061828333</v>
      </c>
      <c r="L29" s="23">
        <f>IF(A29&gt;=(Title_RESULTS!$H$7+Title_RESULTS!$C$17),0,(+$K29-$F29))</f>
        <v>237.80065061828333</v>
      </c>
      <c r="M29" s="23">
        <f>IF(A29&gt;=(Title_RESULTS!$H$7+Title_RESULTS!$C$17),0,(+M28+$L29/(1+Title_RESULTS!$C$37)^('Sheet7(F_23)'!$A29-Title_RESULTS!$H$7)))</f>
        <v>464.451704568749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77.61779481052456</v>
      </c>
      <c r="H30" s="5">
        <f>IF(A30&gt;=(Title_RESULTS!$H$7+Title_RESULTS!$C$17),0,(+'Sheet4(F_22)'!$D30+'Sheet4(F_22)'!$G30))</f>
        <v>33.67132033978834</v>
      </c>
      <c r="I30" s="5">
        <f>IF(A30&gt;=(Title_RESULTS!$H$7+Title_RESULTS!$C$17),0,(+'Sheet4(F_22)'!$H30))</f>
        <v>134.7671473437137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246.0562624940266</v>
      </c>
      <c r="L30" s="23">
        <f>IF(A30&gt;=(Title_RESULTS!$H$7+Title_RESULTS!$C$17),0,(+$K30-$F30))</f>
        <v>246.0562624940266</v>
      </c>
      <c r="M30" s="23">
        <f>IF(A30&gt;=(Title_RESULTS!$H$7+Title_RESULTS!$C$17),0,(+M29+$L30/(1+Title_RESULTS!$C$37)^('Sheet7(F_23)'!$A30-Title_RESULTS!$H$7)))</f>
        <v>558.8833044659634</v>
      </c>
    </row>
    <row r="31" spans="1:13" ht="12.75">
      <c r="A31">
        <f t="shared" si="0"/>
        <v>2035</v>
      </c>
      <c r="B31" s="5">
        <f>IF(A31&gt;=(Title_RESULTS!$H$7+Title_RESULTS!$C$17),0,(IF($A31&gt;=Title_RESULTS!$H$8,(Partcipation!$B30+(Partcipation!$B31-Partcipation!$B30)/2)*Title_RESULTS!$C$35*(1+Title_RESULTS!$C$36/100)^('Sheet7(F_23)'!$A31-Title_RESULTS!$H$7),0)))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IF(A31&gt;=(Title_RESULTS!$H$7+Title_RESULTS!$C$17),0,(+'Sheet6(p_6)'!$J31))</f>
        <v>0</v>
      </c>
      <c r="E31" s="5">
        <f>IF(A31&gt;=(Title_RESULTS!$H$7+Title_RESULTS!$C$17),0,(+'f-11B'!$N30))</f>
        <v>0</v>
      </c>
      <c r="F31" s="5">
        <f>IF(A31&gt;=(Title_RESULTS!$H$7+Title_RESULTS!$C$17),0,(SUM(B31:E31)))</f>
        <v>0</v>
      </c>
      <c r="G31" s="5">
        <f>IF(A31&gt;=(Title_RESULTS!$H$7+Title_RESULTS!$C$17),0,('Sheet3(F_21)'!$J31))</f>
        <v>79.92341911175582</v>
      </c>
      <c r="H31" s="5">
        <f>IF(A31&gt;=(Title_RESULTS!$H$7+Title_RESULTS!$C$17),0,(+'Sheet4(F_22)'!$D31+'Sheet4(F_22)'!$G31))</f>
        <v>34.47943202794326</v>
      </c>
      <c r="I31" s="5">
        <f>IF(A31&gt;=(Title_RESULTS!$H$7+Title_RESULTS!$C$17),0,(+'Sheet4(F_22)'!$H31))</f>
        <v>148.4254119492975</v>
      </c>
      <c r="J31" s="5">
        <f>IF(A31&gt;=(Title_RESULTS!$H$7+Title_RESULTS!$C$17),0,(IF(Title_RESULTS!$C$31&lt;0,((Partcipation!$B30+(Partcipation!$B31-Partcipation!$B30)/2)*(ABS(Title_RESULTS!$C$31)*(1+Title_RESULTS!$C$32/100)^('Sheet7(F_23)'!$A31-Title_RESULTS!$H$7))/1000)+'f-11B'!$O30,+'f-11B'!$O30)))</f>
        <v>0</v>
      </c>
      <c r="K31" s="5">
        <f>IF(A31&gt;=(Title_RESULTS!$H$7+Title_RESULTS!$C$17),0,(SUM(G31:J31)))</f>
        <v>262.8282630889966</v>
      </c>
      <c r="L31" s="23">
        <f>IF(A31&gt;=(Title_RESULTS!$H$7+Title_RESULTS!$C$17),0,(+$K31-$F31))</f>
        <v>262.8282630889966</v>
      </c>
      <c r="M31" s="23">
        <f>IF(A31&gt;=(Title_RESULTS!$H$7+Title_RESULTS!$C$17),0,(+M30+$L31/(1+Title_RESULTS!$C$37)^('Sheet7(F_23)'!$A31-Title_RESULTS!$H$7)))</f>
        <v>653.0823770984058</v>
      </c>
    </row>
    <row r="32" spans="1:13" ht="12.75">
      <c r="A32">
        <f t="shared" si="0"/>
        <v>2036</v>
      </c>
      <c r="B32" s="5">
        <f>IF(A32&gt;=(Title_RESULTS!$H$7+Title_RESULTS!$C$17),0,(IF($A32&gt;=Title_RESULTS!$H$8,(Partcipation!$B31+(Partcipation!$B32-Partcipation!$B31)/2)*Title_RESULTS!$C$35*(1+Title_RESULTS!$C$36/100)^('Sheet7(F_23)'!$A32-Title_RESULTS!$H$7),0)))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IF(A32&gt;=(Title_RESULTS!$H$7+Title_RESULTS!$C$17),0,(+'Sheet6(p_6)'!$J32))</f>
        <v>0</v>
      </c>
      <c r="E32" s="5">
        <f>IF(A32&gt;=(Title_RESULTS!$H$7+Title_RESULTS!$C$17),0,(+'f-11B'!$N31))</f>
        <v>0</v>
      </c>
      <c r="F32" s="5">
        <f>IF(A32&gt;=(Title_RESULTS!$H$7+Title_RESULTS!$C$17),0,(SUM(B32:E32)))</f>
        <v>0</v>
      </c>
      <c r="G32" s="5">
        <f>IF(A32&gt;=(Title_RESULTS!$H$7+Title_RESULTS!$C$17),0,('Sheet3(F_21)'!$J32))</f>
        <v>82.91288078798517</v>
      </c>
      <c r="H32" s="5">
        <f>IF(A32&gt;=(Title_RESULTS!$H$7+Title_RESULTS!$C$17),0,(+'Sheet4(F_22)'!$D32+'Sheet4(F_22)'!$G32))</f>
        <v>35.3069383966139</v>
      </c>
      <c r="I32" s="5">
        <f>IF(A32&gt;=(Title_RESULTS!$H$7+Title_RESULTS!$C$17),0,(+'Sheet4(F_22)'!$H32))</f>
        <v>146.60015890554115</v>
      </c>
      <c r="J32" s="5">
        <f>IF(A32&gt;=(Title_RESULTS!$H$7+Title_RESULTS!$C$17),0,(IF(Title_RESULTS!$C$31&lt;0,((Partcipation!$B31+(Partcipation!$B32-Partcipation!$B31)/2)*(ABS(Title_RESULTS!$C$31)*(1+Title_RESULTS!$C$32/100)^('Sheet7(F_23)'!$A32-Title_RESULTS!$H$7))/1000)+'f-11B'!$O31,+'f-11B'!$O31)))</f>
        <v>0</v>
      </c>
      <c r="K32" s="5">
        <f>IF(A32&gt;=(Title_RESULTS!$H$7+Title_RESULTS!$C$17),0,(SUM(G32:J32)))</f>
        <v>264.81997809014024</v>
      </c>
      <c r="L32" s="23">
        <f>IF(A32&gt;=(Title_RESULTS!$H$7+Title_RESULTS!$C$17),0,(+$K32-$F32))</f>
        <v>264.81997809014024</v>
      </c>
      <c r="M32" s="23">
        <f>IF(A32&gt;=(Title_RESULTS!$H$7+Title_RESULTS!$C$17),0,(+M31+$L32/(1+Title_RESULTS!$C$37)^('Sheet7(F_23)'!$A32-Title_RESULTS!$H$7)))</f>
        <v>741.7197641673547</v>
      </c>
    </row>
    <row r="33" spans="1:13" ht="12.75">
      <c r="A33">
        <f t="shared" si="0"/>
        <v>2037</v>
      </c>
      <c r="B33" s="5">
        <f>IF(A33&gt;=(Title_RESULTS!$H$7+Title_RESULTS!$C$17),0,(IF($A33&gt;=Title_RESULTS!$H$8,(Partcipation!$B32+(Partcipation!$B33-Partcipation!$B32)/2)*Title_RESULTS!$C$35*(1+Title_RESULTS!$C$36/100)^('Sheet7(F_23)'!$A33-Title_RESULTS!$H$7),0)))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IF(A33&gt;=(Title_RESULTS!$H$7+Title_RESULTS!$C$17),0,(+'Sheet6(p_6)'!$J33))</f>
        <v>0</v>
      </c>
      <c r="E33" s="5">
        <f>IF(A33&gt;=(Title_RESULTS!$H$7+Title_RESULTS!$C$17),0,(+'f-11B'!$N32))</f>
        <v>0</v>
      </c>
      <c r="F33" s="5">
        <f>IF(A33&gt;=(Title_RESULTS!$H$7+Title_RESULTS!$C$17),0,(SUM(B33:E33)))</f>
        <v>0</v>
      </c>
      <c r="G33" s="5">
        <f>IF(A33&gt;=(Title_RESULTS!$H$7+Title_RESULTS!$C$17),0,('Sheet3(F_21)'!$J33))</f>
        <v>84.86375670667485</v>
      </c>
      <c r="H33" s="5">
        <f>IF(A33&gt;=(Title_RESULTS!$H$7+Title_RESULTS!$C$17),0,(+'Sheet4(F_22)'!$D33+'Sheet4(F_22)'!$G33))</f>
        <v>36.15430491813264</v>
      </c>
      <c r="I33" s="5">
        <f>IF(A33&gt;=(Title_RESULTS!$H$7+Title_RESULTS!$C$17),0,(+'Sheet4(F_22)'!$H33))</f>
        <v>156.46849443130367</v>
      </c>
      <c r="J33" s="5">
        <f>IF(A33&gt;=(Title_RESULTS!$H$7+Title_RESULTS!$C$17),0,(IF(Title_RESULTS!$C$31&lt;0,((Partcipation!$B32+(Partcipation!$B33-Partcipation!$B32)/2)*(ABS(Title_RESULTS!$C$31)*(1+Title_RESULTS!$C$32/100)^('Sheet7(F_23)'!$A33-Title_RESULTS!$H$7))/1000)+'f-11B'!$O32,+'f-11B'!$O32)))</f>
        <v>0</v>
      </c>
      <c r="K33" s="5">
        <f>IF(A33&gt;=(Title_RESULTS!$H$7+Title_RESULTS!$C$17),0,(SUM(G33:J33)))</f>
        <v>277.48655605611117</v>
      </c>
      <c r="L33" s="23">
        <f>IF(A33&gt;=(Title_RESULTS!$H$7+Title_RESULTS!$C$17),0,(+$K33-$F33))</f>
        <v>277.48655605611117</v>
      </c>
      <c r="M33" s="23">
        <f>IF(A33&gt;=(Title_RESULTS!$H$7+Title_RESULTS!$C$17),0,(+M32+$L33/(1+Title_RESULTS!$C$37)^('Sheet7(F_23)'!$A33-Title_RESULTS!$H$7)))</f>
        <v>828.4558428856238</v>
      </c>
    </row>
    <row r="34" spans="2:13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t="s">
        <v>87</v>
      </c>
      <c r="B35" s="5">
        <f aca="true" t="shared" si="1" ref="B35:L35">SUM(B16:B34)</f>
        <v>0</v>
      </c>
      <c r="C35" s="5">
        <f t="shared" si="1"/>
        <v>92.17728</v>
      </c>
      <c r="D35" s="5">
        <f t="shared" si="1"/>
        <v>844.1204749999999</v>
      </c>
      <c r="E35" s="5">
        <f t="shared" si="1"/>
        <v>0</v>
      </c>
      <c r="F35" s="5">
        <f t="shared" si="1"/>
        <v>936.2977549999999</v>
      </c>
      <c r="G35" s="5">
        <f t="shared" si="1"/>
        <v>1062.3089280165211</v>
      </c>
      <c r="H35" s="5">
        <f t="shared" si="1"/>
        <v>511.8428732739511</v>
      </c>
      <c r="I35" s="5">
        <f t="shared" si="1"/>
        <v>1724.332917051848</v>
      </c>
      <c r="J35" s="5">
        <f t="shared" si="1"/>
        <v>0</v>
      </c>
      <c r="K35" s="5">
        <f t="shared" si="1"/>
        <v>3298.48471834232</v>
      </c>
      <c r="L35" s="5">
        <f t="shared" si="1"/>
        <v>2362.1869633423203</v>
      </c>
      <c r="M35" s="5"/>
    </row>
    <row r="36" spans="2:13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t="s">
        <v>118</v>
      </c>
      <c r="B37" s="5">
        <f>NPV(Title_RESULTS!$C$37,'Sheet7(F_23)'!B17:B34)+'Sheet7(F_23)'!B16</f>
        <v>0</v>
      </c>
      <c r="C37" s="5">
        <f>NPV(Title_RESULTS!$C$37,'Sheet7(F_23)'!C17:C34)+'Sheet7(F_23)'!C16</f>
        <v>86.12379783289325</v>
      </c>
      <c r="D37" s="5">
        <f>NPV(Title_RESULTS!$C$37,'Sheet7(F_23)'!D17:D34)+'Sheet7(F_23)'!D16</f>
        <v>788.7203833720165</v>
      </c>
      <c r="E37" s="5">
        <f>NPV(Title_RESULTS!$C$37,'Sheet7(F_23)'!E17:E34)+'Sheet7(F_23)'!E16</f>
        <v>0</v>
      </c>
      <c r="F37" s="5">
        <f>NPV(Title_RESULTS!$C$37,'Sheet7(F_23)'!F17:F34)+'Sheet7(F_23)'!F16</f>
        <v>874.8441812049099</v>
      </c>
      <c r="G37" s="5">
        <f>NPV(Title_RESULTS!$C$37,'Sheet7(F_23)'!G17:G34)+'Sheet7(F_23)'!G16</f>
        <v>541.754568327694</v>
      </c>
      <c r="H37" s="5">
        <f>NPV(Title_RESULTS!$C$37,'Sheet7(F_23)'!H17:H34)+'Sheet7(F_23)'!H16</f>
        <v>281.3147264318661</v>
      </c>
      <c r="I37" s="5">
        <f>NPV(Title_RESULTS!$C$37,'Sheet7(F_23)'!I17:I34)+'Sheet7(F_23)'!I16</f>
        <v>880.2307293309734</v>
      </c>
      <c r="J37" s="5">
        <f>NPV(Title_RESULTS!$C$37,'Sheet7(F_23)'!J17:J34)+'Sheet7(F_23)'!J16</f>
        <v>0</v>
      </c>
      <c r="K37" s="5">
        <f>NPV(Title_RESULTS!$C$37,'Sheet7(F_23)'!K17:K34)+'Sheet7(F_23)'!K16</f>
        <v>1703.3000240905337</v>
      </c>
      <c r="L37" s="5">
        <f>NPV(Title_RESULTS!$C$37,'Sheet7(F_23)'!L17:L34)+'Sheet7(F_23)'!L16</f>
        <v>828.455842885624</v>
      </c>
      <c r="M37" s="5"/>
    </row>
    <row r="39" spans="1:8" ht="12.75">
      <c r="A39" t="s">
        <v>162</v>
      </c>
      <c r="C39">
        <f>+Title_RESULTS!C37</f>
        <v>0.0708</v>
      </c>
      <c r="D39" t="s">
        <v>163</v>
      </c>
      <c r="H39" s="10">
        <f>+K37/F37</f>
        <v>1.946975313643401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Residential Duct Repair</v>
      </c>
      <c r="L2" t="s">
        <v>55</v>
      </c>
    </row>
    <row r="3" ht="12.75">
      <c r="L3" s="35">
        <f>+Title_RESULTS!I4</f>
        <v>43599.32854826389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29.11947491270354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159.94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189.05947491270354</v>
      </c>
      <c r="G16" s="5">
        <f>IF(A16&gt;=(Title_RESULTS!$H$7+Title_RESULTS!$C$17),0,(+'Sheet6(p_6)'!$H16))</f>
        <v>275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275</v>
      </c>
      <c r="K16" s="23">
        <f>IF(A16&gt;=(Title_RESULTS!$H$7+Title_RESULTS!$C$17),0,(+F16-J16))</f>
        <v>-85.94052508729646</v>
      </c>
      <c r="L16" s="23">
        <f>IF(A16&gt;=(Title_RESULTS!$H$7+Title_RESULTS!$C$17),0,(+$K16/((1+Title_RESULTS!$C$37)^('Sheet8(F_24)'!$A16-Title_RESULTS!$H$7))))</f>
        <v>-85.94052508729646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89.18716522788328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159.94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249.12716522788327</v>
      </c>
      <c r="G17" s="5">
        <f>IF(A17&gt;=(Title_RESULTS!$H$7+Title_RESULTS!$C$17),0,(+'Sheet6(p_6)'!$H17))</f>
        <v>281.325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281.325</v>
      </c>
      <c r="K17" s="23">
        <f>IF(A17&gt;=(Title_RESULTS!$H$7+Title_RESULTS!$C$17),0,(+F17-J17))</f>
        <v>-32.19783477211672</v>
      </c>
      <c r="L17" s="23">
        <f>IF(A16&gt;=(Title_RESULTS!$H$7+Title_RESULTS!$C$17),0,(+$K17/((1+Title_RESULTS!$C$37)^('Sheet8(F_24)'!$A17-Title_RESULTS!$H$7))+L16))</f>
        <v>-116.0094779936438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151.3221784170951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159.94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311.26217841709513</v>
      </c>
      <c r="G18" s="5">
        <f>IF(A18&gt;=(Title_RESULTS!$H$7+Title_RESULTS!$C$17),0,(+'Sheet6(p_6)'!$H18))</f>
        <v>287.79547499999995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287.79547499999995</v>
      </c>
      <c r="K18" s="23">
        <f>IF(A18&gt;=(Title_RESULTS!$H$7+Title_RESULTS!$C$17),0,(+F18-J18))</f>
        <v>23.466703417095175</v>
      </c>
      <c r="L18" s="23">
        <f>IF(A17&gt;=(Title_RESULTS!$H$7+Title_RESULTS!$C$17),0,(+$K18/((1+Title_RESULTS!$C$37)^('Sheet8(F_24)'!$A18-Title_RESULTS!$H$7))+L17))</f>
        <v>-95.54336537770824</v>
      </c>
      <c r="M18" s="5"/>
    </row>
    <row r="19" spans="1:13" ht="12.75">
      <c r="A19">
        <f aca="true" t="shared" si="0" ref="A19:A33">+A18+1</f>
        <v>2023</v>
      </c>
      <c r="B19" s="5">
        <f>IF(A19&gt;=(Title_RESULTS!$H$7+Title_RESULTS!$C$17),0,(+'Sheet6(p_6)'!N19-'Sheet6(p_6)'!R19))</f>
        <v>182.39808763595934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182.39808763595934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182.39808763595934</v>
      </c>
      <c r="L19" s="23">
        <f>IF(A18&gt;=(Title_RESULTS!$H$7+Title_RESULTS!$C$17),0,(+$K19/((1+Title_RESULTS!$C$37)^('Sheet8(F_24)'!$A19-Title_RESULTS!$H$7))+L18))</f>
        <v>53.014343561997876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186.7795944385402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186.7795944385402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186.7795944385402</v>
      </c>
      <c r="L20" s="23">
        <f>IF(A19&gt;=(Title_RESULTS!$H$7+Title_RESULTS!$C$17),0,(+$K20/((1+Title_RESULTS!$C$37)^('Sheet8(F_24)'!$A20-Title_RESULTS!$H$7))+L19))</f>
        <v>195.0822491540223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191.3892532156973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191.3892532156973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191.3892532156973</v>
      </c>
      <c r="L21" s="23">
        <f>IF(A20&gt;=(Title_RESULTS!$H$7+Title_RESULTS!$C$17),0,(+$K21/((1+Title_RESULTS!$C$37)^('Sheet8(F_24)'!$A21-Title_RESULTS!$H$7))+L20))</f>
        <v>331.0311608440095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195.45709606126152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195.45709606126152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195.45709606126152</v>
      </c>
      <c r="L22" s="23">
        <f>IF(A21&gt;=(Title_RESULTS!$H$7+Title_RESULTS!$C$17),0,(+$K22/((1+Title_RESULTS!$C$37)^('Sheet8(F_24)'!$A22-Title_RESULTS!$H$7))+L21))</f>
        <v>460.68974264659965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200.5367629463984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200.5367629463984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200.5367629463984</v>
      </c>
      <c r="L23" s="23">
        <f>IF(A22&gt;=(Title_RESULTS!$H$7+Title_RESULTS!$C$17),0,(+$K23/((1+Title_RESULTS!$C$37)^('Sheet8(F_24)'!$A23-Title_RESULTS!$H$7))+L22))</f>
        <v>584.9223106819138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208.2757523625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208.2757523625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208.2757523625</v>
      </c>
      <c r="L24" s="23">
        <f>IF(A23&gt;=(Title_RESULTS!$H$7+Title_RESULTS!$C$17),0,(+$K24/((1+Title_RESULTS!$C$37)^('Sheet8(F_24)'!$A24-Title_RESULTS!$H$7))+L23))</f>
        <v>705.4180836115643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213.39305711582082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213.39305711582082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213.39305711582082</v>
      </c>
      <c r="L25" s="23">
        <f>IF(A24&gt;=(Title_RESULTS!$H$7+Title_RESULTS!$C$17),0,(+$K25/((1+Title_RESULTS!$C$37)^('Sheet8(F_24)'!$A25-Title_RESULTS!$H$7))+L24))</f>
        <v>820.7116365022598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221.72276832923953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221.72276832923953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221.72276832923953</v>
      </c>
      <c r="L26" s="23">
        <f>IF(A25&gt;=(Title_RESULTS!$H$7+Title_RESULTS!$C$17),0,(+$K26/((1+Title_RESULTS!$C$37)^('Sheet8(F_24)'!$A26-Title_RESULTS!$H$7))+L25))</f>
        <v>932.5849927279456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226.01664874882522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226.01664874882522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226.01664874882522</v>
      </c>
      <c r="L27" s="23">
        <f>IF(A26&gt;=(Title_RESULTS!$H$7+Title_RESULTS!$C$17),0,(+$K27/((1+Title_RESULTS!$C$37)^('Sheet8(F_24)'!$A27-Title_RESULTS!$H$7))+L26))</f>
        <v>1039.0847072162123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233.66241055701147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233.66241055701147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233.66241055701147</v>
      </c>
      <c r="L28" s="23">
        <f>IF(A27&gt;=(Title_RESULTS!$H$7+Title_RESULTS!$C$17),0,(+$K28/((1+Title_RESULTS!$C$37)^('Sheet8(F_24)'!$A28-Title_RESULTS!$H$7))+L27))</f>
        <v>1141.9072885606727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237.03123321923528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237.03123321923528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237.03123321923528</v>
      </c>
      <c r="L29" s="23">
        <f>IF(A28&gt;=(Title_RESULTS!$H$7+Title_RESULTS!$C$17),0,(+$K29/((1+Title_RESULTS!$C$37)^('Sheet8(F_24)'!$A29-Title_RESULTS!$H$7))+L28))</f>
        <v>1239.3157902867442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244.7829279804734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244.7829279804734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244.7829279804734</v>
      </c>
      <c r="L30" s="23">
        <f>IF(A29&gt;=(Title_RESULTS!$H$7+Title_RESULTS!$C$17),0,(+$K30/((1+Title_RESULTS!$C$37)^('Sheet8(F_24)'!$A30-Title_RESULTS!$H$7))+L29))</f>
        <v>1333.2587092046558</v>
      </c>
      <c r="M30" s="5"/>
    </row>
    <row r="31" spans="1:13" ht="12.75">
      <c r="A31">
        <f t="shared" si="0"/>
        <v>2035</v>
      </c>
      <c r="B31" s="5">
        <f>IF(A31&gt;=(Title_RESULTS!$H$7+Title_RESULTS!$C$17),0,(+'Sheet6(p_6)'!N31-'Sheet6(p_6)'!R31))</f>
        <v>250.5622966549513</v>
      </c>
      <c r="C31" s="5">
        <f>IF(A31&gt;=(Title_RESULTS!$H$7+Title_RESULTS!$C$17),0,(IF(Partcipation!$B31=0,0,((Partcipation!$B31-Partcipation!$B30)*Title_RESULTS!$C$33*(1+Title_RESULTS!$C$35/100)^('Sheet8(F_24)'!$A31-Title_RESULTS!$H$7))/1000)))</f>
        <v>0</v>
      </c>
      <c r="D31" s="5">
        <f>IF(A31&gt;=(Title_RESULTS!$H$7+Title_RESULTS!$C$17),0,(+'Sheet6(p_6)'!$G31))</f>
        <v>0</v>
      </c>
      <c r="E31" s="5">
        <f>IF(A31&gt;=(Title_RESULTS!$H$7+Title_RESULTS!$C$17),0,(IF(Title_RESULTS!$C$31&lt;0,((Partcipation!$B30+(Partcipation!$B31-Partcipation!$B30)/2)*(ABS(Title_RESULTS!$C$31)*(1+Title_RESULTS!$C$32/100)^('Sheet6(p_6)'!$A31-Title_RESULTS!$H$7))/1000)+'f-11B'!$Q30,+'f-11B'!$Q30)))</f>
        <v>0</v>
      </c>
      <c r="F31" s="5">
        <f>IF(A31&gt;=(Title_RESULTS!$H$7+Title_RESULTS!$C$17),0,(SUM(B31:E31)))</f>
        <v>250.5622966549513</v>
      </c>
      <c r="G31" s="5">
        <f>IF(A31&gt;=(Title_RESULTS!$H$7+Title_RESULTS!$C$17),0,(+'Sheet6(p_6)'!$H31))</f>
        <v>0</v>
      </c>
      <c r="H31" s="5">
        <f>IF(A31&gt;=(Title_RESULTS!$H$7+Title_RESULTS!$C$17),0,(+'Sheet6(p_6)'!$I31))</f>
        <v>0</v>
      </c>
      <c r="I31" s="5">
        <f>IF(A31&gt;=(Title_RESULTS!$H$7+Title_RESULTS!$C$17),0,(+'f-11B'!$P30))</f>
        <v>0</v>
      </c>
      <c r="J31" s="5">
        <f>IF(A31&gt;=(Title_RESULTS!$H$7+Title_RESULTS!$C$17),0,(SUM(G31:I31)))</f>
        <v>0</v>
      </c>
      <c r="K31" s="23">
        <f>IF(A31&gt;=(Title_RESULTS!$H$7+Title_RESULTS!$C$17),0,(+F31-J31))</f>
        <v>250.5622966549513</v>
      </c>
      <c r="L31" s="23">
        <f>IF(A30&gt;=(Title_RESULTS!$H$7+Title_RESULTS!$C$17),0,(+$K31/((1+Title_RESULTS!$C$37)^('Sheet8(F_24)'!$A31-Title_RESULTS!$H$7))+L30))</f>
        <v>1423.0615930503677</v>
      </c>
      <c r="M31" s="5"/>
    </row>
    <row r="32" spans="1:13" ht="12.75">
      <c r="A32">
        <f t="shared" si="0"/>
        <v>2036</v>
      </c>
      <c r="B32" s="5">
        <f>IF(A32&gt;=(Title_RESULTS!$H$7+Title_RESULTS!$C$17),0,(+'Sheet6(p_6)'!N32-'Sheet6(p_6)'!R32))</f>
        <v>255.58795994931904</v>
      </c>
      <c r="C32" s="5">
        <f>IF(A32&gt;=(Title_RESULTS!$H$7+Title_RESULTS!$C$17),0,(IF(Partcipation!$B32=0,0,((Partcipation!$B32-Partcipation!$B31)*Title_RESULTS!$C$33*(1+Title_RESULTS!$C$35/100)^('Sheet8(F_24)'!$A32-Title_RESULTS!$H$7))/1000)))</f>
        <v>0</v>
      </c>
      <c r="D32" s="5">
        <f>IF(A32&gt;=(Title_RESULTS!$H$7+Title_RESULTS!$C$17),0,(+'Sheet6(p_6)'!$G32))</f>
        <v>0</v>
      </c>
      <c r="E32" s="5">
        <f>IF(A32&gt;=(Title_RESULTS!$H$7+Title_RESULTS!$C$17),0,(IF(Title_RESULTS!$C$31&lt;0,((Partcipation!$B31+(Partcipation!$B32-Partcipation!$B31)/2)*(ABS(Title_RESULTS!$C$31)*(1+Title_RESULTS!$C$32/100)^('Sheet6(p_6)'!$A32-Title_RESULTS!$H$7))/1000)+'f-11B'!$Q31,+'f-11B'!$Q31)))</f>
        <v>0</v>
      </c>
      <c r="F32" s="5">
        <f>IF(A32&gt;=(Title_RESULTS!$H$7+Title_RESULTS!$C$17),0,(SUM(B32:E32)))</f>
        <v>255.58795994931904</v>
      </c>
      <c r="G32" s="5">
        <f>IF(A32&gt;=(Title_RESULTS!$H$7+Title_RESULTS!$C$17),0,(+'Sheet6(p_6)'!$H32))</f>
        <v>0</v>
      </c>
      <c r="H32" s="5">
        <f>IF(A32&gt;=(Title_RESULTS!$H$7+Title_RESULTS!$C$17),0,(+'Sheet6(p_6)'!$I32))</f>
        <v>0</v>
      </c>
      <c r="I32" s="5">
        <f>IF(A32&gt;=(Title_RESULTS!$H$7+Title_RESULTS!$C$17),0,(+'f-11B'!$P31))</f>
        <v>0</v>
      </c>
      <c r="J32" s="5">
        <f>IF(A32&gt;=(Title_RESULTS!$H$7+Title_RESULTS!$C$17),0,(SUM(G32:I32)))</f>
        <v>0</v>
      </c>
      <c r="K32" s="23">
        <f>IF(A32&gt;=(Title_RESULTS!$H$7+Title_RESULTS!$C$17),0,(+F32-J32))</f>
        <v>255.58795994931904</v>
      </c>
      <c r="L32" s="23">
        <f>IF(A31&gt;=(Title_RESULTS!$H$7+Title_RESULTS!$C$17),0,(+$K32/((1+Title_RESULTS!$C$37)^('Sheet8(F_24)'!$A32-Title_RESULTS!$H$7))+L31))</f>
        <v>1508.6089490299817</v>
      </c>
      <c r="M32" s="5"/>
    </row>
    <row r="33" spans="1:13" ht="12.75">
      <c r="A33">
        <f t="shared" si="0"/>
        <v>2037</v>
      </c>
      <c r="B33" s="5">
        <f>IF(A33&gt;=(Title_RESULTS!$H$7+Title_RESULTS!$C$17),0,(+'Sheet6(p_6)'!N33-'Sheet6(p_6)'!R33))</f>
        <v>263.2189424623058</v>
      </c>
      <c r="C33" s="5">
        <f>IF(A33&gt;=(Title_RESULTS!$H$7+Title_RESULTS!$C$17),0,(IF(Partcipation!$B33=0,0,((Partcipation!$B33-Partcipation!$B32)*Title_RESULTS!$C$33*(1+Title_RESULTS!$C$35/100)^('Sheet8(F_24)'!$A33-Title_RESULTS!$H$7))/1000)))</f>
        <v>0</v>
      </c>
      <c r="D33" s="5">
        <f>IF(A33&gt;=(Title_RESULTS!$H$7+Title_RESULTS!$C$17),0,(+'Sheet6(p_6)'!$G33))</f>
        <v>0</v>
      </c>
      <c r="E33" s="5">
        <f>IF(A33&gt;=(Title_RESULTS!$H$7+Title_RESULTS!$C$17),0,(IF(Title_RESULTS!$C$31&lt;0,((Partcipation!$B32+(Partcipation!$B33-Partcipation!$B32)/2)*(ABS(Title_RESULTS!$C$31)*(1+Title_RESULTS!$C$32/100)^('Sheet6(p_6)'!$A33-Title_RESULTS!$H$7))/1000)+'f-11B'!$Q32,+'f-11B'!$Q32)))</f>
        <v>0</v>
      </c>
      <c r="F33" s="5">
        <f>IF(A33&gt;=(Title_RESULTS!$H$7+Title_RESULTS!$C$17),0,(SUM(B33:E33)))</f>
        <v>263.2189424623058</v>
      </c>
      <c r="G33" s="5">
        <f>IF(A33&gt;=(Title_RESULTS!$H$7+Title_RESULTS!$C$17),0,(+'Sheet6(p_6)'!$H33))</f>
        <v>0</v>
      </c>
      <c r="H33" s="5">
        <f>IF(A33&gt;=(Title_RESULTS!$H$7+Title_RESULTS!$C$17),0,(+'Sheet6(p_6)'!$I33))</f>
        <v>0</v>
      </c>
      <c r="I33" s="5">
        <f>IF(A33&gt;=(Title_RESULTS!$H$7+Title_RESULTS!$C$17),0,(+'f-11B'!$P32))</f>
        <v>0</v>
      </c>
      <c r="J33" s="5">
        <f>IF(A33&gt;=(Title_RESULTS!$H$7+Title_RESULTS!$C$17),0,(SUM(G33:I33)))</f>
        <v>0</v>
      </c>
      <c r="K33" s="23">
        <f>IF(A33&gt;=(Title_RESULTS!$H$7+Title_RESULTS!$C$17),0,(+F33-J33))</f>
        <v>263.2189424623058</v>
      </c>
      <c r="L33" s="23">
        <f>IF(A32&gt;=(Title_RESULTS!$H$7+Title_RESULTS!$C$17),0,(+$K33/((1+Title_RESULTS!$C$37)^('Sheet8(F_24)'!$A33-Title_RESULTS!$H$7))+L32))</f>
        <v>1590.885291487933</v>
      </c>
      <c r="M33" s="5"/>
    </row>
    <row r="34" spans="2:13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t="s">
        <v>87</v>
      </c>
      <c r="B35" s="5">
        <f aca="true" t="shared" si="1" ref="B35:K35">SUM(B16:B34)</f>
        <v>3580.4436102352197</v>
      </c>
      <c r="C35" s="5">
        <f t="shared" si="1"/>
        <v>0</v>
      </c>
      <c r="D35" s="5">
        <f t="shared" si="1"/>
        <v>479.82</v>
      </c>
      <c r="E35" s="5">
        <f t="shared" si="1"/>
        <v>0</v>
      </c>
      <c r="F35" s="5">
        <f t="shared" si="1"/>
        <v>4060.2636102352203</v>
      </c>
      <c r="G35" s="5">
        <f t="shared" si="1"/>
        <v>844.1204749999999</v>
      </c>
      <c r="H35" s="5">
        <f t="shared" si="1"/>
        <v>0</v>
      </c>
      <c r="I35" s="5">
        <f t="shared" si="1"/>
        <v>0</v>
      </c>
      <c r="J35" s="5">
        <f t="shared" si="1"/>
        <v>844.1204749999999</v>
      </c>
      <c r="K35" s="5">
        <f t="shared" si="1"/>
        <v>3216.14313523522</v>
      </c>
      <c r="L35" s="5"/>
      <c r="M35" s="5"/>
    </row>
    <row r="36" ht="12.75">
      <c r="M36" s="5"/>
    </row>
    <row r="37" spans="1:13" ht="12.75">
      <c r="A37" t="s">
        <v>118</v>
      </c>
      <c r="B37" s="5">
        <f>NPV(Title_RESULTS!$C$37,'Sheet8(F_24)'!B17:B34)+'Sheet8(F_24)'!B16</f>
        <v>1930.8115837346327</v>
      </c>
      <c r="C37" s="5">
        <f>NPV(Title_RESULTS!$C$37,'Sheet8(F_24)'!C17:C34)+'Sheet8(F_24)'!C16</f>
        <v>0</v>
      </c>
      <c r="D37" s="5">
        <f>NPV(Title_RESULTS!$C$37,'Sheet8(F_24)'!D17:D34)+'Sheet8(F_24)'!D16</f>
        <v>448.79409112531675</v>
      </c>
      <c r="E37" s="5">
        <f>NPV(Title_RESULTS!$C$37,'Sheet8(F_24)'!E17:E34)+'Sheet8(F_24)'!E16</f>
        <v>0</v>
      </c>
      <c r="F37" s="5">
        <f>NPV(Title_RESULTS!$C$37,'Sheet8(F_24)'!F17:F34)+'Sheet8(F_24)'!F16</f>
        <v>2379.60567485995</v>
      </c>
      <c r="G37" s="5">
        <f>NPV(Title_RESULTS!$C$37,'Sheet8(F_24)'!G17:G34)+'Sheet8(F_24)'!G16</f>
        <v>788.7203833720165</v>
      </c>
      <c r="H37" s="5">
        <f>NPV(Title_RESULTS!$C$37,'Sheet8(F_24)'!H17:H34)+'Sheet8(F_24)'!H16</f>
        <v>0</v>
      </c>
      <c r="I37" s="5">
        <f>NPV(Title_RESULTS!$C$37,'Sheet8(F_24)'!I17:I34)+'Sheet8(F_24)'!I16</f>
        <v>0</v>
      </c>
      <c r="J37" s="5">
        <f>NPV(Title_RESULTS!$C$37,'Sheet8(F_24)'!J17:J34)+'Sheet8(F_24)'!J16</f>
        <v>788.7203833720165</v>
      </c>
      <c r="K37" s="5">
        <f>NPV(Title_RESULTS!$C$37,'Sheet8(F_24)'!K17:K34)+'Sheet8(F_24)'!K16</f>
        <v>1590.8852914879328</v>
      </c>
      <c r="L37" s="5"/>
      <c r="M37" s="5"/>
    </row>
    <row r="38" spans="2:12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1" ht="12.75">
      <c r="A39" t="s">
        <v>174</v>
      </c>
      <c r="D39">
        <f>+Title_RESULTS!H8</f>
        <v>2023</v>
      </c>
      <c r="F39">
        <f>+F37/J37</f>
        <v>3.017045996309137</v>
      </c>
      <c r="K39" s="10"/>
    </row>
    <row r="40" spans="1:10" ht="12.75">
      <c r="A40" t="s">
        <v>175</v>
      </c>
      <c r="D40">
        <f>+Title_RESULTS!C37</f>
        <v>0.0708</v>
      </c>
      <c r="J40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Residential Duct Repair</v>
      </c>
      <c r="N2" t="s">
        <v>55</v>
      </c>
    </row>
    <row r="3" ht="12.75">
      <c r="N3" s="35">
        <f>+Title_RESULTS!I4</f>
        <v>43599.32854826389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30</v>
      </c>
      <c r="D16" s="5">
        <f>IF(A16&gt;=(Title_RESULTS!$H$7+Title_RESULTS!$C$17),0,(+'Sheet6(p_6)'!$G16))</f>
        <v>159.94</v>
      </c>
      <c r="E16" s="5">
        <f>+'Sheet6(p_6)'!M16</f>
        <v>20.650309995</v>
      </c>
      <c r="F16">
        <f>IF(A16&gt;=(Title_RESULTS!$H$7+Title_RESULTS!$C$17),0,(+'f-11B'!$R15))</f>
        <v>0</v>
      </c>
      <c r="G16" s="5">
        <f>IF(A16&gt;=(Title_RESULTS!$H$7+Title_RESULTS!$C$17),0,(SUM(B16:F16)))</f>
        <v>210.59030999499998</v>
      </c>
      <c r="H16" s="5">
        <f>IF(A16&gt;=(Title_RESULTS!$H$7+Title_RESULTS!$C$17),0,(+'Sheet3(F_21)'!$J16+'Sheet4(F_22)'!$H16))</f>
        <v>10.689145690667356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10.689145690667356</v>
      </c>
      <c r="M16" s="23">
        <f>IF(A16&gt;=(Title_RESULTS!$H$7+Title_RESULTS!$C$17),0,(+L16-G16))</f>
        <v>-199.90116430433264</v>
      </c>
      <c r="N16" s="24">
        <f>IF(A16&gt;=(Title_RESULTS!$H$7+Title_RESULTS!$C$17),0,(+$M16/((1+Title_RESULTS!$C$37)^('Sheet9(F_25)'!$A16-Title_RESULTS!$H$7))))</f>
        <v>-199.90116430433264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30.72</v>
      </c>
      <c r="D17" s="5">
        <f>IF(A17&gt;=(Title_RESULTS!$H$7+Title_RESULTS!$C$17),0,(+'Sheet6(p_6)'!$G17))</f>
        <v>159.94</v>
      </c>
      <c r="E17" s="5">
        <f>+'Sheet6(p_6)'!M17</f>
        <v>62.57043928485</v>
      </c>
      <c r="F17">
        <f>IF(A17&gt;=(Title_RESULTS!$H$7+Title_RESULTS!$C$17),0,(+'f-11B'!$R16))</f>
        <v>0</v>
      </c>
      <c r="G17" s="5">
        <f>IF(A17&gt;=(Title_RESULTS!$H$7+Title_RESULTS!$C$17),0,(SUM(B17:F17)))</f>
        <v>253.23043928485</v>
      </c>
      <c r="H17" s="5">
        <f>IF(A17&gt;=(Title_RESULTS!$H$7+Title_RESULTS!$C$17),0,(+'Sheet3(F_21)'!$J17+'Sheet4(F_22)'!$H17))</f>
        <v>31.80660524654632</v>
      </c>
      <c r="I17" s="5">
        <f>IF(A17&gt;=(Title_RESULTS!$H$7+Title_RESULTS!$C$17),0,(+'Sheet4(F_22)'!$D17+'Sheet4(F_22)'!$G17))</f>
        <v>24.737779277592985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56.5443845241393</v>
      </c>
      <c r="M17" s="23">
        <f>IF(A17&gt;=(Title_RESULTS!$H$7+Title_RESULTS!$C$17),0,(+L17-G17))</f>
        <v>-196.6860547607107</v>
      </c>
      <c r="N17" s="24">
        <f>(IF(A16&gt;=(Title_RESULTS!$H$7+Title_RESULTS!$C$17),0,(+$M17/((1+Title_RESULTS!$C$37)^('Sheet9(F_25)'!$A17-Title_RESULTS!$H$7))+N16)))</f>
        <v>-383.5825751753737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31.457279999999997</v>
      </c>
      <c r="D18" s="5">
        <f>IF(A18&gt;=(Title_RESULTS!$H$7+Title_RESULTS!$C$17),0,(+'Sheet6(p_6)'!$G18))</f>
        <v>159.94</v>
      </c>
      <c r="E18" s="5">
        <f>+'Sheet6(p_6)'!M18</f>
        <v>105.3269061294975</v>
      </c>
      <c r="F18">
        <f>IF(A18&gt;=(Title_RESULTS!$H$7+Title_RESULTS!$C$17),0,(+'f-11B'!$R17))</f>
        <v>0</v>
      </c>
      <c r="G18" s="5">
        <f>IF(A18&gt;=(Title_RESULTS!$H$7+Title_RESULTS!$C$17),0,(SUM(B18:F18)))</f>
        <v>296.7241861294975</v>
      </c>
      <c r="H18" s="5">
        <f>IF(A18&gt;=(Title_RESULTS!$H$7+Title_RESULTS!$C$17),0,(+'Sheet3(F_21)'!$J18+'Sheet4(F_22)'!$H18))</f>
        <v>54.71090917885613</v>
      </c>
      <c r="I18" s="5">
        <f>IF(A18&gt;=(Title_RESULTS!$H$7+Title_RESULTS!$C$17),0,(+'Sheet4(F_22)'!$D18+'Sheet4(F_22)'!$G18))</f>
        <v>25.331485980255216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80.04239515911135</v>
      </c>
      <c r="M18" s="23">
        <f>IF(A18&gt;=(Title_RESULTS!$H$7+Title_RESULTS!$C$17),0,(+L18-G18))</f>
        <v>-216.68179097038617</v>
      </c>
      <c r="N18" s="24">
        <f>(IF(A17&gt;=(Title_RESULTS!$H$7+Title_RESULTS!$C$17),0,(+$M18/((1+Title_RESULTS!$C$37)^('Sheet9(F_25)'!$A18-Title_RESULTS!$H$7))+N17)))</f>
        <v>-572.5581571734809</v>
      </c>
    </row>
    <row r="19" spans="1:14" ht="12.75">
      <c r="A19">
        <f aca="true" t="shared" si="0" ref="A19:A33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127.65621022895097</v>
      </c>
      <c r="F19">
        <f>IF(A19&gt;=(Title_RESULTS!$H$7+Title_RESULTS!$C$17),0,(+'f-11B'!$R18))</f>
        <v>0</v>
      </c>
      <c r="G19" s="5">
        <f>IF(A19&gt;=(Title_RESULTS!$H$7+Title_RESULTS!$C$17),0,(SUM(B19:F19)))</f>
        <v>127.65621022895097</v>
      </c>
      <c r="H19" s="5">
        <f>IF(A19&gt;=(Title_RESULTS!$H$7+Title_RESULTS!$C$17),0,(+'Sheet3(F_21)'!$J19+'Sheet4(F_22)'!$H19))</f>
        <v>127.05903986500343</v>
      </c>
      <c r="I19" s="5">
        <f>IF(A19&gt;=(Title_RESULTS!$H$7+Title_RESULTS!$C$17),0,(+'Sheet4(F_22)'!$D19+'Sheet4(F_22)'!$G19))</f>
        <v>25.939441643781343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152.99848150878478</v>
      </c>
      <c r="M19" s="23">
        <f>IF(A19&gt;=(Title_RESULTS!$H$7+Title_RESULTS!$C$17),0,(+L19-G19))</f>
        <v>25.34227127983381</v>
      </c>
      <c r="N19" s="24">
        <f>(IF(A18&gt;=(Title_RESULTS!$H$7+Title_RESULTS!$C$17),0,(+$M19/((1+Title_RESULTS!$C$37)^('Sheet9(F_25)'!$A19-Title_RESULTS!$H$7))+N18)))</f>
        <v>-551.9176460285692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128.9327723312405</v>
      </c>
      <c r="F20">
        <f>IF(A20&gt;=(Title_RESULTS!$H$7+Title_RESULTS!$C$17),0,(+'f-11B'!$R19))</f>
        <v>0</v>
      </c>
      <c r="G20" s="5">
        <f>IF(A20&gt;=(Title_RESULTS!$H$7+Title_RESULTS!$C$17),0,(SUM(B20:F20)))</f>
        <v>128.9327723312405</v>
      </c>
      <c r="H20" s="5">
        <f>IF(A20&gt;=(Title_RESULTS!$H$7+Title_RESULTS!$C$17),0,(+'Sheet3(F_21)'!$J20+'Sheet4(F_22)'!$H20))</f>
        <v>131.31035854482005</v>
      </c>
      <c r="I20" s="5">
        <f>IF(A20&gt;=(Title_RESULTS!$H$7+Title_RESULTS!$C$17),0,(+'Sheet4(F_22)'!$D20+'Sheet4(F_22)'!$G20))</f>
        <v>26.561988243232094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157.87234678805214</v>
      </c>
      <c r="M20" s="23">
        <f>IF(A20&gt;=(Title_RESULTS!$H$7+Title_RESULTS!$C$17),0,(+L20-G20))</f>
        <v>28.93957445681164</v>
      </c>
      <c r="N20" s="24">
        <f>(IF(A19&gt;=(Title_RESULTS!$H$7+Title_RESULTS!$C$17),0,(+$M20/((1+Title_RESULTS!$C$37)^('Sheet9(F_25)'!$A20-Title_RESULTS!$H$7))+N19)))</f>
        <v>-529.9056872588625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130.22210005455287</v>
      </c>
      <c r="F21">
        <f>IF(A21&gt;=(Title_RESULTS!$H$7+Title_RESULTS!$C$17),0,(+'f-11B'!$R20))</f>
        <v>0</v>
      </c>
      <c r="G21" s="5">
        <f>IF(A21&gt;=(Title_RESULTS!$H$7+Title_RESULTS!$C$17),0,(SUM(B21:F21)))</f>
        <v>130.22210005455287</v>
      </c>
      <c r="H21" s="5">
        <f>IF(A21&gt;=(Title_RESULTS!$H$7+Title_RESULTS!$C$17),0,(+'Sheet3(F_21)'!$J21+'Sheet4(F_22)'!$H21))</f>
        <v>138.25809134078463</v>
      </c>
      <c r="I21" s="5">
        <f>IF(A21&gt;=(Title_RESULTS!$H$7+Title_RESULTS!$C$17),0,(+'Sheet4(F_22)'!$D21+'Sheet4(F_22)'!$G21))</f>
        <v>27.19947596106967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165.4575673018543</v>
      </c>
      <c r="M21" s="23">
        <f>IF(A21&gt;=(Title_RESULTS!$H$7+Title_RESULTS!$C$17),0,(+L21-G21))</f>
        <v>35.23546724730144</v>
      </c>
      <c r="N21" s="24">
        <f>(IF(A20&gt;=(Title_RESULTS!$H$7+Title_RESULTS!$C$17),0,(+$M21/((1+Title_RESULTS!$C$37)^('Sheet9(F_25)'!$A21-Title_RESULTS!$H$7))+N20)))</f>
        <v>-504.87699131761127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131.52432105509843</v>
      </c>
      <c r="F22">
        <f>IF(A22&gt;=(Title_RESULTS!$H$7+Title_RESULTS!$C$17),0,(+'f-11B'!$R21))</f>
        <v>0</v>
      </c>
      <c r="G22" s="5">
        <f>IF(A22&gt;=(Title_RESULTS!$H$7+Title_RESULTS!$C$17),0,(SUM(B22:F22)))</f>
        <v>131.52432105509843</v>
      </c>
      <c r="H22" s="5">
        <f>IF(A22&gt;=(Title_RESULTS!$H$7+Title_RESULTS!$C$17),0,(+'Sheet3(F_21)'!$J22+'Sheet4(F_22)'!$H22))</f>
        <v>142.62251185483206</v>
      </c>
      <c r="I22" s="5">
        <f>IF(A22&gt;=(Title_RESULTS!$H$7+Title_RESULTS!$C$17),0,(+'Sheet4(F_22)'!$D22+'Sheet4(F_22)'!$G22))</f>
        <v>27.852263384135338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170.4747752389674</v>
      </c>
      <c r="M22" s="23">
        <f>IF(A22&gt;=(Title_RESULTS!$H$7+Title_RESULTS!$C$17),0,(+L22-G22))</f>
        <v>38.95045418386897</v>
      </c>
      <c r="N22" s="24">
        <f>(IF(A21&gt;=(Title_RESULTS!$H$7+Title_RESULTS!$C$17),0,(+$M22/((1+Title_RESULTS!$C$37)^('Sheet9(F_25)'!$A22-Title_RESULTS!$H$7))+N21)))</f>
        <v>-479.0387856355606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132.8395642656494</v>
      </c>
      <c r="F23">
        <f>IF(A23&gt;=(Title_RESULTS!$H$7+Title_RESULTS!$C$17),0,(+'f-11B'!$R22))</f>
        <v>0</v>
      </c>
      <c r="G23" s="5">
        <f>IF(A23&gt;=(Title_RESULTS!$H$7+Title_RESULTS!$C$17),0,(SUM(B23:F23)))</f>
        <v>132.8395642656494</v>
      </c>
      <c r="H23" s="5">
        <f>IF(A23&gt;=(Title_RESULTS!$H$7+Title_RESULTS!$C$17),0,(+'Sheet3(F_21)'!$J23+'Sheet4(F_22)'!$H23))</f>
        <v>149.26217894482684</v>
      </c>
      <c r="I23" s="5">
        <f>IF(A23&gt;=(Title_RESULTS!$H$7+Title_RESULTS!$C$17),0,(+'Sheet4(F_22)'!$D23+'Sheet4(F_22)'!$G23))</f>
        <v>28.52071770535459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177.78289665018144</v>
      </c>
      <c r="M23" s="23">
        <f>IF(A23&gt;=(Title_RESULTS!$H$7+Title_RESULTS!$C$17),0,(+L23-G23))</f>
        <v>44.943332384532056</v>
      </c>
      <c r="N23" s="24">
        <f>(IF(A22&gt;=(Title_RESULTS!$H$7+Title_RESULTS!$C$17),0,(+$M23/((1+Title_RESULTS!$C$37)^('Sheet9(F_25)'!$A23-Title_RESULTS!$H$7))+N22)))</f>
        <v>-451.1963814989808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134.1679599083059</v>
      </c>
      <c r="F24">
        <f>IF(A24&gt;=(Title_RESULTS!$H$7+Title_RESULTS!$C$17),0,(+'f-11B'!$R23))</f>
        <v>0</v>
      </c>
      <c r="G24" s="5">
        <f>IF(A24&gt;=(Title_RESULTS!$H$7+Title_RESULTS!$C$17),0,(SUM(B24:F24)))</f>
        <v>134.1679599083059</v>
      </c>
      <c r="H24" s="5">
        <f>IF(A24&gt;=(Title_RESULTS!$H$7+Title_RESULTS!$C$17),0,(+'Sheet3(F_21)'!$J24+'Sheet4(F_22)'!$H24))</f>
        <v>159.36732466087636</v>
      </c>
      <c r="I24" s="5">
        <f>IF(A24&gt;=(Title_RESULTS!$H$7+Title_RESULTS!$C$17),0,(+'Sheet4(F_22)'!$D24+'Sheet4(F_22)'!$G24))</f>
        <v>29.20521493028309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188.57253959115945</v>
      </c>
      <c r="M24" s="23">
        <f>IF(A24&gt;=(Title_RESULTS!$H$7+Title_RESULTS!$C$17),0,(+L24-G24))</f>
        <v>54.40457968285355</v>
      </c>
      <c r="N24" s="24">
        <f>(IF(A23&gt;=(Title_RESULTS!$H$7+Title_RESULTS!$C$17),0,(+$M24/((1+Title_RESULTS!$C$37)^('Sheet9(F_25)'!$A24-Title_RESULTS!$H$7))+N23)))</f>
        <v>-419.72117708637865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135.50963950738898</v>
      </c>
      <c r="F25">
        <f>IF(A25&gt;=(Title_RESULTS!$H$7+Title_RESULTS!$C$17),0,(+'f-11B'!$R24))</f>
        <v>0</v>
      </c>
      <c r="G25" s="5">
        <f>IF(A25&gt;=(Title_RESULTS!$H$7+Title_RESULTS!$C$17),0,(SUM(B25:F25)))</f>
        <v>135.50963950738898</v>
      </c>
      <c r="H25" s="5">
        <f>IF(A25&gt;=(Title_RESULTS!$H$7+Title_RESULTS!$C$17),0,(+'Sheet3(F_21)'!$J25+'Sheet4(F_22)'!$H25))</f>
        <v>167.79258195601417</v>
      </c>
      <c r="I25" s="5">
        <f>IF(A25&gt;=(Title_RESULTS!$H$7+Title_RESULTS!$C$17),0,(+'Sheet4(F_22)'!$D25+'Sheet4(F_22)'!$G25))</f>
        <v>29.906140088609888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197.69872204462405</v>
      </c>
      <c r="M25" s="23">
        <f>IF(A25&gt;=(Title_RESULTS!$H$7+Title_RESULTS!$C$17),0,(+L25-G25))</f>
        <v>62.189082537235066</v>
      </c>
      <c r="N25" s="24">
        <f>(IF(A24&gt;=(Title_RESULTS!$H$7+Title_RESULTS!$C$17),0,(+$M25/((1+Title_RESULTS!$C$37)^('Sheet9(F_25)'!$A25-Title_RESULTS!$H$7))+N24)))</f>
        <v>-386.12120727649415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136.86473590246288</v>
      </c>
      <c r="F26">
        <f>IF(A26&gt;=(Title_RESULTS!$H$7+Title_RESULTS!$C$17),0,(+'f-11B'!$R25))</f>
        <v>0</v>
      </c>
      <c r="G26" s="5">
        <f>IF(A26&gt;=(Title_RESULTS!$H$7+Title_RESULTS!$C$17),0,(SUM(B26:F26)))</f>
        <v>136.86473590246288</v>
      </c>
      <c r="H26" s="5">
        <f>IF(A26&gt;=(Title_RESULTS!$H$7+Title_RESULTS!$C$17),0,(+'Sheet3(F_21)'!$J26+'Sheet4(F_22)'!$H26))</f>
        <v>180.5006814600211</v>
      </c>
      <c r="I26" s="5">
        <f>IF(A26&gt;=(Title_RESULTS!$H$7+Title_RESULTS!$C$17),0,(+'Sheet4(F_22)'!$D26+'Sheet4(F_22)'!$G26))</f>
        <v>30.623887450736525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211.12456891075763</v>
      </c>
      <c r="M26" s="23">
        <f>IF(A26&gt;=(Title_RESULTS!$H$7+Title_RESULTS!$C$17),0,(+L26-G26))</f>
        <v>74.25983300829475</v>
      </c>
      <c r="N26" s="24">
        <f>(IF(A25&gt;=(Title_RESULTS!$H$7+Title_RESULTS!$C$17),0,(+$M26/((1+Title_RESULTS!$C$37)^('Sheet9(F_25)'!$A26-Title_RESULTS!$H$7))+N25)))</f>
        <v>-348.6523590657381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138.23338326148746</v>
      </c>
      <c r="F27">
        <f>IF(A27&gt;=(Title_RESULTS!$H$7+Title_RESULTS!$C$17),0,(+'f-11B'!$R26))</f>
        <v>0</v>
      </c>
      <c r="G27" s="5">
        <f>IF(A27&gt;=(Title_RESULTS!$H$7+Title_RESULTS!$C$17),0,(SUM(B27:F27)))</f>
        <v>138.23338326148746</v>
      </c>
      <c r="H27" s="5">
        <f>IF(A27&gt;=(Title_RESULTS!$H$7+Title_RESULTS!$C$17),0,(+'Sheet3(F_21)'!$J27+'Sheet4(F_22)'!$H27))</f>
        <v>182.4908937931463</v>
      </c>
      <c r="I27" s="5">
        <f>IF(A27&gt;=(Title_RESULTS!$H$7+Title_RESULTS!$C$17),0,(+'Sheet4(F_22)'!$D27+'Sheet4(F_22)'!$G27))</f>
        <v>31.35886074955421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213.8497545427005</v>
      </c>
      <c r="M27" s="23">
        <f>IF(A27&gt;=(Title_RESULTS!$H$7+Title_RESULTS!$C$17),0,(+L27-G27))</f>
        <v>75.61637128121305</v>
      </c>
      <c r="N27" s="24">
        <f>(IF(A26&gt;=(Title_RESULTS!$H$7+Title_RESULTS!$C$17),0,(+$M27/((1+Title_RESULTS!$C$37)^('Sheet9(F_25)'!$A27-Title_RESULTS!$H$7))+N26)))</f>
        <v>-313.021700896669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139.61571709410237</v>
      </c>
      <c r="F28">
        <f>IF(A28&gt;=(Title_RESULTS!$H$7+Title_RESULTS!$C$17),0,(+'f-11B'!$R27))</f>
        <v>0</v>
      </c>
      <c r="G28" s="5">
        <f>IF(A28&gt;=(Title_RESULTS!$H$7+Title_RESULTS!$C$17),0,(SUM(B28:F28)))</f>
        <v>139.61571709410237</v>
      </c>
      <c r="H28" s="5">
        <f>IF(A28&gt;=(Title_RESULTS!$H$7+Title_RESULTS!$C$17),0,(+'Sheet3(F_21)'!$J28+'Sheet4(F_22)'!$H28))</f>
        <v>194.27395663621897</v>
      </c>
      <c r="I28" s="5">
        <f>IF(A28&gt;=(Title_RESULTS!$H$7+Title_RESULTS!$C$17),0,(+'Sheet4(F_22)'!$D28+'Sheet4(F_22)'!$G28))</f>
        <v>32.11147340754351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226.38543004376248</v>
      </c>
      <c r="M28" s="23">
        <f>IF(A28&gt;=(Title_RESULTS!$H$7+Title_RESULTS!$C$17),0,(+L28-G28))</f>
        <v>86.76971294966012</v>
      </c>
      <c r="N28" s="24">
        <f>(IF(A27&gt;=(Title_RESULTS!$H$7+Title_RESULTS!$C$17),0,(+$M28/((1+Title_RESULTS!$C$37)^('Sheet9(F_25)'!$A28-Title_RESULTS!$H$7))+N27)))</f>
        <v>-274.8388975662846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141.0118742650434</v>
      </c>
      <c r="F29">
        <f>IF(A29&gt;=(Title_RESULTS!$H$7+Title_RESULTS!$C$17),0,(+'f-11B'!$R28))</f>
        <v>0</v>
      </c>
      <c r="G29" s="5">
        <f>IF(A29&gt;=(Title_RESULTS!$H$7+Title_RESULTS!$C$17),0,(SUM(B29:F29)))</f>
        <v>141.0118742650434</v>
      </c>
      <c r="H29" s="5">
        <f>IF(A29&gt;=(Title_RESULTS!$H$7+Title_RESULTS!$C$17),0,(+'Sheet3(F_21)'!$J29+'Sheet4(F_22)'!$H29))</f>
        <v>204.91850184895878</v>
      </c>
      <c r="I29" s="5">
        <f>IF(A29&gt;=(Title_RESULTS!$H$7+Title_RESULTS!$C$17),0,(+'Sheet4(F_22)'!$D29+'Sheet4(F_22)'!$G29))</f>
        <v>32.88214876932455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237.80065061828333</v>
      </c>
      <c r="M29" s="23">
        <f>IF(A29&gt;=(Title_RESULTS!$H$7+Title_RESULTS!$C$17),0,(+L29-G29))</f>
        <v>96.78877635323994</v>
      </c>
      <c r="N29" s="24">
        <f>(IF(A28&gt;=(Title_RESULTS!$H$7+Title_RESULTS!$C$17),0,(+$M29/((1+Title_RESULTS!$C$37)^('Sheet9(F_25)'!$A29-Title_RESULTS!$H$7))+N28)))</f>
        <v>-235.0633390442196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142.42199300769383</v>
      </c>
      <c r="F30">
        <f>IF(A30&gt;=(Title_RESULTS!$H$7+Title_RESULTS!$C$17),0,(+'f-11B'!$R29))</f>
        <v>0</v>
      </c>
      <c r="G30" s="5">
        <f>IF(A30&gt;=(Title_RESULTS!$H$7+Title_RESULTS!$C$17),0,(SUM(B30:F30)))</f>
        <v>142.42199300769383</v>
      </c>
      <c r="H30" s="5">
        <f>IF(A30&gt;=(Title_RESULTS!$H$7+Title_RESULTS!$C$17),0,(+'Sheet3(F_21)'!$J30+'Sheet4(F_22)'!$H30))</f>
        <v>212.38494215423827</v>
      </c>
      <c r="I30" s="5">
        <f>IF(A30&gt;=(Title_RESULTS!$H$7+Title_RESULTS!$C$17),0,(+'Sheet4(F_22)'!$D30+'Sheet4(F_22)'!$G30))</f>
        <v>33.67132033978834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246.0562624940266</v>
      </c>
      <c r="M30" s="23">
        <f>IF(A30&gt;=(Title_RESULTS!$H$7+Title_RESULTS!$C$17),0,(+L30-G30))</f>
        <v>103.63426948633278</v>
      </c>
      <c r="N30" s="24">
        <f>(IF(A29&gt;=(Title_RESULTS!$H$7+Title_RESULTS!$C$17),0,(+$M30/((1+Title_RESULTS!$C$37)^('Sheet9(F_25)'!$A30-Title_RESULTS!$H$7))+N29)))</f>
        <v>-195.290525409732</v>
      </c>
    </row>
    <row r="31" spans="1:14" ht="12.75">
      <c r="A31">
        <f t="shared" si="0"/>
        <v>2035</v>
      </c>
      <c r="B31" s="5">
        <f>IF(A31&gt;=(Title_RESULTS!$H$7+Title_RESULTS!$C$17),0,(+'Sheet7(F_23)'!$B31))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IF(A31&gt;=(Title_RESULTS!$H$7+Title_RESULTS!$C$17),0,(+'Sheet6(p_6)'!$G31))</f>
        <v>0</v>
      </c>
      <c r="E31" s="5">
        <f>+'Sheet6(p_6)'!M31</f>
        <v>143.84621293777073</v>
      </c>
      <c r="F31">
        <f>IF(A31&gt;=(Title_RESULTS!$H$7+Title_RESULTS!$C$17),0,(+'f-11B'!$R30))</f>
        <v>0</v>
      </c>
      <c r="G31" s="5">
        <f>IF(A31&gt;=(Title_RESULTS!$H$7+Title_RESULTS!$C$17),0,(SUM(B31:F31)))</f>
        <v>143.84621293777073</v>
      </c>
      <c r="H31" s="5">
        <f>IF(A31&gt;=(Title_RESULTS!$H$7+Title_RESULTS!$C$17),0,(+'Sheet3(F_21)'!$J31+'Sheet4(F_22)'!$H31))</f>
        <v>228.34883106105332</v>
      </c>
      <c r="I31" s="5">
        <f>IF(A31&gt;=(Title_RESULTS!$H$7+Title_RESULTS!$C$17),0,(+'Sheet4(F_22)'!$D31+'Sheet4(F_22)'!$G31))</f>
        <v>34.47943202794326</v>
      </c>
      <c r="J31" s="5">
        <f>IF(A31&gt;=(Title_RESULTS!$H$7+Title_RESULTS!$C$17),0,(+'Sheet6(p_6)'!$R31))</f>
        <v>0</v>
      </c>
      <c r="K31" s="9">
        <f>IF(A31&gt;=(Title_RESULTS!$H$7+Title_RESULTS!$C$17),0,(+'f-11B'!$S30))</f>
        <v>0</v>
      </c>
      <c r="L31" s="5">
        <f>IF(A31&gt;=(Title_RESULTS!$H$7+Title_RESULTS!$C$17),0,(SUM(H31:K31)))</f>
        <v>262.82826308899655</v>
      </c>
      <c r="M31" s="23">
        <f>IF(A31&gt;=(Title_RESULTS!$H$7+Title_RESULTS!$C$17),0,(+L31-G31))</f>
        <v>118.98205015122582</v>
      </c>
      <c r="N31" s="24">
        <f>(IF(A30&gt;=(Title_RESULTS!$H$7+Title_RESULTS!$C$17),0,(+$M31/((1+Title_RESULTS!$C$37)^('Sheet9(F_25)'!$A31-Title_RESULTS!$H$7))+N30)))</f>
        <v>-152.64671438109437</v>
      </c>
    </row>
    <row r="32" spans="1:14" ht="12.75">
      <c r="A32">
        <f t="shared" si="0"/>
        <v>2036</v>
      </c>
      <c r="B32" s="5">
        <f>IF(A32&gt;=(Title_RESULTS!$H$7+Title_RESULTS!$C$17),0,(+'Sheet7(F_23)'!$B32))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IF(A32&gt;=(Title_RESULTS!$H$7+Title_RESULTS!$C$17),0,(+'Sheet6(p_6)'!$G32))</f>
        <v>0</v>
      </c>
      <c r="E32" s="5">
        <f>+'Sheet6(p_6)'!M32</f>
        <v>145.28467506714847</v>
      </c>
      <c r="F32">
        <f>IF(A32&gt;=(Title_RESULTS!$H$7+Title_RESULTS!$C$17),0,(+'f-11B'!$R31))</f>
        <v>0</v>
      </c>
      <c r="G32" s="5">
        <f>IF(A32&gt;=(Title_RESULTS!$H$7+Title_RESULTS!$C$17),0,(SUM(B32:F32)))</f>
        <v>145.28467506714847</v>
      </c>
      <c r="H32" s="5">
        <f>IF(A32&gt;=(Title_RESULTS!$H$7+Title_RESULTS!$C$17),0,(+'Sheet3(F_21)'!$J32+'Sheet4(F_22)'!$H32))</f>
        <v>229.5130396935263</v>
      </c>
      <c r="I32" s="5">
        <f>IF(A32&gt;=(Title_RESULTS!$H$7+Title_RESULTS!$C$17),0,(+'Sheet4(F_22)'!$D32+'Sheet4(F_22)'!$G32))</f>
        <v>35.3069383966139</v>
      </c>
      <c r="J32" s="5">
        <f>IF(A32&gt;=(Title_RESULTS!$H$7+Title_RESULTS!$C$17),0,(+'Sheet6(p_6)'!$R32))</f>
        <v>0</v>
      </c>
      <c r="K32" s="9">
        <f>IF(A32&gt;=(Title_RESULTS!$H$7+Title_RESULTS!$C$17),0,(+'f-11B'!$S31))</f>
        <v>0</v>
      </c>
      <c r="L32" s="5">
        <f>IF(A32&gt;=(Title_RESULTS!$H$7+Title_RESULTS!$C$17),0,(SUM(H32:K32)))</f>
        <v>264.81997809014024</v>
      </c>
      <c r="M32" s="23">
        <f>IF(A32&gt;=(Title_RESULTS!$H$7+Title_RESULTS!$C$17),0,(+L32-G32))</f>
        <v>119.53530302299177</v>
      </c>
      <c r="N32" s="24">
        <f>(IF(A31&gt;=(Title_RESULTS!$H$7+Title_RESULTS!$C$17),0,(+$M32/((1+Title_RESULTS!$C$37)^('Sheet9(F_25)'!$A32-Title_RESULTS!$H$7))+N31)))</f>
        <v>-112.63728231760192</v>
      </c>
    </row>
    <row r="33" spans="1:14" ht="12.75">
      <c r="A33">
        <f t="shared" si="0"/>
        <v>2037</v>
      </c>
      <c r="B33" s="5">
        <f>IF(A33&gt;=(Title_RESULTS!$H$7+Title_RESULTS!$C$17),0,(+'Sheet7(F_23)'!$B33))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IF(A33&gt;=(Title_RESULTS!$H$7+Title_RESULTS!$C$17),0,(+'Sheet6(p_6)'!$G33))</f>
        <v>0</v>
      </c>
      <c r="E33" s="5">
        <f>+'Sheet6(p_6)'!M33</f>
        <v>146.73752181781998</v>
      </c>
      <c r="F33">
        <f>IF(A33&gt;=(Title_RESULTS!$H$7+Title_RESULTS!$C$17),0,(+'f-11B'!$R32))</f>
        <v>0</v>
      </c>
      <c r="G33" s="5">
        <f>IF(A33&gt;=(Title_RESULTS!$H$7+Title_RESULTS!$C$17),0,(SUM(B33:F33)))</f>
        <v>146.73752181781998</v>
      </c>
      <c r="H33" s="5">
        <f>IF(A33&gt;=(Title_RESULTS!$H$7+Title_RESULTS!$C$17),0,(+'Sheet3(F_21)'!$J33+'Sheet4(F_22)'!$H33))</f>
        <v>241.33225113797852</v>
      </c>
      <c r="I33" s="5">
        <f>IF(A33&gt;=(Title_RESULTS!$H$7+Title_RESULTS!$C$17),0,(+'Sheet4(F_22)'!$D33+'Sheet4(F_22)'!$G33))</f>
        <v>36.15430491813264</v>
      </c>
      <c r="J33" s="5">
        <f>IF(A33&gt;=(Title_RESULTS!$H$7+Title_RESULTS!$C$17),0,(+'Sheet6(p_6)'!$R33))</f>
        <v>0</v>
      </c>
      <c r="K33" s="9">
        <f>IF(A33&gt;=(Title_RESULTS!$H$7+Title_RESULTS!$C$17),0,(+'f-11B'!$S32))</f>
        <v>0</v>
      </c>
      <c r="L33" s="5">
        <f>IF(A33&gt;=(Title_RESULTS!$H$7+Title_RESULTS!$C$17),0,(SUM(H33:K33)))</f>
        <v>277.48655605611117</v>
      </c>
      <c r="M33" s="23">
        <f>IF(A33&gt;=(Title_RESULTS!$H$7+Title_RESULTS!$C$17),0,(+L33-G33))</f>
        <v>130.7490342382912</v>
      </c>
      <c r="N33" s="24">
        <f>(IF(A32&gt;=(Title_RESULTS!$H$7+Title_RESULTS!$C$17),0,(+$M33/((1+Title_RESULTS!$C$37)^('Sheet9(F_25)'!$A33-Title_RESULTS!$H$7))+N32)))</f>
        <v>-71.76806440948504</v>
      </c>
    </row>
    <row r="34" ht="12.75">
      <c r="E34" s="5"/>
    </row>
    <row r="35" spans="1:13" ht="12.75">
      <c r="A35" t="s">
        <v>87</v>
      </c>
      <c r="B35" s="5">
        <f aca="true" t="shared" si="1" ref="B35:M35">SUM(B16:B34)</f>
        <v>0</v>
      </c>
      <c r="C35" s="5">
        <f t="shared" si="1"/>
        <v>92.17728</v>
      </c>
      <c r="D35" s="5">
        <f t="shared" si="1"/>
        <v>479.82</v>
      </c>
      <c r="E35" s="5">
        <f t="shared" si="1"/>
        <v>2243.4163361140636</v>
      </c>
      <c r="F35" s="5">
        <f t="shared" si="1"/>
        <v>0</v>
      </c>
      <c r="G35" s="5">
        <f t="shared" si="1"/>
        <v>2815.4136161140636</v>
      </c>
      <c r="H35" s="5">
        <f t="shared" si="1"/>
        <v>2786.641845068369</v>
      </c>
      <c r="I35" s="5">
        <f t="shared" si="1"/>
        <v>511.8428732739511</v>
      </c>
      <c r="J35" s="5">
        <f t="shared" si="1"/>
        <v>0</v>
      </c>
      <c r="K35" s="9">
        <f t="shared" si="1"/>
        <v>0</v>
      </c>
      <c r="L35" s="5">
        <f t="shared" si="1"/>
        <v>3298.48471834232</v>
      </c>
      <c r="M35" s="5">
        <f t="shared" si="1"/>
        <v>483.07110222825645</v>
      </c>
    </row>
    <row r="37" spans="1:13" ht="12.75">
      <c r="A37" t="s">
        <v>118</v>
      </c>
      <c r="B37" s="5">
        <f>NPV(Title_RESULTS!$C$37,'Sheet9(F_25)'!B17:B34)+'Sheet9(F_25)'!B16</f>
        <v>0</v>
      </c>
      <c r="C37" s="5">
        <f>NPV(Title_RESULTS!$C$37,'Sheet9(F_25)'!C17:C34)+'Sheet9(F_25)'!C16</f>
        <v>86.12379783289325</v>
      </c>
      <c r="D37" s="5">
        <f>NPV(Title_RESULTS!$C$37,'Sheet9(F_25)'!D17:D34)+'Sheet9(F_25)'!D16</f>
        <v>448.79409112531675</v>
      </c>
      <c r="E37" s="5">
        <f>NPV(Title_RESULTS!$C$37,'Sheet9(F_25)'!E17:E34)+'Sheet9(F_25)'!E16</f>
        <v>1240.1501995418087</v>
      </c>
      <c r="F37" s="5">
        <f>NPV(Title_RESULTS!$C$37,'Sheet9(F_25)'!F17:F34)+'Sheet9(F_25)'!F16</f>
        <v>0</v>
      </c>
      <c r="G37" s="5">
        <f>NPV(Title_RESULTS!$C$37,'Sheet9(F_25)'!G17:G34)+'Sheet9(F_25)'!G16</f>
        <v>1775.0680885000183</v>
      </c>
      <c r="H37" s="5">
        <f>NPV(Title_RESULTS!$C$37,'Sheet9(F_25)'!H17:H34)+'Sheet9(F_25)'!H16</f>
        <v>1421.9852976586676</v>
      </c>
      <c r="I37" s="5">
        <f>NPV(Title_RESULTS!$C$37,'Sheet9(F_25)'!I17:I34)+'Sheet9(F_25)'!I16</f>
        <v>281.3147264318661</v>
      </c>
      <c r="J37" s="5">
        <f>NPV(Title_RESULTS!$C$37,'Sheet9(F_25)'!J17:J34)+'Sheet9(F_25)'!J16</f>
        <v>0</v>
      </c>
      <c r="K37" s="9">
        <f>NPV(Title_RESULTS!$C$37,'Sheet9(F_25)'!K17:K34)+'Sheet9(F_25)'!K16</f>
        <v>0</v>
      </c>
      <c r="L37" s="5">
        <f>NPV(Title_RESULTS!$C$37,'Sheet9(F_25)'!L17:L34)+'Sheet9(F_25)'!L16</f>
        <v>1703.3000240905337</v>
      </c>
      <c r="M37" s="5">
        <f>NPV(Title_RESULTS!$C$37,'Sheet9(F_25)'!M17:M34)+'Sheet9(F_25)'!M16</f>
        <v>-71.76806440948505</v>
      </c>
    </row>
    <row r="39" spans="1:10" ht="12.75">
      <c r="A39" t="s">
        <v>175</v>
      </c>
      <c r="D39">
        <f>+Title_RESULTS!C37</f>
        <v>0.0708</v>
      </c>
      <c r="F39" t="s">
        <v>183</v>
      </c>
      <c r="J39" s="10">
        <f>+L37/G37</f>
        <v>0.9595688385845916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464.38811032531817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27.0891008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84.16131686400001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2.6770073422765535</v>
      </c>
      <c r="P24" s="48">
        <f aca="true" t="shared" si="4" ref="P24:P61">N24*$L$5</f>
        <v>8.317015202682237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2.7412555184911906</v>
      </c>
      <c r="P25" s="48">
        <f t="shared" si="4"/>
        <v>8.51662356754661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63.89546764640396</v>
      </c>
      <c r="E26" s="11">
        <f>IF(B26=Title_RESULTS!$H$8,$F$16,+E25*(1+$F$7))</f>
        <v>0.09882230355451863</v>
      </c>
      <c r="F26" s="9">
        <f t="shared" si="1"/>
        <v>45.89190280567788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3.7272073191625155</v>
      </c>
      <c r="L26" s="5">
        <f t="shared" si="3"/>
        <v>11.579811324186018</v>
      </c>
      <c r="N26" s="11">
        <f>IF(+B26=Title_RESULTS!$H$9,'Value of Defferal'!$O$16,+'Value of Defferal'!N25*(1+'Value of Defferal'!$F$7))</f>
        <v>0.10362269577198292</v>
      </c>
      <c r="O26" s="5">
        <f t="shared" si="7"/>
        <v>2.8070456509349793</v>
      </c>
      <c r="P26" s="48">
        <f t="shared" si="4"/>
        <v>8.72102253316773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62.00864189115971</v>
      </c>
      <c r="E27" s="11">
        <f>IF(B27=Title_RESULTS!$H$8,$F$16,+E26*(1+$F$7))</f>
        <v>0.10119403883982707</v>
      </c>
      <c r="F27" s="9">
        <f t="shared" si="1"/>
        <v>46.993308473014146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3.617143318945021</v>
      </c>
      <c r="L27" s="5">
        <f t="shared" si="3"/>
        <v>11.23786083767803</v>
      </c>
      <c r="N27" s="11">
        <f>IF(+B27=Title_RESULTS!$H$9,'Value of Defferal'!$O$16,+'Value of Defferal'!N26*(1+'Value of Defferal'!$F$7))</f>
        <v>0.10610964047051051</v>
      </c>
      <c r="O27" s="5">
        <f t="shared" si="7"/>
        <v>2.874414746557419</v>
      </c>
      <c r="P27" s="48">
        <f t="shared" si="4"/>
        <v>8.930327073963754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59.92560001816075</v>
      </c>
      <c r="E28" s="11">
        <f>IF(B28=Title_RESULTS!$H$8,$F$16,+E27*(1+$F$7))</f>
        <v>0.10362269577198292</v>
      </c>
      <c r="F28" s="9">
        <f t="shared" si="1"/>
        <v>48.121147876366486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3.4956334654116046</v>
      </c>
      <c r="L28" s="5">
        <f t="shared" si="3"/>
        <v>10.860349994449003</v>
      </c>
      <c r="N28" s="11">
        <f>IF(+B28=Title_RESULTS!$H$9,'Value of Defferal'!$O$16,+'Value of Defferal'!N27*(1+'Value of Defferal'!$F$7))</f>
        <v>0.10865627184180277</v>
      </c>
      <c r="O28" s="5">
        <f t="shared" si="7"/>
        <v>2.943400700474797</v>
      </c>
      <c r="P28" s="48">
        <f t="shared" si="4"/>
        <v>9.144654923738885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57.942324368414546</v>
      </c>
      <c r="E29" s="11">
        <f>IF(B29=Title_RESULTS!$H$8,$F$16,+E28*(1+$F$7))</f>
        <v>0.10610964047051051</v>
      </c>
      <c r="F29" s="9">
        <f t="shared" si="1"/>
        <v>49.27605542539928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3.379943264057129</v>
      </c>
      <c r="L29" s="5">
        <f t="shared" si="3"/>
        <v>10.500919839637294</v>
      </c>
      <c r="N29" s="11">
        <f>IF(+B29=Title_RESULTS!$H$9,'Value of Defferal'!$O$16,+'Value of Defferal'!N28*(1+'Value of Defferal'!$F$7))</f>
        <v>0.11126402236600604</v>
      </c>
      <c r="O29" s="5">
        <f t="shared" si="7"/>
        <v>3.014042317286192</v>
      </c>
      <c r="P29" s="48">
        <f t="shared" si="4"/>
        <v>9.36412664190862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56.04881068352288</v>
      </c>
      <c r="E30" s="11">
        <f>IF(B30=Title_RESULTS!$H$8,$F$16,+E29*(1+$F$7))</f>
        <v>0.10865627184180277</v>
      </c>
      <c r="F30" s="9">
        <f t="shared" si="1"/>
        <v>50.45868075560887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3.2694891375716835</v>
      </c>
      <c r="L30" s="5">
        <f t="shared" si="3"/>
        <v>10.157757295900224</v>
      </c>
      <c r="N30" s="11">
        <f>IF(+B30=Title_RESULTS!$H$9,'Value of Defferal'!$O$16,+'Value of Defferal'!N29*(1+'Value of Defferal'!$F$7))</f>
        <v>0.11393435890279018</v>
      </c>
      <c r="O30" s="5">
        <f t="shared" si="7"/>
        <v>3.0863793329010605</v>
      </c>
      <c r="P30" s="48">
        <f t="shared" si="4"/>
        <v>9.588865681314426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54.23616014800448</v>
      </c>
      <c r="E31" s="11">
        <f>IF(B31=Title_RESULTS!$H$8,$F$16,+E30*(1+$F$7))</f>
        <v>0.11126402236600604</v>
      </c>
      <c r="F31" s="9">
        <f t="shared" si="1"/>
        <v>51.66968909374348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3.16375199232601</v>
      </c>
      <c r="L31" s="5">
        <f t="shared" si="3"/>
        <v>9.829249625932976</v>
      </c>
      <c r="N31" s="11">
        <f>IF(+B31=Title_RESULTS!$H$9,'Value of Defferal'!$O$16,+'Value of Defferal'!N30*(1+'Value of Defferal'!$F$7))</f>
        <v>0.11666878351645714</v>
      </c>
      <c r="O31" s="5">
        <f t="shared" si="7"/>
        <v>3.160452436890686</v>
      </c>
      <c r="P31" s="48">
        <f t="shared" si="4"/>
        <v>9.818998457665971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52.479942473395255</v>
      </c>
      <c r="E32" s="11">
        <f>IF(B32=Title_RESULTS!$H$8,$F$16,+E31*(1+$F$7))</f>
        <v>0.11393435890279018</v>
      </c>
      <c r="F32" s="9">
        <f t="shared" si="1"/>
        <v>52.90976163199332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3.061306738977677</v>
      </c>
      <c r="L32" s="5">
        <f t="shared" si="3"/>
        <v>9.510969314898738</v>
      </c>
      <c r="N32" s="11">
        <f>IF(+B32=Title_RESULTS!$H$9,'Value of Defferal'!$O$16,+'Value of Defferal'!N31*(1+'Value of Defferal'!$F$7))</f>
        <v>0.11946883432085212</v>
      </c>
      <c r="O32" s="5">
        <f t="shared" si="7"/>
        <v>3.2363032953760626</v>
      </c>
      <c r="P32" s="48">
        <f t="shared" si="4"/>
        <v>10.054654420649955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50.741798790477816</v>
      </c>
      <c r="E33" s="11">
        <f>IF(B33=Title_RESULTS!$H$8,$F$16,+E32*(1+$F$7))</f>
        <v>0.11666878351645714</v>
      </c>
      <c r="F33" s="9">
        <f t="shared" si="1"/>
        <v>54.17959591116116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2.9599157938080225</v>
      </c>
      <c r="L33" s="5">
        <f t="shared" si="3"/>
        <v>9.195964563483596</v>
      </c>
      <c r="N33" s="11">
        <f>IF(+B33=Title_RESULTS!$H$9,'Value of Defferal'!$O$16,+'Value of Defferal'!N32*(1+'Value of Defferal'!$F$7))</f>
        <v>0.12233608634455258</v>
      </c>
      <c r="O33" s="5">
        <f t="shared" si="7"/>
        <v>3.3139745744650884</v>
      </c>
      <c r="P33" s="48">
        <f t="shared" si="4"/>
        <v>10.295966126745554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49.00365510756036</v>
      </c>
      <c r="E34" s="11">
        <f>IF(B34=Title_RESULTS!$H$8,$F$16,+E33*(1+$F$7))</f>
        <v>0.11946883432085212</v>
      </c>
      <c r="F34" s="9">
        <f t="shared" si="1"/>
        <v>55.47990621302903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2.858524848638367</v>
      </c>
      <c r="L34" s="5">
        <f t="shared" si="3"/>
        <v>8.88095981206845</v>
      </c>
      <c r="N34" s="11">
        <f>IF(+B34=Title_RESULTS!$H$9,'Value of Defferal'!$O$16,+'Value of Defferal'!N33*(1+'Value of Defferal'!$F$7))</f>
        <v>0.12527215241682185</v>
      </c>
      <c r="O34" s="5">
        <f t="shared" si="7"/>
        <v>3.393509964252251</v>
      </c>
      <c r="P34" s="48">
        <f t="shared" si="4"/>
        <v>10.543069313787448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47.265511424642916</v>
      </c>
      <c r="E35" s="11">
        <f>IF(B35=Title_RESULTS!$H$8,$F$16,+E34*(1+$F$7))</f>
        <v>0.12233608634455258</v>
      </c>
      <c r="F35" s="9">
        <f t="shared" si="1"/>
        <v>56.81142396214173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2.7571339034687123</v>
      </c>
      <c r="L35" s="5">
        <f t="shared" si="3"/>
        <v>8.565955060653307</v>
      </c>
      <c r="N35" s="11">
        <f>IF(+B35=Title_RESULTS!$H$9,'Value of Defferal'!$O$16,+'Value of Defferal'!N34*(1+'Value of Defferal'!$F$7))</f>
        <v>0.12827868407482557</v>
      </c>
      <c r="O35" s="5">
        <f t="shared" si="7"/>
        <v>3.4749542033943044</v>
      </c>
      <c r="P35" s="48">
        <f t="shared" si="4"/>
        <v>10.796102977318347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45.52736774172547</v>
      </c>
      <c r="E36" s="11">
        <f>IF(B36=Title_RESULTS!$H$8,$F$16,+E35*(1+$F$7))</f>
        <v>0.12527215241682185</v>
      </c>
      <c r="F36" s="9">
        <f t="shared" si="1"/>
        <v>58.174898137233136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2.655742958299058</v>
      </c>
      <c r="L36" s="5">
        <f t="shared" si="3"/>
        <v>8.250950309238164</v>
      </c>
      <c r="N36" s="11">
        <f>IF(+B36=Title_RESULTS!$H$9,'Value of Defferal'!$O$16,+'Value of Defferal'!N35*(1+'Value of Defferal'!$F$7))</f>
        <v>0.1313573724926214</v>
      </c>
      <c r="O36" s="5">
        <f t="shared" si="7"/>
        <v>3.5583531042757683</v>
      </c>
      <c r="P36" s="48">
        <f t="shared" si="4"/>
        <v>11.055209448773988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43.78922405880802</v>
      </c>
      <c r="E37" s="11">
        <f>IF(B37&gt;Title_RESULTS!$H$8-1+Title_RESULTS!$C$18,0,+E36*(1+$F$7))</f>
        <v>0.12827868407482557</v>
      </c>
      <c r="F37" s="9">
        <f t="shared" si="1"/>
        <v>59.57109569252673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2.5543520131294026</v>
      </c>
      <c r="L37" s="5">
        <f t="shared" si="3"/>
        <v>7.935945557823018</v>
      </c>
      <c r="N37" s="11">
        <f>IF(+B37=Title_RESULTS!$H$9,'Value of Defferal'!$O$16,+'Value of Defferal'!N36*(1+'Value of Defferal'!$F$7))</f>
        <v>0.1345099494324443</v>
      </c>
      <c r="O37" s="5">
        <f t="shared" si="7"/>
        <v>3.6437535787783863</v>
      </c>
      <c r="P37" s="48">
        <f t="shared" si="4"/>
        <v>11.320534475544562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42.051080375890564</v>
      </c>
      <c r="E38" s="11">
        <f>IF(B38&gt;Title_RESULTS!$H$8-1+Title_RESULTS!$C$18,0,+E37*(1+$F$7))</f>
        <v>0.1313573724926214</v>
      </c>
      <c r="F38" s="9">
        <f t="shared" si="1"/>
        <v>61.00080198914738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2.4529610679597473</v>
      </c>
      <c r="L38" s="5">
        <f t="shared" si="3"/>
        <v>7.620940806407873</v>
      </c>
      <c r="N38" s="11">
        <f>IF(+B38=Title_RESULTS!$H$9,'Value of Defferal'!$O$16,+'Value of Defferal'!N37*(1+'Value of Defferal'!$F$7))</f>
        <v>0.13773818821882297</v>
      </c>
      <c r="O38" s="5">
        <f t="shared" si="7"/>
        <v>3.731203664669068</v>
      </c>
      <c r="P38" s="48">
        <f t="shared" si="4"/>
        <v>11.592227302957633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40.31293669297311</v>
      </c>
      <c r="E39" s="11">
        <f>IF(B39&gt;Title_RESULTS!$H$8-1+Title_RESULTS!$C$18,0,+E38*(1+$F$7))</f>
        <v>0.1345099494324443</v>
      </c>
      <c r="F39" s="9">
        <f t="shared" si="1"/>
        <v>62.464821236886905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2.351570122790092</v>
      </c>
      <c r="L39" s="5">
        <f t="shared" si="3"/>
        <v>7.305936054992729</v>
      </c>
      <c r="N39" s="11">
        <f>IF(+B39&gt;Title_RESULTS!$H$9+Title_RESULTS!$C$19-1,0,+'Value of Defferal'!N38*(1+'Value of Defferal'!$F$7))</f>
        <v>0.14104390473607473</v>
      </c>
      <c r="O39" s="5">
        <f t="shared" si="7"/>
        <v>3.820752552621126</v>
      </c>
      <c r="P39" s="48">
        <f t="shared" si="4"/>
        <v>11.870440758228618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38.57479301005568</v>
      </c>
      <c r="E40" s="11">
        <f>IF(B40&gt;Title_RESULTS!$H$8-1+Title_RESULTS!$C$18,0,+E39*(1+$F$7))</f>
        <v>0.13773818821882297</v>
      </c>
      <c r="F40" s="9">
        <f t="shared" si="1"/>
        <v>63.9639769465722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2.250179177620438</v>
      </c>
      <c r="L40" s="5">
        <f t="shared" si="3"/>
        <v>6.990931303577587</v>
      </c>
      <c r="N40" s="11">
        <f>IF(+B40&gt;Title_RESULTS!$H$9+Title_RESULTS!$C$19-1,0,+'Value of Defferal'!N39*(1+'Value of Defferal'!$F$7))</f>
        <v>0.14442895844974052</v>
      </c>
      <c r="O40" s="5">
        <f t="shared" si="7"/>
        <v>3.9124506138840327</v>
      </c>
      <c r="P40" s="48">
        <f t="shared" si="4"/>
        <v>12.155331336426103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36.999867973822624</v>
      </c>
      <c r="E41" s="11">
        <f>IF(B41&gt;Title_RESULTS!$H$8-1+Title_RESULTS!$C$18,0,+E40*(1+$F$7))</f>
        <v>0.14104390473607473</v>
      </c>
      <c r="F41" s="9">
        <f t="shared" si="1"/>
        <v>65.49911239328993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2.15830924789921</v>
      </c>
      <c r="L41" s="5">
        <f t="shared" si="3"/>
        <v>6.705506758753209</v>
      </c>
      <c r="N41" s="11">
        <f>IF(+B41&gt;Title_RESULTS!$H$9+Title_RESULTS!$C$19-1,0,+'Value of Defferal'!N40*(1+'Value of Defferal'!$F$7))</f>
        <v>0.1478952534525343</v>
      </c>
      <c r="O41" s="5">
        <f t="shared" si="7"/>
        <v>4.006349428617249</v>
      </c>
      <c r="P41" s="48">
        <f t="shared" si="4"/>
        <v>12.44705928850033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35.75132495881254</v>
      </c>
      <c r="E42" s="11">
        <f>IF(B42&gt;Title_RESULTS!$H$8-1+Title_RESULTS!$C$18,0,+E41*(1+$F$7))</f>
        <v>0.14442895844974052</v>
      </c>
      <c r="F42" s="9">
        <f t="shared" si="1"/>
        <v>67.0710910907289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2.085478124890805</v>
      </c>
      <c r="L42" s="5">
        <f t="shared" si="3"/>
        <v>6.479232610108477</v>
      </c>
      <c r="N42" s="11">
        <f>IF(+B42&gt;Title_RESULTS!$H$9+Title_RESULTS!$C$19-1,0,+'Value of Defferal'!N41*(1+'Value of Defferal'!$F$7))</f>
        <v>0.1514447395353951</v>
      </c>
      <c r="O42" s="5">
        <f t="shared" si="7"/>
        <v>4.1025018149040635</v>
      </c>
      <c r="P42" s="48">
        <f t="shared" si="4"/>
        <v>12.74578871142434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34.665945318341016</v>
      </c>
      <c r="E43" s="11">
        <f>IF(B43&gt;Title_RESULTS!$H$8-1+Title_RESULTS!$C$18,0,+E42*(1+$F$7))</f>
        <v>0.1478952534525343</v>
      </c>
      <c r="F43" s="9">
        <f t="shared" si="1"/>
        <v>68.68079727690639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2.022164793146795</v>
      </c>
      <c r="L43" s="5">
        <f t="shared" si="3"/>
        <v>6.28252865105262</v>
      </c>
      <c r="N43" s="11">
        <f>IF(+B43&gt;Title_RESULTS!$H$9+Title_RESULTS!$C$19-1,0,+'Value of Defferal'!N42*(1+'Value of Defferal'!$F$7))</f>
        <v>0.1550794132842446</v>
      </c>
      <c r="O43" s="5">
        <f t="shared" si="7"/>
        <v>4.200961858461761</v>
      </c>
      <c r="P43" s="48">
        <f t="shared" si="4"/>
        <v>13.051687640498523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33.5805656778695</v>
      </c>
      <c r="E44" s="11">
        <f>IF(B44&gt;Title_RESULTS!$H$8-1+Title_RESULTS!$C$18,0,+E43*(1+$F$7))</f>
        <v>0.1514447395353951</v>
      </c>
      <c r="F44" s="9">
        <f t="shared" si="1"/>
        <v>70.32913641155214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1.958851461402785</v>
      </c>
      <c r="L44" s="5">
        <f t="shared" si="3"/>
        <v>6.085824691996764</v>
      </c>
      <c r="N44" s="11">
        <f>IF(+B44&gt;Title_RESULTS!$H$9+Title_RESULTS!$C$19-1,0,+'Value of Defferal'!N43*(1+'Value of Defferal'!$F$7))</f>
        <v>0.15880131920306648</v>
      </c>
      <c r="O44" s="5">
        <f t="shared" si="7"/>
        <v>4.301784943064844</v>
      </c>
      <c r="P44" s="48">
        <f t="shared" si="4"/>
        <v>13.364928143870488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32.495186037397964</v>
      </c>
      <c r="E45" s="11">
        <f>IF(B45&gt;Title_RESULTS!$H$8-1+Title_RESULTS!$C$18,0,+E44*(1+$F$7))</f>
        <v>0.1550794132842446</v>
      </c>
      <c r="F45" s="9">
        <f t="shared" si="1"/>
        <v>72.01703568542939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1.895538129658774</v>
      </c>
      <c r="L45" s="5">
        <f t="shared" si="3"/>
        <v>5.8891207329409045</v>
      </c>
      <c r="N45" s="11">
        <f>IF(+B45&gt;Title_RESULTS!$H$9+Title_RESULTS!$C$19-1,0,+'Value of Defferal'!N44*(1+'Value of Defferal'!$F$7))</f>
        <v>0.16261255086394008</v>
      </c>
      <c r="O45" s="5">
        <f t="shared" si="7"/>
        <v>4.4050277816984</v>
      </c>
      <c r="P45" s="48">
        <f t="shared" si="4"/>
        <v>13.68568641932338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31.40980639692644</v>
      </c>
      <c r="E46" s="11">
        <f>IF(B46&gt;Title_RESULTS!$H$8-1+Title_RESULTS!$C$18,0,+E45*(1+$F$7))</f>
        <v>0.15880131920306648</v>
      </c>
      <c r="F46" s="9">
        <f t="shared" si="1"/>
        <v>73.7454445418797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1.8322247979147641</v>
      </c>
      <c r="L46" s="5">
        <f t="shared" si="3"/>
        <v>5.692416773885047</v>
      </c>
      <c r="N46" s="11">
        <f>IF(+B46&gt;Title_RESULTS!$H$9+Title_RESULTS!$C$19-1,0,+'Value of Defferal'!N45*(1+'Value of Defferal'!$F$7))</f>
        <v>0.16651525208467466</v>
      </c>
      <c r="O46" s="5">
        <f t="shared" si="7"/>
        <v>4.510748448459162</v>
      </c>
      <c r="P46" s="48">
        <f t="shared" si="4"/>
        <v>14.014142893387143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30.324426756454926</v>
      </c>
      <c r="E47" s="11">
        <f>IF(B47&gt;Title_RESULTS!$H$8-1+Title_RESULTS!$C$18,0,+E46*(1+$F$7))</f>
        <v>0.16261255086394008</v>
      </c>
      <c r="F47" s="9">
        <f t="shared" si="1"/>
        <v>75.51533521088481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1.7689114661707543</v>
      </c>
      <c r="L47" s="5">
        <f t="shared" si="3"/>
        <v>5.495712814829191</v>
      </c>
      <c r="N47" s="11">
        <f>IF(+B47&gt;Title_RESULTS!$H$9+Title_RESULTS!$C$19-1,0,+'Value of Defferal'!N46*(1+'Value of Defferal'!$F$7))</f>
        <v>0.17051161813470686</v>
      </c>
      <c r="O47" s="5">
        <f t="shared" si="7"/>
        <v>4.619006411222182</v>
      </c>
      <c r="P47" s="48">
        <f t="shared" si="4"/>
        <v>14.350482322828435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29.239047115983404</v>
      </c>
      <c r="E48" s="11">
        <f>IF(B48&gt;Title_RESULTS!$H$8-1+Title_RESULTS!$C$18,0,+E47*(1+$F$7))</f>
        <v>0.16651525208467466</v>
      </c>
      <c r="F48" s="9">
        <f t="shared" si="1"/>
        <v>77.32770325594606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1.7055981344267444</v>
      </c>
      <c r="L48" s="5">
        <f t="shared" si="3"/>
        <v>5.299008855773334</v>
      </c>
      <c r="N48" s="11">
        <f>IF(+B48&gt;Title_RESULTS!$H$9+Title_RESULTS!$C$19-1,0,+'Value of Defferal'!N47*(1+'Value of Defferal'!$F$7))</f>
        <v>0.17460389696993983</v>
      </c>
      <c r="O48" s="5">
        <f t="shared" si="7"/>
        <v>4.729862565091515</v>
      </c>
      <c r="P48" s="48">
        <f t="shared" si="4"/>
        <v>14.694893898576318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28.15366747551187</v>
      </c>
      <c r="E49" s="11">
        <f>IF(B49&gt;Title_RESULTS!$H$8-1+Title_RESULTS!$C$18,0,+E48*(1+$F$7))</f>
        <v>0.17051161813470686</v>
      </c>
      <c r="F49" s="9">
        <f t="shared" si="1"/>
        <v>79.18356813408877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1.6422848026827335</v>
      </c>
      <c r="L49" s="5">
        <f t="shared" si="3"/>
        <v>5.102304896717476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27.068287835040348</v>
      </c>
      <c r="E50" s="11">
        <f>IF(B50&gt;Title_RESULTS!$H$8-1+Title_RESULTS!$C$18,0,+E49*(1+$F$7))</f>
        <v>0.17460389696993983</v>
      </c>
      <c r="F50" s="9">
        <f t="shared" si="1"/>
        <v>81.08397376930691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1.5789714709387235</v>
      </c>
      <c r="L50" s="5">
        <f t="shared" si="3"/>
        <v>4.905600937661618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25.98290819456883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1.5156581391947135</v>
      </c>
      <c r="L51" s="5">
        <f t="shared" si="3"/>
        <v>4.708896978605762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1109.474348171925</v>
      </c>
      <c r="F63" s="9">
        <f>SUM(F23:F61)</f>
        <v>1547.4202639205146</v>
      </c>
      <c r="J63" t="s">
        <v>87</v>
      </c>
      <c r="K63" s="9">
        <f>SUM(K23:K61)</f>
        <v>64.71884569049229</v>
      </c>
      <c r="O63" s="9">
        <f>SUM(O23:O61)</f>
        <v>90.26549684904813</v>
      </c>
    </row>
    <row r="64" spans="3:15" ht="12.75">
      <c r="C64" t="s">
        <v>89</v>
      </c>
      <c r="D64" s="9">
        <f>NPV(+Title_RESULTS!$C$37,'Value of Defferal'!D24:D61)+'Value of Defferal'!D23</f>
        <v>495.3870064450144</v>
      </c>
      <c r="F64" s="9">
        <f>NPV(+Title_RESULTS!$C$37,'Value of Defferal'!F24:F61)+'Value of Defferal'!F23</f>
        <v>575.4013410548768</v>
      </c>
      <c r="J64" t="s">
        <v>89</v>
      </c>
      <c r="K64" s="9">
        <f>NPV(+Title_RESULTS!$C$37,'Value of Defferal'!K24:K61)+'Value of Defferal'!K23</f>
        <v>28.89735601369813</v>
      </c>
      <c r="O64" s="9">
        <f>NPV(+Title_RESULTS!$C$37,'Value of Defferal'!O24:O61)+'Value of Defferal'!O23</f>
        <v>38.48585080971239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0.2525881815603217</v>
      </c>
      <c r="C25" t="s">
        <v>372</v>
      </c>
    </row>
    <row r="26" spans="2:3" ht="18">
      <c r="B26" s="15">
        <f>+((Input!$C$6*'EUE_Line Losses'!C4)+(Input!$C$7*'EUE_Line Losses'!C3))/'EUE_Line Losses'!C22</f>
        <v>0.2517733809746433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0.3326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0.1989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695.73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1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18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30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275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159.94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Residential Duct Repair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43599.32854826389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0.3326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0.2525881815603217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7.3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737.0021186440679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5.6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695.73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18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30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275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5.9363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0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159.94</v>
      </c>
      <c r="D39" s="13" t="s">
        <v>189</v>
      </c>
      <c r="G39" s="20" t="s">
        <v>346</v>
      </c>
      <c r="H39" s="79">
        <f>+'Sheet7(F_23)'!H39</f>
        <v>1.946975313643401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+'Sheet8(F_24)'!K37</f>
        <v>1590.8852914879328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+'Sheet9(F_25)'!J39</f>
        <v>0.9595688385845916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2019-05-14T11:53:08Z</dcterms:created>
  <dcterms:modified xsi:type="dcterms:W3CDTF">2019-05-14T11:53:09Z</dcterms:modified>
  <cp:category/>
  <cp:version/>
  <cp:contentType/>
  <cp:contentStatus/>
</cp:coreProperties>
</file>