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<sst xmlns="http://schemas.openxmlformats.org/spreadsheetml/2006/main" count="1258" uniqueCount="468">
  <si>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</si>
  <si>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</si>
  <si>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</si>
  <si>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</si>
  <si>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</si>
  <si>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</si>
  <si>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</si>
  <si>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</si>
  <si>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</si>
  <si>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</si>
  <si>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</si>
  <si>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</si>
  <si>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</si>
  <si>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</si>
  <si>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</si>
  <si>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</si>
  <si>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</si>
  <si>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</si>
  <si>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</si>
  <si>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</si>
  <si>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</si>
  <si>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</si>
  <si>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</si>
  <si>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</si>
  <si>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</si>
  <si>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</si>
  <si>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</si>
  <si>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</si>
  <si>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</si>
  <si>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</si>
  <si>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</si>
  <si>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</si>
  <si>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</si>
  <si>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</si>
  <si>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</si>
  <si>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</si>
  <si>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</si>
  <si>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</si>
  <si>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</si>
  <si>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</si>
  <si>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</si>
  <si>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</si>
  <si>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</si>
  <si>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</si>
  <si>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</si>
  <si>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</si>
  <si>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</si>
  <si>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</si>
  <si>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</si>
  <si>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</si>
  <si>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</si>
  <si>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</si>
  <si>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</si>
  <si>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</si>
  <si>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</si>
  <si>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</si>
  <si>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</si>
  <si>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</si>
  <si>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</si>
  <si>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</si>
  <si>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</si>
  <si>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</si>
  <si>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</si>
  <si>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</si>
  <si>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</si>
  <si>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</si>
  <si>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</si>
  <si>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</si>
  <si>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</si>
  <si>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</si>
  <si>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</si>
  <si>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</si>
  <si>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</si>
  <si>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</si>
  <si>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</si>
  <si>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</si>
  <si>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</si>
  <si>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</si>
  <si>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</si>
  <si>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</si>
  <si>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</si>
  <si>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</si>
  <si>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</si>
  <si>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</si>
  <si>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</si>
  <si>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</si>
  <si>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</si>
  <si>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</si>
  <si>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</si>
  <si>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</si>
  <si>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</si>
  <si>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</si>
  <si>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</si>
  <si>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</si>
  <si>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</si>
  <si>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</si>
  <si>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</si>
  <si>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</si>
  <si>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</si>
  <si>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</si>
  <si>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</si>
  <si>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</si>
  <si>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</si>
  <si>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</si>
  <si>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</si>
  <si>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</si>
  <si>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</si>
  <si>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</si>
  <si>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</si>
  <si>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</si>
  <si>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</si>
  <si>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</si>
  <si>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</si>
  <si>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</si>
  <si>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</si>
  <si>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</si>
  <si>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</si>
  <si>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</si>
  <si>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</si>
  <si>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</si>
  <si>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</si>
  <si>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</si>
  <si>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</si>
  <si>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</si>
  <si>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</si>
  <si>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</si>
  <si>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</si>
  <si>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</si>
  <si>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</si>
  <si>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</si>
  <si>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</si>
  <si>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</si>
  <si>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</si>
  <si>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</si>
  <si>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</si>
  <si>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</si>
  <si>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</si>
  <si>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</si>
  <si>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</si>
  <si>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</si>
  <si>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</si>
  <si>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</si>
  <si>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</si>
  <si>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</si>
  <si>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</si>
  <si>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</si>
  <si>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</si>
  <si>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</si>
  <si>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</si>
  <si>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</si>
  <si>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</si>
  <si>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</si>
  <si>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</si>
  <si>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</si>
  <si>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</si>
  <si>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</si>
  <si>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</si>
  <si>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</si>
  <si>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</si>
  <si>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</si>
  <si>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</si>
  <si>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</si>
  <si>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</si>
  <si>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</si>
  <si>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</si>
  <si>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</si>
  <si>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</si>
  <si>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</si>
  <si>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</si>
  <si>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</si>
  <si>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</si>
  <si>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</si>
  <si>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</si>
  <si>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</si>
  <si>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</si>
  <si>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</si>
  <si>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</si>
  <si>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</si>
  <si>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</si>
  <si>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</si>
  <si>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</si>
  <si>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</si>
  <si>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</si>
  <si>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</si>
  <si>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</si>
  <si>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</si>
  <si>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</si>
  <si>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</si>
  <si>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</si>
  <si>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</si>
  <si>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</si>
  <si>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</si>
  <si>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</si>
  <si>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</si>
  <si>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</si>
  <si>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</si>
  <si>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</si>
  <si>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</si>
  <si>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</si>
  <si>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</si>
  <si>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</si>
  <si>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</si>
  <si>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</si>
  <si>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</si>
  <si>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</si>
  <si>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</si>
  <si>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</si>
  <si>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</si>
  <si>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</si>
  <si>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</si>
  <si>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</si>
  <si>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</si>
  <si>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</si>
  <si>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</si>
  <si>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</si>
  <si>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</si>
  <si>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</si>
  <si>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</si>
  <si>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</si>
  <si>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</si>
  <si>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</si>
  <si>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</si>
  <si>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</si>
  <si>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</si>
  <si>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</si>
  <si>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</si>
  <si>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</si>
  <si>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</si>
  <si>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</si>
  <si>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</si>
  <si>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</si>
  <si>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</si>
  <si>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</si>
  <si>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</si>
  <si>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</si>
  <si>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</si>
  <si>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</si>
  <si>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</si>
  <si>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</si>
  <si>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</si>
  <si>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</si>
  <si>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</si>
  <si>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</si>
  <si>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</si>
  <si>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</si>
  <si>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</si>
  <si>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</si>
  <si>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</si>
  <si>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</si>
  <si>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</si>
  <si>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</si>
  <si>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</si>
  <si>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</si>
  <si>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</si>
  <si>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</si>
  <si>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</si>
  <si>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</si>
  <si>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</si>
  <si>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</si>
  <si>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</si>
  <si>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</si>
  <si>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</si>
  <si>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</si>
  <si>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</si>
  <si>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</si>
  <si>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</si>
  <si>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</si>
  <si>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</si>
  <si>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</si>
  <si>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</si>
  <si>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</si>
  <si>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</si>
  <si>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</si>
  <si>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</si>
  <si>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</si>
  <si>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</si>
  <si>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</si>
  <si>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</si>
  <si>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</si>
  <si>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</si>
  <si>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</si>
  <si>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</si>
  <si>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</si>
  <si>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</si>
  <si>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</si>
  <si>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</si>
  <si>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</si>
  <si>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</si>
  <si>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</si>
  <si>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</si>
  <si>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</si>
  <si>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</si>
  <si>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</si>
  <si>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</si>
  <si>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</si>
  <si>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</si>
  <si>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</si>
  <si>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</si>
  <si>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</si>
  <si>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</si>
  <si>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</si>
  <si>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</si>
  <si>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</si>
  <si>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</si>
  <si>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</si>
  <si>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</si>
  <si>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</si>
  <si>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</si>
  <si>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</si>
  <si>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</si>
  <si>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</si>
  <si>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</si>
  <si>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</si>
  <si>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</si>
  <si>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</si>
  <si>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</si>
  <si>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</si>
  <si>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</si>
  <si>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</si>
  <si>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</si>
  <si>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</si>
  <si>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</si>
  <si>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</si>
  <si>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</si>
  <si>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</si>
  <si>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</si>
  <si>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</si>
  <si>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</si>
  <si>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</si>
  <si>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</si>
  <si>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</si>
  <si>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</si>
  <si>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</si>
  <si>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</si>
  <si>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</si>
  <si>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</si>
  <si>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</si>
  <si>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</si>
  <si>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</si>
  <si>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</si>
  <si>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</si>
  <si>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</si>
  <si>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</si>
  <si>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</si>
  <si>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</si>
  <si>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</si>
  <si>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</si>
  <si>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</si>
  <si>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</si>
  <si>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</si>
  <si>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</si>
  <si>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</si>
  <si>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</si>
  <si>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</si>
  <si>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</si>
  <si>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</si>
  <si>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</si>
  <si>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</si>
  <si>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</si>
  <si>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</si>
  <si>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</si>
  <si>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</si>
  <si>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</si>
  <si>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</si>
  <si>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</si>
  <si>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</si>
  <si>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</si>
  <si>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</si>
  <si>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</si>
  <si>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</si>
  <si>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</si>
  <si>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</si>
  <si>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</si>
  <si>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</si>
  <si>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</si>
  <si>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</si>
  <si>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</si>
  <si>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</si>
  <si>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</si>
  <si>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</si>
  <si>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</si>
  <si>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</si>
  <si>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</si>
  <si>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</si>
  <si>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</si>
  <si>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</si>
  <si>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</si>
  <si>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</si>
  <si>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</si>
  <si>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</si>
  <si>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</si>
  <si>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</si>
  <si>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</si>
  <si>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</si>
  <si>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</si>
  <si>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</si>
  <si>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</si>
  <si>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</si>
  <si>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</si>
  <si>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</si>
  <si>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</si>
  <si>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</si>
  <si>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</si>
  <si>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</si>
  <si>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</si>
  <si>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</si>
  <si>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</si>
  <si>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</si>
  <si>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</si>
  <si>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</si>
  <si>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</si>
  <si>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</si>
  <si>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</si>
  <si>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</si>
  <si>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</si>
  <si>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</si>
  <si>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</si>
  <si>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</si>
  <si>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</si>
  <si>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</si>
  <si>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</si>
  <si>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</si>
  <si>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</si>
  <si>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</si>
  <si>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</si>
  <si>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</si>
  <si>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</si>
  <si>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</si>
  <si>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</si>
  <si>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</si>
  <si>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</si>
  <si>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</si>
  <si>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</si>
  <si>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</si>
  <si>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</si>
  <si>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</si>
  <si>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</si>
  <si>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</si>
  <si>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</si>
  <si>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</si>
  <si>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</si>
  <si>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</si>
  <si>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</si>
  <si>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</si>
  <si>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</si>
  <si>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</si>
  <si>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</si>
  <si>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</si>
  <si>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</si>
  <si>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</si>
  <si>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</si>
  <si>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</si>
  <si>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</si>
  <si>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</si>
  <si>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</si>
  <si>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</si>
  <si>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</si>
  <si>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</si>
  <si>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</si>
  <si>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</si>
  <si>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</si>
  <si>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</si>
  <si>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</si>
  <si>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</si>
  <si>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</si>
  <si>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</si>
  <si>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</si>
  <si>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Variable Speed Pool Pump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</si>
</sst>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43599.329527546295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4582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43599.329527546295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Variable Speed Pool Pump</v>
      </c>
      <c r="J2" t="s">
        <v>55</v>
      </c>
    </row>
    <row r="3" ht="12.75">
      <c r="J3" s="35">
        <f>+Title_RESULTS!I4</f>
        <v>43599.329527546295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4582</v>
      </c>
      <c r="H5" t="s">
        <v>59</v>
      </c>
    </row>
    <row r="6" spans="3:7" ht="12.75">
      <c r="C6" t="s">
        <v>61</v>
      </c>
      <c r="G6" s="36">
        <f>+'Value of Defferal'!E3</f>
        <v>2807.158735502121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277.40989268550925</v>
      </c>
      <c r="D19" s="5">
        <f>IF((Title_RESULTS!$H$8-Title_RESULTS!$H$7)&lt;=('Sheet3(F_21)'!A19-Title_RESULTS!$H$7),((Title_RESULTS!$C$8*Partcipation!$C$26*8760*Title_RESULTS!$H$21/100000)),0)</f>
        <v>3652.501363889405</v>
      </c>
      <c r="E19" s="5">
        <f>IF($G19=0,0,((Title_RESULTS!$H$14*((1+Title_RESULTS!$H$15/100)^($A19-Title_RESULTS!$H$7))*'EUE_Line Losses'!$B$25*Partcipation!$C$26))/1000)</f>
        <v>28.682256345933467</v>
      </c>
      <c r="F19" s="5">
        <f>IF($G19=0,0,(Title_RESULTS!$H$19/100*((1+Title_RESULTS!$H$20/100)^($A19-Title_RESULTS!$H$7))*$D19*1000)/1000)</f>
        <v>8.235871300912704</v>
      </c>
      <c r="G19" s="5">
        <f>(+Title_RESULTS!$H$22/100*((1+Title_RESULTS!$H$23/100)^(+'Sheet4(F_22)'!A19-Title_RESULTS!$H$7)))*'Sheet3(F_21)'!D19</f>
        <v>156.48371278791052</v>
      </c>
      <c r="H19" s="5">
        <f>IF($G19=0,0,(($D19))*(Partcipation!$G19/100))</f>
        <v>115.8802655548008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354.93146756546514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284.0677301099615</v>
      </c>
      <c r="D20" s="5">
        <f>IF((Title_RESULTS!$H$8-Title_RESULTS!$H$7)&lt;=('Sheet3(F_21)'!A20-Title_RESULTS!$H$7),((Title_RESULTS!$C$8*Partcipation!$C$26*8760*Title_RESULTS!$H$21/100000)),0)</f>
        <v>3652.501363889405</v>
      </c>
      <c r="E20" s="5">
        <f>IF($G20=0,0,((Title_RESULTS!$H$14*((1+Title_RESULTS!$H$15/100)^($A20-Title_RESULTS!$H$7))*'EUE_Line Losses'!$B$25*Partcipation!$C$26))/1000)</f>
        <v>29.370630498235872</v>
      </c>
      <c r="F20" s="5">
        <f>IF($G20=0,0,(Title_RESULTS!$H$19/100*((1+Title_RESULTS!$H$20/100)^($A20-Title_RESULTS!$H$7))*$D20*1000)/1000)</f>
        <v>8.43353221213461</v>
      </c>
      <c r="G20" s="5">
        <f>(+Title_RESULTS!$H$22/100*((1+Title_RESULTS!$H$23/100)^(+'Sheet4(F_22)'!A20-Title_RESULTS!$H$7)))*'Sheet3(F_21)'!D20</f>
        <v>163.5880733484817</v>
      </c>
      <c r="H20" s="5">
        <f>IF($G20=0,0,(($D20))*(Partcipation!$G20/100))</f>
        <v>121.06410002218821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364.39586614662545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290.8853556326006</v>
      </c>
      <c r="D21" s="5">
        <f>IF((Title_RESULTS!$H$8-Title_RESULTS!$H$7)&lt;=('Sheet3(F_21)'!A21-Title_RESULTS!$H$7),((Title_RESULTS!$C$8*Partcipation!$C$26*8760*Title_RESULTS!$H$21/100000)),0)</f>
        <v>3652.501363889405</v>
      </c>
      <c r="E21" s="5">
        <f>IF($G21=0,0,((Title_RESULTS!$H$14*((1+Title_RESULTS!$H$15/100)^($A21-Title_RESULTS!$H$7))*'EUE_Line Losses'!$B$25*Partcipation!$C$26))/1000)</f>
        <v>30.075525630193532</v>
      </c>
      <c r="F21" s="5">
        <f>IF($G21=0,0,(Title_RESULTS!$H$19/100*((1+Title_RESULTS!$H$20/100)^($A21-Title_RESULTS!$H$7))*$D21*1000)/1000)</f>
        <v>8.635936985225841</v>
      </c>
      <c r="G21" s="5">
        <f>(+Title_RESULTS!$H$22/100*((1+Title_RESULTS!$H$23/100)^(+'Sheet4(F_22)'!A21-Title_RESULTS!$H$7)))*'Sheet3(F_21)'!D21</f>
        <v>171.0149718785028</v>
      </c>
      <c r="H21" s="5">
        <f>IF($G21=0,0,(($D21))*(Partcipation!$G21/100))</f>
        <v>125.86166610952179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374.75012401700087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297.86660416778295</v>
      </c>
      <c r="D22" s="5">
        <f>IF((Title_RESULTS!$H$8-Title_RESULTS!$H$7)&lt;=('Sheet3(F_21)'!A22-Title_RESULTS!$H$7),((Title_RESULTS!$C$8*Partcipation!$C$26*8760*Title_RESULTS!$H$21/100000)),0)</f>
        <v>3652.501363889405</v>
      </c>
      <c r="E22" s="5">
        <f>IF($G22=0,0,((Title_RESULTS!$H$14*((1+Title_RESULTS!$H$15/100)^($A22-Title_RESULTS!$H$7))*'EUE_Line Losses'!$B$25*Partcipation!$C$26))/1000)</f>
        <v>30.79733824531817</v>
      </c>
      <c r="F22" s="5">
        <f>IF($G22=0,0,(Title_RESULTS!$H$19/100*((1+Title_RESULTS!$H$20/100)^($A22-Title_RESULTS!$H$7))*$D22*1000)/1000)</f>
        <v>8.84319947287126</v>
      </c>
      <c r="G22" s="5">
        <f>(+Title_RESULTS!$H$22/100*((1+Title_RESULTS!$H$23/100)^(+'Sheet4(F_22)'!A22-Title_RESULTS!$H$7)))*'Sheet3(F_21)'!D22</f>
        <v>178.77905160178682</v>
      </c>
      <c r="H22" s="5">
        <f>IF($G22=0,0,(($D22))*(Partcipation!$G22/100))</f>
        <v>129.9396290787018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386.34656440905735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305.0154026678098</v>
      </c>
      <c r="D23" s="5">
        <f>IF((Title_RESULTS!$H$8-Title_RESULTS!$H$7)&lt;=('Sheet3(F_21)'!A23-Title_RESULTS!$H$7),((Title_RESULTS!$C$8*Partcipation!$C$26*8760*Title_RESULTS!$H$21/100000)),0)</f>
        <v>3652.501363889405</v>
      </c>
      <c r="E23" s="5">
        <f>IF($G23=0,0,((Title_RESULTS!$H$14*((1+Title_RESULTS!$H$15/100)^($A23-Title_RESULTS!$H$7))*'EUE_Line Losses'!$B$25*Partcipation!$C$26))/1000)</f>
        <v>31.53647436320581</v>
      </c>
      <c r="F23" s="5">
        <f>IF($G23=0,0,(Title_RESULTS!$H$19/100*((1+Title_RESULTS!$H$20/100)^($A23-Title_RESULTS!$H$7))*$D23*1000)/1000)</f>
        <v>9.055436260220171</v>
      </c>
      <c r="G23" s="5">
        <f>(+Title_RESULTS!$H$22/100*((1+Title_RESULTS!$H$23/100)^(+'Sheet4(F_22)'!A23-Title_RESULTS!$H$7)))*'Sheet3(F_21)'!D23</f>
        <v>186.89562054450798</v>
      </c>
      <c r="H23" s="5">
        <f>IF($G23=0,0,(($D23))*(Partcipation!$G23/100))</f>
        <v>135.7556838539232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396.7472499818206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312.33577233183723</v>
      </c>
      <c r="D24" s="5">
        <f>IF((Title_RESULTS!$H$8-Title_RESULTS!$H$7)&lt;=('Sheet3(F_21)'!A24-Title_RESULTS!$H$7),((Title_RESULTS!$C$8*Partcipation!$C$26*8760*Title_RESULTS!$H$21/100000)),0)</f>
        <v>3652.501363889405</v>
      </c>
      <c r="E24" s="5">
        <f>IF($G24=0,0,((Title_RESULTS!$H$14*((1+Title_RESULTS!$H$15/100)^($A24-Title_RESULTS!$H$7))*'EUE_Line Losses'!$B$25*Partcipation!$C$26))/1000)</f>
        <v>32.29334974792275</v>
      </c>
      <c r="F24" s="5">
        <f>IF($G24=0,0,(Title_RESULTS!$H$19/100*((1+Title_RESULTS!$H$20/100)^($A24-Title_RESULTS!$H$7))*$D24*1000)/1000)</f>
        <v>9.272766730465452</v>
      </c>
      <c r="G24" s="5">
        <f>(+Title_RESULTS!$H$22/100*((1+Title_RESULTS!$H$23/100)^(+'Sheet4(F_22)'!A24-Title_RESULTS!$H$7)))*'Sheet3(F_21)'!D24</f>
        <v>195.38068171722867</v>
      </c>
      <c r="H24" s="5">
        <f>IF($G24=0,0,(($D24))*(Partcipation!$G24/100))</f>
        <v>146.1090082856935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403.17356224176064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319.83183086780133</v>
      </c>
      <c r="D25" s="5">
        <f>IF((Title_RESULTS!$H$8-Title_RESULTS!$H$7)&lt;=('Sheet3(F_21)'!A25-Title_RESULTS!$H$7),((Title_RESULTS!$C$8*Partcipation!$C$26*8760*Title_RESULTS!$H$21/100000)),0)</f>
        <v>3652.501363889405</v>
      </c>
      <c r="E25" s="5">
        <f>IF($G25=0,0,((Title_RESULTS!$H$14*((1+Title_RESULTS!$H$15/100)^($A25-Title_RESULTS!$H$7))*'EUE_Line Losses'!$B$25*Partcipation!$C$26))/1000)</f>
        <v>33.06839014187289</v>
      </c>
      <c r="F25" s="5">
        <f>IF($G25=0,0,(Title_RESULTS!$H$19/100*((1+Title_RESULTS!$H$20/100)^($A25-Title_RESULTS!$H$7))*$D25*1000)/1000)</f>
        <v>9.495313131996623</v>
      </c>
      <c r="G25" s="5">
        <f>(+Title_RESULTS!$H$22/100*((1+Title_RESULTS!$H$23/100)^(+'Sheet4(F_22)'!A25-Title_RESULTS!$H$7)))*'Sheet3(F_21)'!D25</f>
        <v>204.25096466719086</v>
      </c>
      <c r="H25" s="5">
        <f>IF($G25=0,0,(($D25))*(Partcipation!$G25/100))</f>
        <v>152.52109760355918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414.1254012053025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2087.4125884633027</v>
      </c>
      <c r="D27" s="9">
        <f t="shared" si="1"/>
        <v>25567.509547225836</v>
      </c>
      <c r="E27" s="9">
        <f t="shared" si="1"/>
        <v>215.8239649726825</v>
      </c>
      <c r="F27" s="9">
        <f t="shared" si="1"/>
        <v>61.972056093826666</v>
      </c>
      <c r="G27" s="9">
        <f t="shared" si="1"/>
        <v>1256.3930765456093</v>
      </c>
      <c r="H27" s="9">
        <f t="shared" si="1"/>
        <v>927.1314505083885</v>
      </c>
      <c r="I27" s="9">
        <f t="shared" si="1"/>
        <v>0</v>
      </c>
      <c r="J27" s="9">
        <f t="shared" si="1"/>
        <v>2694.4702355670324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1388.6824342244386</v>
      </c>
      <c r="D29" s="5"/>
      <c r="E29" s="5">
        <f>NPV(Title_RESULTS!$C$37,E17:E26)+'Sheet3(F_21)'!E16</f>
        <v>143.5801195694014</v>
      </c>
      <c r="F29" s="5">
        <f>NPV(Title_RESULTS!$C$37,F17:F26)+'Sheet3(F_21)'!F16</f>
        <v>41.22783688567452</v>
      </c>
      <c r="G29" s="5">
        <f>NPV(Title_RESULTS!$C$37,G17:G26)+'Sheet3(F_21)'!G16</f>
        <v>831.1223282244065</v>
      </c>
      <c r="H29" s="5">
        <f>NPV(Title_RESULTS!$C$37,H17:H26)+'Sheet3(F_21)'!H16</f>
        <v>613.0999886940214</v>
      </c>
      <c r="I29" s="5">
        <f>NPV(Title_RESULTS!$C$37,I17:I26)+'Sheet3(F_21)'!I16</f>
        <v>0</v>
      </c>
      <c r="J29" s="5">
        <f>NPV(Title_RESULTS!$C$37,J17:J26)+'Sheet3(F_21)'!J16</f>
        <v>1791.5127302098997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Variable Speed Pool Pump</v>
      </c>
      <c r="F2" t="s">
        <v>55</v>
      </c>
    </row>
    <row r="3" spans="6:7" ht="12.75">
      <c r="F3" s="35">
        <f>+Title_RESULTS!I4</f>
        <v>43599.329527546295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1674.7033898305087</v>
      </c>
      <c r="C16" s="5">
        <f>$B16*'Sheet2(F_12)'!$E16/100</f>
        <v>48.578282394865354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48.578282394865354</v>
      </c>
      <c r="G16" s="5">
        <f>+$F16*'Sheet2(F_12)'!$I16</f>
        <v>48.578282394865354</v>
      </c>
    </row>
    <row r="17" spans="1:7" ht="12.75">
      <c r="A17">
        <f>+A16+1</f>
        <v>2021</v>
      </c>
      <c r="B17" s="5">
        <f>(+Partcipation!$C16+(Partcipation!$C17-Partcipation!$C16)/2)*Title_RESULTS!$C$10/1000</f>
        <v>5024.110169491527</v>
      </c>
      <c r="C17" s="5">
        <f>$B17*'Sheet2(F_12)'!$E17/100</f>
        <v>144.54946133232727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144.54946133232727</v>
      </c>
      <c r="G17" s="5">
        <f>+$F17*'Sheet2(F_12)'!$I17</f>
        <v>144.54946133232727</v>
      </c>
    </row>
    <row r="18" spans="1:7" ht="12.75">
      <c r="A18">
        <f>+A17+1</f>
        <v>2022</v>
      </c>
      <c r="B18" s="5">
        <f>(+Partcipation!$C17+(Partcipation!$C18-Partcipation!$C17)/2)*Title_RESULTS!$C$10/1000</f>
        <v>8373.516949152545</v>
      </c>
      <c r="C18" s="5">
        <f>$B18*'Sheet2(F_12)'!$E18/100</f>
        <v>248.64119856564258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248.64119856564258</v>
      </c>
      <c r="G18" s="5">
        <f>+$F18*'Sheet2(F_12)'!$I18</f>
        <v>248.64119856564258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10048.220338983054</v>
      </c>
      <c r="C19" s="5">
        <f>$B19*'Sheet2(F_12)'!$E19/100</f>
        <v>310.609684767046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310.609684767046</v>
      </c>
      <c r="G19" s="5">
        <f>+$F19*'Sheet2(F_12)'!$I19</f>
        <v>310.609684767046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10048.220338983054</v>
      </c>
      <c r="C20" s="5">
        <f>$B20*'Sheet2(F_12)'!$E20/100</f>
        <v>322.81547462065095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322.81547462065095</v>
      </c>
      <c r="G20" s="5">
        <f>+$F20*'Sheet2(F_12)'!$I20</f>
        <v>322.81547462065095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10048.220338983054</v>
      </c>
      <c r="C21" s="5">
        <f>$B21*'Sheet2(F_12)'!$E21/100</f>
        <v>346.6066311914713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346.6066311914713</v>
      </c>
      <c r="G21" s="5">
        <f>+$F21*'Sheet2(F_12)'!$I21</f>
        <v>346.6066311914713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10048.220338983054</v>
      </c>
      <c r="C22" s="5">
        <f>$B22*'Sheet2(F_12)'!$E22/100</f>
        <v>357.7239087628667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357.7239087628667</v>
      </c>
      <c r="G22" s="5">
        <f>+$F22*'Sheet2(F_12)'!$I22</f>
        <v>357.7239087628667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10048.220338983054</v>
      </c>
      <c r="C23" s="5">
        <f>$B23*'Sheet2(F_12)'!$E23/100</f>
        <v>380.0800519599877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380.0800519599877</v>
      </c>
      <c r="G23" s="5">
        <f>+$F23*'Sheet2(F_12)'!$I23</f>
        <v>380.0800519599877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10048.220338983054</v>
      </c>
      <c r="C24" s="5">
        <f>$B24*'Sheet2(F_12)'!$E24/100</f>
        <v>421.1726502346332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421.1726502346332</v>
      </c>
      <c r="G24" s="5">
        <f>+$F24*'Sheet2(F_12)'!$I24</f>
        <v>421.1726502346332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10048.220338983054</v>
      </c>
      <c r="C25" s="5">
        <f>$B25*'Sheet2(F_12)'!$E25/100</f>
        <v>451.22932841885313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451.22932841885313</v>
      </c>
      <c r="G25" s="5">
        <f>+$F25*'Sheet2(F_12)'!$I25</f>
        <v>451.22932841885313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85409.87288135596</v>
      </c>
      <c r="C27" s="5">
        <f t="shared" si="2"/>
        <v>3032.0066722483443</v>
      </c>
      <c r="D27" s="5">
        <f t="shared" si="2"/>
        <v>0</v>
      </c>
      <c r="E27" s="5">
        <f t="shared" si="2"/>
        <v>0</v>
      </c>
      <c r="F27" s="5">
        <f t="shared" si="2"/>
        <v>3032.0066722483443</v>
      </c>
      <c r="G27" s="5">
        <f t="shared" si="2"/>
        <v>3032.0066722483443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2105.3623789791773</v>
      </c>
      <c r="D29" s="5"/>
      <c r="E29" s="5">
        <f>NPV(+Title_RESULTS!$C$37,E17:E26)+E16</f>
        <v>0</v>
      </c>
      <c r="F29" s="5">
        <f>NPV(+Title_RESULTS!$C$37,F17:F26)+F16</f>
        <v>2105.3623789791773</v>
      </c>
      <c r="G29" s="5">
        <f>NPV(+Title_RESULTS!$C$37,G17:G26)+G16</f>
        <v>2105.3623789791773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Variable Speed Pool Pump</v>
      </c>
      <c r="J2" t="s">
        <v>42</v>
      </c>
    </row>
    <row r="3" spans="9:10" ht="12.75">
      <c r="I3" s="4"/>
      <c r="J3" s="35">
        <f>+Title_RESULTS!I4</f>
        <v>43599.329527546295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Variable Speed Pool Pump</v>
      </c>
      <c r="H2" t="s">
        <v>108</v>
      </c>
    </row>
    <row r="3" ht="12.75">
      <c r="H3" s="35">
        <f>+Title_RESULTS!I4</f>
        <v>43599.329527546295</v>
      </c>
    </row>
    <row r="5" spans="3:6" ht="12.75">
      <c r="C5" t="s">
        <v>60</v>
      </c>
      <c r="F5" s="38">
        <f>+'Value of Defferal'!L4</f>
        <v>163.7496832</v>
      </c>
    </row>
    <row r="6" spans="3:6" ht="12.75">
      <c r="C6" t="s">
        <v>62</v>
      </c>
      <c r="F6" s="38">
        <f>+'Value of Defferal'!L5</f>
        <v>434.82275841024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48.578282394865354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16.182120900146657</v>
      </c>
      <c r="C17" s="5">
        <f>IF(+Title_RESULTS!$H$9&lt;='Sheet4(F_22)'!$A17,(+Title_RESULTS!$H$16*((1+Title_RESULTS!$H$18/100)^('Sheet4(F_22)'!$A17-Title_RESULTS!$H$7))*Title_RESULTS!$C$8*Partcipation!$C$26/1000),0)</f>
        <v>13.043364798298018</v>
      </c>
      <c r="D17" s="5">
        <f>(+B17+C17)*+Partcipation!$H17</f>
        <v>29.225485698444675</v>
      </c>
      <c r="E17" s="5">
        <f>VLOOKUP(A17,'Value of Defferal'!$I24:$P$58,'Value of Defferal'!$K$13)</f>
        <v>42.97018662402986</v>
      </c>
      <c r="F17" s="5">
        <f>IF(+'Value of Defferal'!P24=0,0,Title_RESULTS!$H$17*Title_RESULTS!$C$7*Partcipation!$C$26*(1+Title_RESULTS!$H$18/100)^('Sheet4(F_22)'!A17-Title_RESULTS!$H$7))/1000</f>
        <v>59.86269370368</v>
      </c>
      <c r="G17" s="5">
        <f>(+E17+F17)*Partcipation!$H17</f>
        <v>102.83288032770986</v>
      </c>
      <c r="H17" s="5">
        <f>+'Sheet5(p_5)'!$F17*'Sheet2(F_12)'!$I17</f>
        <v>144.54946133232727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16.570491801750176</v>
      </c>
      <c r="C18" s="5">
        <f>IF(+Title_RESULTS!$H$9&lt;='Sheet4(F_22)'!$A18,(+Title_RESULTS!$H$16*((1+Title_RESULTS!$H$18/100)^('Sheet4(F_22)'!$A18-Title_RESULTS!$H$7))*Title_RESULTS!$C$8*Partcipation!$C$26/1000),0)</f>
        <v>13.356405553457169</v>
      </c>
      <c r="D18" s="5">
        <f>(+B18+C18)*+Partcipation!$H18</f>
        <v>29.926897355207345</v>
      </c>
      <c r="E18" s="5">
        <f>VLOOKUP(A18,'Value of Defferal'!$I25:$P$58,'Value of Defferal'!$K$13)</f>
        <v>44.001471103006565</v>
      </c>
      <c r="F18" s="5">
        <f>IF(+'Value of Defferal'!P25=0,0,Title_RESULTS!$H$17*Title_RESULTS!$C$7*Partcipation!$C$26*(1+Title_RESULTS!$H$18/100)^('Sheet4(F_22)'!A18-Title_RESULTS!$H$7))/1000</f>
        <v>61.299398352568325</v>
      </c>
      <c r="G18" s="5">
        <f>(+E18+F18)*Partcipation!$H18</f>
        <v>105.30086945557488</v>
      </c>
      <c r="H18" s="5">
        <f>+'Sheet5(p_5)'!$F18*'Sheet2(F_12)'!$I18</f>
        <v>248.64119856564258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16.96818360499218</v>
      </c>
      <c r="C19" s="5">
        <f>IF(+Title_RESULTS!$H$9&lt;='Sheet4(F_22)'!$A19,(+Title_RESULTS!$H$16*((1+Title_RESULTS!$H$18/100)^('Sheet4(F_22)'!$A19-Title_RESULTS!$H$7))*Title_RESULTS!$C$8*Partcipation!$C$26/1000),0)</f>
        <v>13.676959286740141</v>
      </c>
      <c r="D19" s="5">
        <f>(+B19+C19)*+Partcipation!$H19</f>
        <v>30.64514289173232</v>
      </c>
      <c r="E19" s="5">
        <f>VLOOKUP(A19,'Value of Defferal'!$I26:$P$58,'Value of Defferal'!$K$13)</f>
        <v>45.05750640947873</v>
      </c>
      <c r="F19" s="5">
        <f>IF(+'Value of Defferal'!P26=0,0,Title_RESULTS!$H$17*Title_RESULTS!$C$7*Partcipation!$C$26*(1+Title_RESULTS!$H$18/100)^('Sheet4(F_22)'!A19-Title_RESULTS!$H$7))/1000</f>
        <v>62.77058391302997</v>
      </c>
      <c r="G19" s="5">
        <f>(+E19+F19)*Partcipation!$H19</f>
        <v>107.8280903225087</v>
      </c>
      <c r="H19" s="5">
        <f>+'Sheet5(p_5)'!$F19*'Sheet2(F_12)'!$I19</f>
        <v>310.609684767046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17.375420011511995</v>
      </c>
      <c r="C20" s="5">
        <f>IF(+Title_RESULTS!$H$9&lt;='Sheet4(F_22)'!$A20,(+Title_RESULTS!$H$16*((1+Title_RESULTS!$H$18/100)^('Sheet4(F_22)'!$A20-Title_RESULTS!$H$7))*Title_RESULTS!$C$8*Partcipation!$C$26/1000),0)</f>
        <v>14.005206309621904</v>
      </c>
      <c r="D20" s="5">
        <f>(+B20+C20)*+Partcipation!$H20</f>
        <v>31.3806263211339</v>
      </c>
      <c r="E20" s="5">
        <f>VLOOKUP(A20,'Value of Defferal'!$I27:$P$58,'Value of Defferal'!$K$13)</f>
        <v>46.138886563306215</v>
      </c>
      <c r="F20" s="5">
        <f>IF(+'Value of Defferal'!P27=0,0,Title_RESULTS!$H$17*Title_RESULTS!$C$7*Partcipation!$C$26*(1+Title_RESULTS!$H$18/100)^('Sheet4(F_22)'!A20-Title_RESULTS!$H$7))/1000</f>
        <v>64.27707792694268</v>
      </c>
      <c r="G20" s="5">
        <f>(+E20+F20)*Partcipation!$H20</f>
        <v>110.4159644902489</v>
      </c>
      <c r="H20" s="5">
        <f>+'Sheet5(p_5)'!$F20*'Sheet2(F_12)'!$I20</f>
        <v>322.81547462065095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17.792430091788283</v>
      </c>
      <c r="C21" s="5">
        <f>IF(+Title_RESULTS!$H$9&lt;='Sheet4(F_22)'!$A21,(+Title_RESULTS!$H$16*((1+Title_RESULTS!$H$18/100)^('Sheet4(F_22)'!$A21-Title_RESULTS!$H$7))*Title_RESULTS!$C$8*Partcipation!$C$26/1000),0)</f>
        <v>14.341331261052833</v>
      </c>
      <c r="D21" s="5">
        <f>(+B21+C21)*+Partcipation!$H21</f>
        <v>32.13376135284112</v>
      </c>
      <c r="E21" s="5">
        <f>VLOOKUP(A21,'Value of Defferal'!$I28:$P$58,'Value of Defferal'!$K$13)</f>
        <v>47.24621984082557</v>
      </c>
      <c r="F21" s="5">
        <f>IF(+'Value of Defferal'!P28=0,0,Title_RESULTS!$H$17*Title_RESULTS!$C$7*Partcipation!$C$26*(1+Title_RESULTS!$H$18/100)^('Sheet4(F_22)'!A21-Title_RESULTS!$H$7))/1000</f>
        <v>65.8197277971893</v>
      </c>
      <c r="G21" s="5">
        <f>(+E21+F21)*Partcipation!$H21</f>
        <v>113.06594763801488</v>
      </c>
      <c r="H21" s="5">
        <f>+'Sheet5(p_5)'!$F21*'Sheet2(F_12)'!$I21</f>
        <v>346.6066311914713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18.219448413991202</v>
      </c>
      <c r="C22" s="5">
        <f>IF(+Title_RESULTS!$H$9&lt;='Sheet4(F_22)'!$A22,(+Title_RESULTS!$H$16*((1+Title_RESULTS!$H$18/100)^('Sheet4(F_22)'!$A22-Title_RESULTS!$H$7))*Title_RESULTS!$C$8*Partcipation!$C$26/1000),0)</f>
        <v>14.685523211318095</v>
      </c>
      <c r="D22" s="5">
        <f>(+B22+C22)*+Partcipation!$H22</f>
        <v>32.9049716253093</v>
      </c>
      <c r="E22" s="5">
        <f>VLOOKUP(A22,'Value of Defferal'!$I29:$P$58,'Value of Defferal'!$K$13)</f>
        <v>48.38012911700538</v>
      </c>
      <c r="F22" s="5">
        <f>IF(+'Value of Defferal'!P29=0,0,Title_RESULTS!$H$17*Title_RESULTS!$C$7*Partcipation!$C$26*(1+Title_RESULTS!$H$18/100)^('Sheet4(F_22)'!A22-Title_RESULTS!$H$7))/1000</f>
        <v>67.39940126432184</v>
      </c>
      <c r="G22" s="5">
        <f>(+E22+F22)*Partcipation!$H22</f>
        <v>115.77953038132722</v>
      </c>
      <c r="H22" s="5">
        <f>+'Sheet5(p_5)'!$F22*'Sheet2(F_12)'!$I22</f>
        <v>357.7239087628667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18.65671517592699</v>
      </c>
      <c r="C23" s="5">
        <f>IF(+Title_RESULTS!$H$9&lt;='Sheet4(F_22)'!$A23,(+Title_RESULTS!$H$16*((1+Title_RESULTS!$H$18/100)^('Sheet4(F_22)'!$A23-Title_RESULTS!$H$7))*Title_RESULTS!$C$8*Partcipation!$C$26/1000),0)</f>
        <v>15.037975768389733</v>
      </c>
      <c r="D23" s="5">
        <f>(+B23+C23)*+Partcipation!$H23</f>
        <v>33.694690944316726</v>
      </c>
      <c r="E23" s="5">
        <f>VLOOKUP(A23,'Value of Defferal'!$I30:$P$58,'Value of Defferal'!$K$13)</f>
        <v>49.54125221581351</v>
      </c>
      <c r="F23" s="5">
        <f>IF(+'Value of Defferal'!P30=0,0,Title_RESULTS!$H$17*Title_RESULTS!$C$7*Partcipation!$C$26*(1+Title_RESULTS!$H$18/100)^('Sheet4(F_22)'!A23-Title_RESULTS!$H$7))/1000</f>
        <v>69.01698689466558</v>
      </c>
      <c r="G23" s="5">
        <f>(+E23+F23)*Partcipation!$H23</f>
        <v>118.5582391104791</v>
      </c>
      <c r="H23" s="5">
        <f>+'Sheet5(p_5)'!$F23*'Sheet2(F_12)'!$I23</f>
        <v>380.0800519599877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19.104476340149237</v>
      </c>
      <c r="C24" s="5">
        <f>IF(+Title_RESULTS!$H$9&lt;='Sheet4(F_22)'!$A24,(+Title_RESULTS!$H$16*((1+Title_RESULTS!$H$18/100)^('Sheet4(F_22)'!$A24-Title_RESULTS!$H$7))*Title_RESULTS!$C$8*Partcipation!$C$26/1000),0)</f>
        <v>15.398887186831084</v>
      </c>
      <c r="D24" s="5">
        <f>(+B24+C24)*+Partcipation!$H24</f>
        <v>34.50336352698032</v>
      </c>
      <c r="E24" s="5">
        <f>VLOOKUP(A24,'Value of Defferal'!$I31:$P$58,'Value of Defferal'!$K$13)</f>
        <v>50.73024226899303</v>
      </c>
      <c r="F24" s="5">
        <f>IF(+'Value of Defferal'!P31=0,0,Title_RESULTS!$H$17*Title_RESULTS!$C$7*Partcipation!$C$26*(1+Title_RESULTS!$H$18/100)^('Sheet4(F_22)'!A24-Title_RESULTS!$H$7))/1000</f>
        <v>70.67339458013754</v>
      </c>
      <c r="G24" s="5">
        <f>(+E24+F24)*Partcipation!$H24</f>
        <v>121.40363684913058</v>
      </c>
      <c r="H24" s="5">
        <f>+'Sheet5(p_5)'!$F24*'Sheet2(F_12)'!$I24</f>
        <v>421.1726502346332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19.56298377231282</v>
      </c>
      <c r="C25" s="5">
        <f>IF(+Title_RESULTS!$H$9&lt;='Sheet4(F_22)'!$A25,(+Title_RESULTS!$H$16*((1+Title_RESULTS!$H$18/100)^('Sheet4(F_22)'!$A25-Title_RESULTS!$H$7))*Title_RESULTS!$C$8*Partcipation!$C$26/1000),0)</f>
        <v>15.768460479315031</v>
      </c>
      <c r="D25" s="5">
        <f>(+B25+C25)*+Partcipation!$H25</f>
        <v>35.33144425162785</v>
      </c>
      <c r="E25" s="5">
        <f>VLOOKUP(A25,'Value of Defferal'!$I32:$P$58,'Value of Defferal'!$K$13)</f>
        <v>51.94776808344887</v>
      </c>
      <c r="F25" s="5">
        <f>IF(+'Value of Defferal'!P32=0,0,Title_RESULTS!$H$17*Title_RESULTS!$C$7*Partcipation!$C$26*(1+Title_RESULTS!$H$18/100)^('Sheet4(F_22)'!A25-Title_RESULTS!$H$7))/1000</f>
        <v>72.36955605006084</v>
      </c>
      <c r="G25" s="5">
        <f>(+E25+F25)*Partcipation!$H25</f>
        <v>124.31732413350971</v>
      </c>
      <c r="H25" s="5">
        <f>+'Sheet5(p_5)'!$F25*'Sheet2(F_12)'!$I25</f>
        <v>451.22932841885313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160.43227011256954</v>
      </c>
      <c r="C27" s="5">
        <f t="shared" si="1"/>
        <v>129.314113855024</v>
      </c>
      <c r="D27" s="5">
        <f t="shared" si="1"/>
        <v>289.74638396759354</v>
      </c>
      <c r="E27" s="5">
        <f t="shared" si="1"/>
        <v>426.01366222590775</v>
      </c>
      <c r="F27" s="5">
        <f t="shared" si="1"/>
        <v>593.4888204825961</v>
      </c>
      <c r="G27" s="5">
        <f t="shared" si="1"/>
        <v>1019.5024827085039</v>
      </c>
      <c r="H27" s="5">
        <f t="shared" si="1"/>
        <v>3032.0066722483443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114.50467093636121</v>
      </c>
      <c r="C29" s="5">
        <f>NPV(Title_RESULTS!$C$37,'Sheet4(F_22)'!C17:C26)+'Sheet4(F_22)'!C16</f>
        <v>92.29483597038852</v>
      </c>
      <c r="D29" s="5">
        <f>NPV(Title_RESULTS!$C$37,'Sheet4(F_22)'!D17:D26)+'Sheet4(F_22)'!D16</f>
        <v>206.79950690674974</v>
      </c>
      <c r="E29" s="5">
        <f>NPV(Title_RESULTS!$C$37,'Sheet4(F_22)'!E17:E26)+'Sheet4(F_22)'!E16</f>
        <v>304.05699659640885</v>
      </c>
      <c r="F29" s="5">
        <f>NPV(Title_RESULTS!$C$37,'Sheet4(F_22)'!F17:F26)+'Sheet4(F_22)'!F16</f>
        <v>423.58835941226573</v>
      </c>
      <c r="G29" s="5">
        <f>NPV(Title_RESULTS!$C$37,'Sheet4(F_22)'!G17:G26)+'Sheet4(F_22)'!G16</f>
        <v>727.6453560086746</v>
      </c>
      <c r="H29" s="5">
        <f>NPV(Title_RESULTS!$C$37,'Sheet4(F_22)'!H17:H26)+'Sheet4(F_22)'!H16</f>
        <v>2105.3623789791773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Variable Speed Pool Pump</v>
      </c>
      <c r="P2" t="s">
        <v>121</v>
      </c>
    </row>
    <row r="3" ht="12.75">
      <c r="P3" s="35">
        <f>+Title_RESULTS!I4</f>
        <v>43599.329527546295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557.5519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557.5519</v>
      </c>
      <c r="H16" s="5">
        <f>IF(Partcipation!$B17&lt;Partcipation!$B16,0,IF(Partcipation!$B16=0,0,(Partcipation!$B16-Partcipation!$B15)*(+Title_RESULTS!$C$29*(1+Title_RESULTS!$C$30/100)^(+'Sheet8(F_24)'!$A16-Title_RESULTS!$H$7))/1000))</f>
        <v>1085.01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1085.01</v>
      </c>
      <c r="K16" s="5">
        <f>(+Partcipation!$B15+(Partcipation!$B16-Partcipation!$B15)/2)*(+Title_RESULTS!$C$14)/1000</f>
        <v>1580.92</v>
      </c>
      <c r="L16" s="5">
        <f>($K16)*Partcipation!$E73*Title_RESULTS!$C$12/100</f>
        <v>38.48927659205692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93.84815396</v>
      </c>
      <c r="N16" s="5">
        <f>'Sheet2(F_12)'!$I16*('Sheet6(p_6)'!$L16+'Sheet6(p_6)'!$M16)</f>
        <v>132.33743055205693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557.5519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557.5519</v>
      </c>
      <c r="H17" s="5">
        <f>IF(Partcipation!$B18&lt;Partcipation!$B17,0,IF(Partcipation!$B17=0,0,(Partcipation!$B17-Partcipation!$B16)*(+Title_RESULTS!$C$29*(1+Title_RESULTS!$C$30/100)^(+'Sheet8(F_24)'!$A17-Title_RESULTS!$H$7))/1000))</f>
        <v>1109.9652299999998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1109.9652299999998</v>
      </c>
      <c r="K17" s="5">
        <f>(+Partcipation!$B16+(Partcipation!$B17-Partcipation!$B16)/2)*(+Title_RESULTS!$C$14)/1000</f>
        <v>4742.76</v>
      </c>
      <c r="L17" s="5">
        <f>($K17)*Partcipation!$E74*Title_RESULTS!$C$12/100</f>
        <v>120.96334606200732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284.35990649880006</v>
      </c>
      <c r="N17" s="5">
        <f>'Sheet2(F_12)'!$I17*('Sheet6(p_6)'!$L17+'Sheet6(p_6)'!$M17)</f>
        <v>405.32325256080736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557.5519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557.5519</v>
      </c>
      <c r="H18" s="5">
        <f>IF(Partcipation!$B19&lt;Partcipation!$B18,0,IF(Partcipation!$B18=0,0,(Partcipation!$B18-Partcipation!$B17)*(+Title_RESULTS!$C$29*(1+Title_RESULTS!$C$30/100)^(+'Sheet8(F_24)'!$A18-Title_RESULTS!$H$7))/1000))</f>
        <v>1135.4944302899999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1135.4944302899999</v>
      </c>
      <c r="K18" s="5">
        <f>(+Partcipation!$B17+(Partcipation!$B18-Partcipation!$B17)/2)*(+Title_RESULTS!$C$14)/1000</f>
        <v>7904.6</v>
      </c>
      <c r="L18" s="5">
        <f>($K18)*Partcipation!$E75*Title_RESULTS!$C$12/100</f>
        <v>209.0317964293873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478.67250927298</v>
      </c>
      <c r="N18" s="5">
        <f>'Sheet2(F_12)'!$I18*('Sheet6(p_6)'!$L18+'Sheet6(p_6)'!$M18)</f>
        <v>687.7043057023673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9485.52</v>
      </c>
      <c r="L19" s="5">
        <f>($K19)*Partcipation!$E76*Title_RESULTS!$C$12/100</f>
        <v>248.78193790777368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580.1510812388518</v>
      </c>
      <c r="N19" s="5">
        <f>'Sheet2(F_12)'!$I19*('Sheet6(p_6)'!$L19+'Sheet6(p_6)'!$M19)</f>
        <v>828.9330191466255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9485.52</v>
      </c>
      <c r="L20" s="5">
        <f>($K20)*Partcipation!$E77*Title_RESULTS!$C$12/100</f>
        <v>262.89278313676914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585.9525920512403</v>
      </c>
      <c r="N20" s="5">
        <f>'Sheet2(F_12)'!$I20*('Sheet6(p_6)'!$L20+'Sheet6(p_6)'!$M20)</f>
        <v>848.8453751880095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9485.52</v>
      </c>
      <c r="L21" s="5">
        <f>($K21)*Partcipation!$E78*Title_RESULTS!$C$12/100</f>
        <v>277.9824810645407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591.8121179717527</v>
      </c>
      <c r="N21" s="5">
        <f>'Sheet2(F_12)'!$I21*('Sheet6(p_6)'!$L21+'Sheet6(p_6)'!$M21)</f>
        <v>869.7945990362934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9485.52</v>
      </c>
      <c r="L22" s="5">
        <f>($K22)*Partcipation!$E79*Title_RESULTS!$C$12/100</f>
        <v>290.55122723684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597.7302391514703</v>
      </c>
      <c r="N22" s="5">
        <f>'Sheet2(F_12)'!$I22*('Sheet6(p_6)'!$L22+'Sheet6(p_6)'!$M22)</f>
        <v>888.2814663883103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9485.52</v>
      </c>
      <c r="L23" s="5">
        <f>($K23)*Partcipation!$E80*Title_RESULTS!$C$12/100</f>
        <v>307.659164728759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603.7075415429849</v>
      </c>
      <c r="N23" s="5">
        <f>'Sheet2(F_12)'!$I23*('Sheet6(p_6)'!$L23+'Sheet6(p_6)'!$M23)</f>
        <v>911.3667062717439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9485.52</v>
      </c>
      <c r="L24" s="5">
        <f>($K24)*Partcipation!$E81*Title_RESULTS!$C$12/100</f>
        <v>336.7929836191756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609.7446169584149</v>
      </c>
      <c r="N24" s="5">
        <f>'Sheet2(F_12)'!$I24*('Sheet6(p_6)'!$L24+'Sheet6(p_6)'!$M24)</f>
        <v>946.5376005775904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9485.52</v>
      </c>
      <c r="L25" s="5">
        <f>($K25)*Partcipation!$E82*Title_RESULTS!$C$12/100</f>
        <v>353.9518277651447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615.842063127999</v>
      </c>
      <c r="N25" s="5">
        <f>'Sheet2(F_12)'!$I25*('Sheet6(p_6)'!$L25+'Sheet6(p_6)'!$M25)</f>
        <v>969.7938908931437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92.17728</v>
      </c>
      <c r="C27" s="5">
        <f t="shared" si="4"/>
        <v>0</v>
      </c>
      <c r="D27" s="5">
        <f t="shared" si="4"/>
        <v>92.17728</v>
      </c>
      <c r="E27" s="5">
        <f t="shared" si="4"/>
        <v>1672.6557000000003</v>
      </c>
      <c r="F27" s="5">
        <f t="shared" si="4"/>
        <v>0</v>
      </c>
      <c r="G27" s="5">
        <f t="shared" si="4"/>
        <v>1672.6557000000003</v>
      </c>
      <c r="H27" s="5">
        <f t="shared" si="4"/>
        <v>3330.46966029</v>
      </c>
      <c r="I27" s="5">
        <f t="shared" si="4"/>
        <v>0</v>
      </c>
      <c r="J27" s="5">
        <f t="shared" si="4"/>
        <v>3330.46966029</v>
      </c>
      <c r="K27" s="5">
        <f t="shared" si="4"/>
        <v>80626.92000000003</v>
      </c>
      <c r="L27" s="5">
        <f t="shared" si="4"/>
        <v>2447.096824542454</v>
      </c>
      <c r="M27" s="5">
        <f t="shared" si="4"/>
        <v>5041.820821774494</v>
      </c>
      <c r="N27" s="5">
        <f t="shared" si="4"/>
        <v>7488.917646316948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86.12379783289325</v>
      </c>
      <c r="C29" s="5">
        <f>NPV(Title_RESULTS!$C$37,'Sheet6(p_6)'!C17:C26)+'Sheet6(p_6)'!C16</f>
        <v>0</v>
      </c>
      <c r="D29" s="5">
        <f>NPV(Title_RESULTS!$C$37,'Sheet6(p_6)'!D17:D26)+'Sheet6(p_6)'!D16</f>
        <v>86.12379783289325</v>
      </c>
      <c r="E29" s="5">
        <f>NPV(Title_RESULTS!$C$37,'Sheet6(p_6)'!E17:E26)+'Sheet6(p_6)'!E16</f>
        <v>1564.499176039099</v>
      </c>
      <c r="F29" s="5">
        <f>NPV(Title_RESULTS!$C$37,'Sheet6(p_6)'!F17:F26)+'Sheet6(p_6)'!F16</f>
        <v>0</v>
      </c>
      <c r="G29" s="5">
        <f>NPV(Title_RESULTS!$C$37,'Sheet6(p_6)'!G17:G26)+'Sheet6(p_6)'!G16</f>
        <v>1564.499176039099</v>
      </c>
      <c r="H29" s="5">
        <f>NPV(Title_RESULTS!$C$37,'Sheet6(p_6)'!H17:H26)+'Sheet6(p_6)'!H16</f>
        <v>3111.8891024089876</v>
      </c>
      <c r="I29" s="5">
        <f>NPV(Title_RESULTS!$C$37,'Sheet6(p_6)'!I17:I26)+'Sheet6(p_6)'!I16</f>
        <v>0</v>
      </c>
      <c r="J29" s="5">
        <f>NPV(Title_RESULTS!$C$37,'Sheet6(p_6)'!J17:J26)+'Sheet6(p_6)'!J16</f>
        <v>3111.8891024089876</v>
      </c>
      <c r="K29" s="5"/>
      <c r="L29" s="5">
        <f>NPV(Title_RESULTS!$C$37,'Sheet6(p_6)'!L17:L26)+'Sheet6(p_6)'!L16</f>
        <v>1703.22210785625</v>
      </c>
      <c r="M29" s="5">
        <f>NPV(Title_RESULTS!$C$37,'Sheet6(p_6)'!M17:M26)+'Sheet6(p_6)'!M16</f>
        <v>3571.455466253836</v>
      </c>
      <c r="N29" s="5">
        <f>NPV(Title_RESULTS!$C$37,'Sheet6(p_6)'!N17:N26)+'Sheet6(p_6)'!N16</f>
        <v>5274.6775741100855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Variable Speed Pool Pump</v>
      </c>
      <c r="M2" t="s">
        <v>55</v>
      </c>
    </row>
    <row r="3" ht="12.75">
      <c r="M3" s="35">
        <f>+Title_RESULTS!I4</f>
        <v>43599.329527546295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1085.01</v>
      </c>
      <c r="E16" s="5">
        <f>IF(A16&gt;=(Title_RESULTS!$H$7+Title_RESULTS!$C$17),0,(+'f-11B'!$N15))</f>
        <v>0</v>
      </c>
      <c r="F16" s="5">
        <f>IF(A16&gt;=(Title_RESULTS!$H$7+Title_RESULTS!$C$17),0,(SUM(B16:E16)))</f>
        <v>1115.01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48.578282394865354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48.578282394865354</v>
      </c>
      <c r="L16" s="23">
        <f>IF(A16&gt;=(Title_RESULTS!$H$7+Title_RESULTS!$C$17),0,(+$K16-$F16))</f>
        <v>-1066.4317176051347</v>
      </c>
      <c r="M16" s="23">
        <f>IF(A16&gt;=(Title_RESULTS!$H$7+Title_RESULTS!$C$17),0,(+$L16/(1+Title_RESULTS!$C$37)^('Sheet7(F_23)'!$A16-Title_RESULTS!$H$7)))</f>
        <v>-1066.4317176051347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1109.9652299999998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1140.6852299999998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132.05836602615454</v>
      </c>
      <c r="I17" s="5">
        <f>IF(A17&gt;=(Title_RESULTS!$H$7+Title_RESULTS!$C$17),0,(+'Sheet4(F_22)'!$H17))</f>
        <v>144.54946133232727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276.6078273584818</v>
      </c>
      <c r="L17" s="23">
        <f>IF(A17&gt;=(Title_RESULTS!$H$7+Title_RESULTS!$C$17),0,(+$K17-$F17))</f>
        <v>-864.077402641518</v>
      </c>
      <c r="M17" s="23">
        <f>IF(A17&gt;=(Title_RESULTS!$H$7+Title_RESULTS!$C$17),0,(+M16+$L17/(1+Title_RESULTS!$C$37)^('Sheet7(F_23)'!$A17-Title_RESULTS!$H$7)))</f>
        <v>-1873.3773681855587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1135.4944302899999</v>
      </c>
      <c r="E18" s="5">
        <f>IF(A18&gt;=(Title_RESULTS!$H$7+Title_RESULTS!$C$17),0,(+'f-11B'!$N17))</f>
        <v>0</v>
      </c>
      <c r="F18" s="5">
        <f>IF(A18&gt;=(Title_RESULTS!$H$7+Title_RESULTS!$C$17),0,(SUM(B18:E18)))</f>
        <v>1166.95171029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135.2277668107822</v>
      </c>
      <c r="I18" s="5">
        <f>IF(A18&gt;=(Title_RESULTS!$H$7+Title_RESULTS!$C$17),0,(+'Sheet4(F_22)'!$H18))</f>
        <v>248.64119856564258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383.8689653764248</v>
      </c>
      <c r="L18" s="23">
        <f>IF(A18&gt;=(Title_RESULTS!$H$7+Title_RESULTS!$C$17),0,(+$K18-$F18))</f>
        <v>-783.0827449135752</v>
      </c>
      <c r="M18" s="23">
        <f>IF(A18&gt;=(Title_RESULTS!$H$7+Title_RESULTS!$C$17),0,(+M17+$L18/(1+Title_RESULTS!$C$37)^('Sheet7(F_23)'!$A18-Title_RESULTS!$H$7)))</f>
        <v>-2556.330544869164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354.93146756546514</v>
      </c>
      <c r="H19" s="5">
        <f>IF(A19&gt;=(Title_RESULTS!$H$7+Title_RESULTS!$C$17),0,(+'Sheet4(F_22)'!$D19+'Sheet4(F_22)'!$G19))</f>
        <v>138.47323321424102</v>
      </c>
      <c r="I19" s="5">
        <f>IF(A19&gt;=(Title_RESULTS!$H$7+Title_RESULTS!$C$17),0,(+'Sheet4(F_22)'!$H19))</f>
        <v>310.609684767046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804.0143855467522</v>
      </c>
      <c r="L19" s="23">
        <f>IF(A19&gt;=(Title_RESULTS!$H$7+Title_RESULTS!$C$17),0,(+$K19-$F19))</f>
        <v>804.0143855467522</v>
      </c>
      <c r="M19" s="23">
        <f>IF(A19&gt;=(Title_RESULTS!$H$7+Title_RESULTS!$C$17),0,(+M18+$L19/(1+Title_RESULTS!$C$37)^('Sheet7(F_23)'!$A19-Title_RESULTS!$H$7)))</f>
        <v>-1901.485219353573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364.39586614662545</v>
      </c>
      <c r="H20" s="5">
        <f>IF(A20&gt;=(Title_RESULTS!$H$7+Title_RESULTS!$C$17),0,(+'Sheet4(F_22)'!$D20+'Sheet4(F_22)'!$G20))</f>
        <v>141.7965908113828</v>
      </c>
      <c r="I20" s="5">
        <f>IF(A20&gt;=(Title_RESULTS!$H$7+Title_RESULTS!$C$17),0,(+'Sheet4(F_22)'!$H20))</f>
        <v>322.81547462065095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829.0079315786593</v>
      </c>
      <c r="L20" s="23">
        <f>IF(A20&gt;=(Title_RESULTS!$H$7+Title_RESULTS!$C$17),0,(+$K20-$F20))</f>
        <v>829.0079315786593</v>
      </c>
      <c r="M20" s="23">
        <f>IF(A20&gt;=(Title_RESULTS!$H$7+Title_RESULTS!$C$17),0,(+M19+$L20/(1+Title_RESULTS!$C$37)^('Sheet7(F_23)'!$A20-Title_RESULTS!$H$7)))</f>
        <v>-1270.9269353365767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374.75012401700087</v>
      </c>
      <c r="H21" s="5">
        <f>IF(A21&gt;=(Title_RESULTS!$H$7+Title_RESULTS!$C$17),0,(+'Sheet4(F_22)'!$D21+'Sheet4(F_22)'!$G21))</f>
        <v>145.19970899085598</v>
      </c>
      <c r="I21" s="5">
        <f>IF(A21&gt;=(Title_RESULTS!$H$7+Title_RESULTS!$C$17),0,(+'Sheet4(F_22)'!$H21))</f>
        <v>346.6066311914713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866.556464199328</v>
      </c>
      <c r="L21" s="23">
        <f>IF(A21&gt;=(Title_RESULTS!$H$7+Title_RESULTS!$C$17),0,(+$K21-$F21))</f>
        <v>866.556464199328</v>
      </c>
      <c r="M21" s="23">
        <f>IF(A21&gt;=(Title_RESULTS!$H$7+Title_RESULTS!$C$17),0,(+M20+$L21/(1+Title_RESULTS!$C$37)^('Sheet7(F_23)'!$A21-Title_RESULTS!$H$7)))</f>
        <v>-655.3886736712153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386.34656440905735</v>
      </c>
      <c r="H22" s="5">
        <f>IF(A22&gt;=(Title_RESULTS!$H$7+Title_RESULTS!$C$17),0,(+'Sheet4(F_22)'!$D22+'Sheet4(F_22)'!$G22))</f>
        <v>148.68450200663654</v>
      </c>
      <c r="I22" s="5">
        <f>IF(A22&gt;=(Title_RESULTS!$H$7+Title_RESULTS!$C$17),0,(+'Sheet4(F_22)'!$H22))</f>
        <v>357.7239087628667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892.7549751785606</v>
      </c>
      <c r="L22" s="23">
        <f>IF(A22&gt;=(Title_RESULTS!$H$7+Title_RESULTS!$C$17),0,(+$K22-$F22))</f>
        <v>892.7549751785606</v>
      </c>
      <c r="M22" s="23">
        <f>IF(A22&gt;=(Title_RESULTS!$H$7+Title_RESULTS!$C$17),0,(+M21+$L22/(1+Title_RESULTS!$C$37)^('Sheet7(F_23)'!$A22-Title_RESULTS!$H$7)))</f>
        <v>-63.16999084284396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396.7472499818206</v>
      </c>
      <c r="H23" s="5">
        <f>IF(A23&gt;=(Title_RESULTS!$H$7+Title_RESULTS!$C$17),0,(+'Sheet4(F_22)'!$D23+'Sheet4(F_22)'!$G23))</f>
        <v>152.25293005479583</v>
      </c>
      <c r="I23" s="5">
        <f>IF(A23&gt;=(Title_RESULTS!$H$7+Title_RESULTS!$C$17),0,(+'Sheet4(F_22)'!$H23))</f>
        <v>380.0800519599877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929.0802319966041</v>
      </c>
      <c r="L23" s="23">
        <f>IF(A23&gt;=(Title_RESULTS!$H$7+Title_RESULTS!$C$17),0,(+$K23-$F23))</f>
        <v>929.0802319966041</v>
      </c>
      <c r="M23" s="23">
        <f>IF(A23&gt;=(Title_RESULTS!$H$7+Title_RESULTS!$C$17),0,(+M22+$L23/(1+Title_RESULTS!$C$37)^('Sheet7(F_23)'!$A23-Title_RESULTS!$H$7)))</f>
        <v>512.3954139035906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403.17356224176064</v>
      </c>
      <c r="H24" s="5">
        <f>IF(A24&gt;=(Title_RESULTS!$H$7+Title_RESULTS!$C$17),0,(+'Sheet4(F_22)'!$D24+'Sheet4(F_22)'!$G24))</f>
        <v>155.9070003761109</v>
      </c>
      <c r="I24" s="5">
        <f>IF(A24&gt;=(Title_RESULTS!$H$7+Title_RESULTS!$C$17),0,(+'Sheet4(F_22)'!$H24))</f>
        <v>421.1726502346332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980.2532128525047</v>
      </c>
      <c r="L24" s="23">
        <f>IF(A24&gt;=(Title_RESULTS!$H$7+Title_RESULTS!$C$17),0,(+$K24-$F24))</f>
        <v>980.2532128525047</v>
      </c>
      <c r="M24" s="23">
        <f>IF(A24&gt;=(Title_RESULTS!$H$7+Title_RESULTS!$C$17),0,(+M23+$L24/(1+Title_RESULTS!$C$37)^('Sheet7(F_23)'!$A24-Title_RESULTS!$H$7)))</f>
        <v>1079.5107271823845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414.1254012053025</v>
      </c>
      <c r="H25" s="5">
        <f>IF(A25&gt;=(Title_RESULTS!$H$7+Title_RESULTS!$C$17),0,(+'Sheet4(F_22)'!$D25+'Sheet4(F_22)'!$G25))</f>
        <v>159.64876838513757</v>
      </c>
      <c r="I25" s="5">
        <f>IF(A25&gt;=(Title_RESULTS!$H$7+Title_RESULTS!$C$17),0,(+'Sheet4(F_22)'!$H25))</f>
        <v>451.22932841885313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1025.0034980092933</v>
      </c>
      <c r="L25" s="23">
        <f>IF(A25&gt;=(Title_RESULTS!$H$7+Title_RESULTS!$C$17),0,(+$K25-$F25))</f>
        <v>1025.0034980092933</v>
      </c>
      <c r="M25" s="23">
        <f>IF(A25&gt;=(Title_RESULTS!$H$7+Title_RESULTS!$C$17),0,(+M24+$L25/(1+Title_RESULTS!$C$37)^('Sheet7(F_23)'!$A25-Title_RESULTS!$H$7)))</f>
        <v>1633.3070718626207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92.17728</v>
      </c>
      <c r="D27" s="5">
        <f t="shared" si="1"/>
        <v>3330.46966029</v>
      </c>
      <c r="E27" s="5">
        <f t="shared" si="1"/>
        <v>0</v>
      </c>
      <c r="F27" s="5">
        <f t="shared" si="1"/>
        <v>3422.6469402899997</v>
      </c>
      <c r="G27" s="5">
        <f t="shared" si="1"/>
        <v>2694.4702355670324</v>
      </c>
      <c r="H27" s="5">
        <f t="shared" si="1"/>
        <v>1309.2488666760974</v>
      </c>
      <c r="I27" s="5">
        <f t="shared" si="1"/>
        <v>3032.0066722483443</v>
      </c>
      <c r="J27" s="5">
        <f t="shared" si="1"/>
        <v>0</v>
      </c>
      <c r="K27" s="5">
        <f t="shared" si="1"/>
        <v>7035.725774491474</v>
      </c>
      <c r="L27" s="5">
        <f t="shared" si="1"/>
        <v>3613.0788342014744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86.12379783289325</v>
      </c>
      <c r="D29" s="5">
        <f>NPV(Title_RESULTS!$C$37,'Sheet7(F_23)'!D17:D26)+'Sheet7(F_23)'!D16</f>
        <v>3111.8891024089876</v>
      </c>
      <c r="E29" s="5">
        <f>NPV(Title_RESULTS!$C$37,'Sheet7(F_23)'!E17:E26)+'Sheet7(F_23)'!E16</f>
        <v>0</v>
      </c>
      <c r="F29" s="5">
        <f>NPV(Title_RESULTS!$C$37,'Sheet7(F_23)'!F17:F26)+'Sheet7(F_23)'!F16</f>
        <v>3198.0129002418817</v>
      </c>
      <c r="G29" s="5">
        <f>NPV(Title_RESULTS!$C$37,'Sheet7(F_23)'!G17:G26)+'Sheet7(F_23)'!G16</f>
        <v>1791.5127302098997</v>
      </c>
      <c r="H29" s="5">
        <f>NPV(Title_RESULTS!$C$37,'Sheet7(F_23)'!H17:H26)+'Sheet7(F_23)'!H16</f>
        <v>934.4448629154243</v>
      </c>
      <c r="I29" s="5">
        <f>NPV(Title_RESULTS!$C$37,'Sheet7(F_23)'!I17:I26)+'Sheet7(F_23)'!I16</f>
        <v>2105.3623789791773</v>
      </c>
      <c r="J29" s="5">
        <f>NPV(Title_RESULTS!$C$37,'Sheet7(F_23)'!J17:J26)+'Sheet7(F_23)'!J16</f>
        <v>0</v>
      </c>
      <c r="K29" s="5">
        <f>NPV(Title_RESULTS!$C$37,'Sheet7(F_23)'!K17:K26)+'Sheet7(F_23)'!K16</f>
        <v>4831.319972104501</v>
      </c>
      <c r="L29" s="5">
        <f>NPV(Title_RESULTS!$C$37,'Sheet7(F_23)'!L17:L26)+'Sheet7(F_23)'!L16</f>
        <v>1633.3070718626202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1.5107256045587196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Variable Speed Pool Pump</v>
      </c>
      <c r="L2" t="s">
        <v>55</v>
      </c>
    </row>
    <row r="3" ht="12.75">
      <c r="L3" s="35">
        <f>+Title_RESULTS!I4</f>
        <v>43599.329527546295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132.33743055205693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557.5519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689.889330552057</v>
      </c>
      <c r="G16" s="5">
        <f>IF(A16&gt;=(Title_RESULTS!$H$7+Title_RESULTS!$C$17),0,(+'Sheet6(p_6)'!$H16))</f>
        <v>1085.01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1085.01</v>
      </c>
      <c r="K16" s="23">
        <f>IF(A16&gt;=(Title_RESULTS!$H$7+Title_RESULTS!$C$17),0,(+F16-J16))</f>
        <v>-395.120669447943</v>
      </c>
      <c r="L16" s="23">
        <f>IF(A16&gt;=(Title_RESULTS!$H$7+Title_RESULTS!$C$17),0,(+$K16/((1+Title_RESULTS!$C$37)^('Sheet8(F_24)'!$A16-Title_RESULTS!$H$7))))</f>
        <v>-395.120669447943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405.32325256080736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557.5519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962.8751525608075</v>
      </c>
      <c r="G17" s="5">
        <f>IF(A17&gt;=(Title_RESULTS!$H$7+Title_RESULTS!$C$17),0,(+'Sheet6(p_6)'!$H17))</f>
        <v>1109.9652299999998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1109.9652299999998</v>
      </c>
      <c r="K17" s="23">
        <f>IF(A17&gt;=(Title_RESULTS!$H$7+Title_RESULTS!$C$17),0,(+F17-J17))</f>
        <v>-147.09007743919233</v>
      </c>
      <c r="L17" s="23">
        <f>IF(A16&gt;=(Title_RESULTS!$H$7+Title_RESULTS!$C$17),0,(+$K17/((1+Title_RESULTS!$C$37)^('Sheet8(F_24)'!$A17-Title_RESULTS!$H$7))+L16))</f>
        <v>-532.4853289914547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687.7043057023673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557.5519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1245.2562057023674</v>
      </c>
      <c r="G18" s="5">
        <f>IF(A18&gt;=(Title_RESULTS!$H$7+Title_RESULTS!$C$17),0,(+'Sheet6(p_6)'!$H18))</f>
        <v>1135.4944302899999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1135.4944302899999</v>
      </c>
      <c r="K18" s="23">
        <f>IF(A18&gt;=(Title_RESULTS!$H$7+Title_RESULTS!$C$17),0,(+F18-J18))</f>
        <v>109.76177541236757</v>
      </c>
      <c r="L18" s="23">
        <f>IF(A17&gt;=(Title_RESULTS!$H$7+Title_RESULTS!$C$17),0,(+$K18/((1+Title_RESULTS!$C$37)^('Sheet8(F_24)'!$A18-Title_RESULTS!$H$7))+L17))</f>
        <v>-436.7583401346359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828.9330191466255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828.9330191466255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828.9330191466255</v>
      </c>
      <c r="L19" s="23">
        <f>IF(A18&gt;=(Title_RESULTS!$H$7+Title_RESULTS!$C$17),0,(+$K19/((1+Title_RESULTS!$C$37)^('Sheet8(F_24)'!$A19-Title_RESULTS!$H$7))+L18))</f>
        <v>238.38245648750262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848.8453751880095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848.8453751880095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848.8453751880095</v>
      </c>
      <c r="L20" s="23">
        <f>IF(A19&gt;=(Title_RESULTS!$H$7+Title_RESULTS!$C$17),0,(+$K20/((1+Title_RESULTS!$C$37)^('Sheet8(F_24)'!$A20-Title_RESULTS!$H$7))+L19))</f>
        <v>884.029455491551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869.7945990362934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869.7945990362934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869.7945990362934</v>
      </c>
      <c r="L21" s="23">
        <f>IF(A20&gt;=(Title_RESULTS!$H$7+Title_RESULTS!$C$17),0,(+$K21/((1+Title_RESULTS!$C$37)^('Sheet8(F_24)'!$A21-Title_RESULTS!$H$7))+L20))</f>
        <v>1501.8678510442355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888.2814663883103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888.2814663883103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888.2814663883103</v>
      </c>
      <c r="L22" s="23">
        <f>IF(A21&gt;=(Title_RESULTS!$H$7+Title_RESULTS!$C$17),0,(+$K22/((1+Title_RESULTS!$C$37)^('Sheet8(F_24)'!$A22-Title_RESULTS!$H$7))+L21))</f>
        <v>2091.1189833609415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911.3667062717439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911.3667062717439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911.3667062717439</v>
      </c>
      <c r="L23" s="23">
        <f>IF(A22&gt;=(Title_RESULTS!$H$7+Title_RESULTS!$C$17),0,(+$K23/((1+Title_RESULTS!$C$37)^('Sheet8(F_24)'!$A23-Title_RESULTS!$H$7))+L22))</f>
        <v>2655.71085508816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946.5376005775904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946.5376005775904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946.5376005775904</v>
      </c>
      <c r="L24" s="23">
        <f>IF(A23&gt;=(Title_RESULTS!$H$7+Title_RESULTS!$C$17),0,(+$K24/((1+Title_RESULTS!$C$37)^('Sheet8(F_24)'!$A24-Title_RESULTS!$H$7))+L23))</f>
        <v>3203.3203511281263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969.7938908931437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969.7938908931437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969.7938908931437</v>
      </c>
      <c r="L25" s="23">
        <f>IF(A24&gt;=(Title_RESULTS!$H$7+Title_RESULTS!$C$17),0,(+$K25/((1+Title_RESULTS!$C$37)^('Sheet8(F_24)'!$A25-Title_RESULTS!$H$7))+L24))</f>
        <v>3727.2876477401983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7488.917646316948</v>
      </c>
      <c r="C27" s="5">
        <f t="shared" si="1"/>
        <v>0</v>
      </c>
      <c r="D27" s="5">
        <f t="shared" si="1"/>
        <v>1672.6557000000003</v>
      </c>
      <c r="E27" s="5">
        <f t="shared" si="1"/>
        <v>0</v>
      </c>
      <c r="F27" s="5">
        <f t="shared" si="1"/>
        <v>9161.573346316949</v>
      </c>
      <c r="G27" s="5">
        <f t="shared" si="1"/>
        <v>3330.46966029</v>
      </c>
      <c r="H27" s="5">
        <f t="shared" si="1"/>
        <v>0</v>
      </c>
      <c r="I27" s="5">
        <f t="shared" si="1"/>
        <v>0</v>
      </c>
      <c r="J27" s="5">
        <f t="shared" si="1"/>
        <v>3330.46966029</v>
      </c>
      <c r="K27" s="5">
        <f t="shared" si="1"/>
        <v>5831.10368602695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5274.6775741100855</v>
      </c>
      <c r="C29" s="5">
        <f>NPV(Title_RESULTS!$C$37,'Sheet8(F_24)'!C17:C26)+'Sheet8(F_24)'!C16</f>
        <v>0</v>
      </c>
      <c r="D29" s="5">
        <f>NPV(Title_RESULTS!$C$37,'Sheet8(F_24)'!D17:D26)+'Sheet8(F_24)'!D16</f>
        <v>1564.499176039099</v>
      </c>
      <c r="E29" s="5">
        <f>NPV(Title_RESULTS!$C$37,'Sheet8(F_24)'!E17:E26)+'Sheet8(F_24)'!E16</f>
        <v>0</v>
      </c>
      <c r="F29" s="5">
        <f>NPV(Title_RESULTS!$C$37,'Sheet8(F_24)'!F17:F26)+'Sheet8(F_24)'!F16</f>
        <v>6839.176750149187</v>
      </c>
      <c r="G29" s="5">
        <f>NPV(Title_RESULTS!$C$37,'Sheet8(F_24)'!G17:G26)+'Sheet8(F_24)'!G16</f>
        <v>3111.8891024089876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3111.8891024089876</v>
      </c>
      <c r="K29" s="5">
        <f>NPV(Title_RESULTS!$C$37,'Sheet8(F_24)'!K17:K26)+'Sheet8(F_24)'!K16</f>
        <v>3727.2876477401974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2.1977572224070636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Variable Speed Pool Pump</v>
      </c>
      <c r="N2" t="s">
        <v>55</v>
      </c>
    </row>
    <row r="3" ht="12.75">
      <c r="N3" s="35">
        <f>+Title_RESULTS!I4</f>
        <v>43599.329527546295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557.5519</v>
      </c>
      <c r="E16" s="5">
        <f>+'Sheet6(p_6)'!M16</f>
        <v>93.84815396</v>
      </c>
      <c r="F16">
        <f>IF(A16&gt;=(Title_RESULTS!$H$7+Title_RESULTS!$C$17),0,(+'f-11B'!$R15))</f>
        <v>0</v>
      </c>
      <c r="G16" s="5">
        <f>IF(A16&gt;=(Title_RESULTS!$H$7+Title_RESULTS!$C$17),0,(SUM(B16:F16)))</f>
        <v>681.40005396</v>
      </c>
      <c r="H16" s="5">
        <f>IF(A16&gt;=(Title_RESULTS!$H$7+Title_RESULTS!$C$17),0,(+'Sheet3(F_21)'!$J16+'Sheet4(F_22)'!$H16))</f>
        <v>48.578282394865354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48.578282394865354</v>
      </c>
      <c r="M16" s="23">
        <f>IF(A16&gt;=(Title_RESULTS!$H$7+Title_RESULTS!$C$17),0,(+L16-G16))</f>
        <v>-632.8217715651347</v>
      </c>
      <c r="N16" s="24">
        <f>IF(A16&gt;=(Title_RESULTS!$H$7+Title_RESULTS!$C$17),0,(+$M16/((1+Title_RESULTS!$C$37)^('Sheet9(F_25)'!$A16-Title_RESULTS!$H$7))))</f>
        <v>-632.8217715651347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557.5519</v>
      </c>
      <c r="E17" s="5">
        <f>+'Sheet6(p_6)'!M17</f>
        <v>284.35990649880006</v>
      </c>
      <c r="F17">
        <f>IF(A17&gt;=(Title_RESULTS!$H$7+Title_RESULTS!$C$17),0,(+'f-11B'!$R16))</f>
        <v>0</v>
      </c>
      <c r="G17" s="5">
        <f>IF(A17&gt;=(Title_RESULTS!$H$7+Title_RESULTS!$C$17),0,(SUM(B17:F17)))</f>
        <v>872.6318064988002</v>
      </c>
      <c r="H17" s="5">
        <f>IF(A17&gt;=(Title_RESULTS!$H$7+Title_RESULTS!$C$17),0,(+'Sheet3(F_21)'!$J17+'Sheet4(F_22)'!$H17))</f>
        <v>144.54946133232727</v>
      </c>
      <c r="I17" s="5">
        <f>IF(A17&gt;=(Title_RESULTS!$H$7+Title_RESULTS!$C$17),0,(+'Sheet4(F_22)'!$D17+'Sheet4(F_22)'!$G17))</f>
        <v>132.05836602615454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276.6078273584818</v>
      </c>
      <c r="M17" s="23">
        <f>IF(A17&gt;=(Title_RESULTS!$H$7+Title_RESULTS!$C$17),0,(+L17-G17))</f>
        <v>-596.0239791403184</v>
      </c>
      <c r="N17" s="24">
        <f>(IF(A16&gt;=(Title_RESULTS!$H$7+Title_RESULTS!$C$17),0,(+$M17/((1+Title_RESULTS!$C$37)^('Sheet9(F_25)'!$A17-Title_RESULTS!$H$7))+N16)))</f>
        <v>-1189.4373665785065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557.5519</v>
      </c>
      <c r="E18" s="5">
        <f>+'Sheet6(p_6)'!M18</f>
        <v>478.67250927298</v>
      </c>
      <c r="F18">
        <f>IF(A18&gt;=(Title_RESULTS!$H$7+Title_RESULTS!$C$17),0,(+'f-11B'!$R17))</f>
        <v>0</v>
      </c>
      <c r="G18" s="5">
        <f>IF(A18&gt;=(Title_RESULTS!$H$7+Title_RESULTS!$C$17),0,(SUM(B18:F18)))</f>
        <v>1067.68168927298</v>
      </c>
      <c r="H18" s="5">
        <f>IF(A18&gt;=(Title_RESULTS!$H$7+Title_RESULTS!$C$17),0,(+'Sheet3(F_21)'!$J18+'Sheet4(F_22)'!$H18))</f>
        <v>248.64119856564258</v>
      </c>
      <c r="I18" s="5">
        <f>IF(A18&gt;=(Title_RESULTS!$H$7+Title_RESULTS!$C$17),0,(+'Sheet4(F_22)'!$D18+'Sheet4(F_22)'!$G18))</f>
        <v>135.2277668107822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383.8689653764248</v>
      </c>
      <c r="M18" s="23">
        <f>IF(A18&gt;=(Title_RESULTS!$H$7+Title_RESULTS!$C$17),0,(+L18-G18))</f>
        <v>-683.8127238965553</v>
      </c>
      <c r="N18" s="24">
        <f>(IF(A17&gt;=(Title_RESULTS!$H$7+Title_RESULTS!$C$17),0,(+$M18/((1+Title_RESULTS!$C$37)^('Sheet9(F_25)'!$A18-Title_RESULTS!$H$7))+N17)))</f>
        <v>-1785.813771339364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580.1510812388518</v>
      </c>
      <c r="F19">
        <f>IF(A19&gt;=(Title_RESULTS!$H$7+Title_RESULTS!$C$17),0,(+'f-11B'!$R18))</f>
        <v>0</v>
      </c>
      <c r="G19" s="5">
        <f>IF(A19&gt;=(Title_RESULTS!$H$7+Title_RESULTS!$C$17),0,(SUM(B19:F19)))</f>
        <v>580.1510812388518</v>
      </c>
      <c r="H19" s="5">
        <f>IF(A19&gt;=(Title_RESULTS!$H$7+Title_RESULTS!$C$17),0,(+'Sheet3(F_21)'!$J19+'Sheet4(F_22)'!$H19))</f>
        <v>665.5411523325112</v>
      </c>
      <c r="I19" s="5">
        <f>IF(A19&gt;=(Title_RESULTS!$H$7+Title_RESULTS!$C$17),0,(+'Sheet4(F_22)'!$D19+'Sheet4(F_22)'!$G19))</f>
        <v>138.47323321424102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804.0143855467522</v>
      </c>
      <c r="M19" s="23">
        <f>IF(A19&gt;=(Title_RESULTS!$H$7+Title_RESULTS!$C$17),0,(+L19-G19))</f>
        <v>223.86330430790042</v>
      </c>
      <c r="N19" s="24">
        <f>(IF(A18&gt;=(Title_RESULTS!$H$7+Title_RESULTS!$C$17),0,(+$M19/((1+Title_RESULTS!$C$37)^('Sheet9(F_25)'!$A19-Title_RESULTS!$H$7))+N18)))</f>
        <v>-1603.4839013572323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585.9525920512403</v>
      </c>
      <c r="F20">
        <f>IF(A20&gt;=(Title_RESULTS!$H$7+Title_RESULTS!$C$17),0,(+'f-11B'!$R19))</f>
        <v>0</v>
      </c>
      <c r="G20" s="5">
        <f>IF(A20&gt;=(Title_RESULTS!$H$7+Title_RESULTS!$C$17),0,(SUM(B20:F20)))</f>
        <v>585.9525920512403</v>
      </c>
      <c r="H20" s="5">
        <f>IF(A20&gt;=(Title_RESULTS!$H$7+Title_RESULTS!$C$17),0,(+'Sheet3(F_21)'!$J20+'Sheet4(F_22)'!$H20))</f>
        <v>687.2113407672764</v>
      </c>
      <c r="I20" s="5">
        <f>IF(A20&gt;=(Title_RESULTS!$H$7+Title_RESULTS!$C$17),0,(+'Sheet4(F_22)'!$D20+'Sheet4(F_22)'!$G20))</f>
        <v>141.7965908113828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829.0079315786592</v>
      </c>
      <c r="M20" s="23">
        <f>IF(A20&gt;=(Title_RESULTS!$H$7+Title_RESULTS!$C$17),0,(+L20-G20))</f>
        <v>243.05533952741882</v>
      </c>
      <c r="N20" s="24">
        <f>(IF(A19&gt;=(Title_RESULTS!$H$7+Title_RESULTS!$C$17),0,(+$M20/((1+Title_RESULTS!$C$37)^('Sheet9(F_25)'!$A20-Title_RESULTS!$H$7))+N19)))</f>
        <v>-1418.6116558990648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591.8121179717527</v>
      </c>
      <c r="F21">
        <f>IF(A21&gt;=(Title_RESULTS!$H$7+Title_RESULTS!$C$17),0,(+'f-11B'!$R20))</f>
        <v>0</v>
      </c>
      <c r="G21" s="5">
        <f>IF(A21&gt;=(Title_RESULTS!$H$7+Title_RESULTS!$C$17),0,(SUM(B21:F21)))</f>
        <v>591.8121179717527</v>
      </c>
      <c r="H21" s="5">
        <f>IF(A21&gt;=(Title_RESULTS!$H$7+Title_RESULTS!$C$17),0,(+'Sheet3(F_21)'!$J21+'Sheet4(F_22)'!$H21))</f>
        <v>721.3567552084721</v>
      </c>
      <c r="I21" s="5">
        <f>IF(A21&gt;=(Title_RESULTS!$H$7+Title_RESULTS!$C$17),0,(+'Sheet4(F_22)'!$D21+'Sheet4(F_22)'!$G21))</f>
        <v>145.19970899085598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866.556464199328</v>
      </c>
      <c r="M21" s="23">
        <f>IF(A21&gt;=(Title_RESULTS!$H$7+Title_RESULTS!$C$17),0,(+L21-G21))</f>
        <v>274.7443462275753</v>
      </c>
      <c r="N21" s="24">
        <f>(IF(A20&gt;=(Title_RESULTS!$H$7+Title_RESULTS!$C$17),0,(+$M21/((1+Title_RESULTS!$C$37)^('Sheet9(F_25)'!$A21-Title_RESULTS!$H$7))+N20)))</f>
        <v>-1223.4533895123895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597.7302391514703</v>
      </c>
      <c r="F22">
        <f>IF(A22&gt;=(Title_RESULTS!$H$7+Title_RESULTS!$C$17),0,(+'f-11B'!$R21))</f>
        <v>0</v>
      </c>
      <c r="G22" s="5">
        <f>IF(A22&gt;=(Title_RESULTS!$H$7+Title_RESULTS!$C$17),0,(SUM(B22:F22)))</f>
        <v>597.7302391514703</v>
      </c>
      <c r="H22" s="5">
        <f>IF(A22&gt;=(Title_RESULTS!$H$7+Title_RESULTS!$C$17),0,(+'Sheet3(F_21)'!$J22+'Sheet4(F_22)'!$H22))</f>
        <v>744.070473171924</v>
      </c>
      <c r="I22" s="5">
        <f>IF(A22&gt;=(Title_RESULTS!$H$7+Title_RESULTS!$C$17),0,(+'Sheet4(F_22)'!$D22+'Sheet4(F_22)'!$G22))</f>
        <v>148.68450200663654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892.7549751785606</v>
      </c>
      <c r="M22" s="23">
        <f>IF(A22&gt;=(Title_RESULTS!$H$7+Title_RESULTS!$C$17),0,(+L22-G22))</f>
        <v>295.0247360270903</v>
      </c>
      <c r="N22" s="24">
        <f>(IF(A21&gt;=(Title_RESULTS!$H$7+Title_RESULTS!$C$17),0,(+$M22/((1+Title_RESULTS!$C$37)^('Sheet9(F_25)'!$A22-Title_RESULTS!$H$7))+N21)))</f>
        <v>-1027.74553525282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603.7075415429849</v>
      </c>
      <c r="F23">
        <f>IF(A23&gt;=(Title_RESULTS!$H$7+Title_RESULTS!$C$17),0,(+'f-11B'!$R22))</f>
        <v>0</v>
      </c>
      <c r="G23" s="5">
        <f>IF(A23&gt;=(Title_RESULTS!$H$7+Title_RESULTS!$C$17),0,(SUM(B23:F23)))</f>
        <v>603.7075415429849</v>
      </c>
      <c r="H23" s="5">
        <f>IF(A23&gt;=(Title_RESULTS!$H$7+Title_RESULTS!$C$17),0,(+'Sheet3(F_21)'!$J23+'Sheet4(F_22)'!$H23))</f>
        <v>776.8273019418083</v>
      </c>
      <c r="I23" s="5">
        <f>IF(A23&gt;=(Title_RESULTS!$H$7+Title_RESULTS!$C$17),0,(+'Sheet4(F_22)'!$D23+'Sheet4(F_22)'!$G23))</f>
        <v>152.25293005479583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929.0802319966041</v>
      </c>
      <c r="M23" s="23">
        <f>IF(A23&gt;=(Title_RESULTS!$H$7+Title_RESULTS!$C$17),0,(+L23-G23))</f>
        <v>325.37269045361916</v>
      </c>
      <c r="N23" s="24">
        <f>(IF(A22&gt;=(Title_RESULTS!$H$7+Title_RESULTS!$C$17),0,(+$M23/((1+Title_RESULTS!$C$37)^('Sheet9(F_25)'!$A23-Title_RESULTS!$H$7))+N22)))</f>
        <v>-826.177083116107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609.7446169584149</v>
      </c>
      <c r="F24">
        <f>IF(A24&gt;=(Title_RESULTS!$H$7+Title_RESULTS!$C$17),0,(+'f-11B'!$R23))</f>
        <v>0</v>
      </c>
      <c r="G24" s="5">
        <f>IF(A24&gt;=(Title_RESULTS!$H$7+Title_RESULTS!$C$17),0,(SUM(B24:F24)))</f>
        <v>609.7446169584149</v>
      </c>
      <c r="H24" s="5">
        <f>IF(A24&gt;=(Title_RESULTS!$H$7+Title_RESULTS!$C$17),0,(+'Sheet3(F_21)'!$J24+'Sheet4(F_22)'!$H24))</f>
        <v>824.3462124763938</v>
      </c>
      <c r="I24" s="5">
        <f>IF(A24&gt;=(Title_RESULTS!$H$7+Title_RESULTS!$C$17),0,(+'Sheet4(F_22)'!$D24+'Sheet4(F_22)'!$G24))</f>
        <v>155.9070003761109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980.2532128525047</v>
      </c>
      <c r="M24" s="23">
        <f>IF(A24&gt;=(Title_RESULTS!$H$7+Title_RESULTS!$C$17),0,(+L24-G24))</f>
        <v>370.5085958940898</v>
      </c>
      <c r="N24" s="24">
        <f>(IF(A23&gt;=(Title_RESULTS!$H$7+Title_RESULTS!$C$17),0,(+$M24/((1+Title_RESULTS!$C$37)^('Sheet9(F_25)'!$A24-Title_RESULTS!$H$7))+N23)))</f>
        <v>-611.8231838603043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615.842063127999</v>
      </c>
      <c r="F25">
        <f>IF(A25&gt;=(Title_RESULTS!$H$7+Title_RESULTS!$C$17),0,(+'f-11B'!$R24))</f>
        <v>0</v>
      </c>
      <c r="G25" s="5">
        <f>IF(A25&gt;=(Title_RESULTS!$H$7+Title_RESULTS!$C$17),0,(SUM(B25:F25)))</f>
        <v>615.842063127999</v>
      </c>
      <c r="H25" s="5">
        <f>IF(A25&gt;=(Title_RESULTS!$H$7+Title_RESULTS!$C$17),0,(+'Sheet3(F_21)'!$J25+'Sheet4(F_22)'!$H25))</f>
        <v>865.3547296241557</v>
      </c>
      <c r="I25" s="5">
        <f>IF(A25&gt;=(Title_RESULTS!$H$7+Title_RESULTS!$C$17),0,(+'Sheet4(F_22)'!$D25+'Sheet4(F_22)'!$G25))</f>
        <v>159.64876838513757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1025.0034980092933</v>
      </c>
      <c r="M25" s="23">
        <f>IF(A25&gt;=(Title_RESULTS!$H$7+Title_RESULTS!$C$17),0,(+L25-G25))</f>
        <v>409.1614348812942</v>
      </c>
      <c r="N25" s="24">
        <f>(IF(A24&gt;=(Title_RESULTS!$H$7+Title_RESULTS!$C$17),0,(+$M25/((1+Title_RESULTS!$C$37)^('Sheet9(F_25)'!$A25-Title_RESULTS!$H$7))+N24)))</f>
        <v>-390.7584680213279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92.17728</v>
      </c>
      <c r="D27" s="5">
        <f t="shared" si="1"/>
        <v>1672.6557000000003</v>
      </c>
      <c r="E27" s="5">
        <f t="shared" si="1"/>
        <v>5041.820821774494</v>
      </c>
      <c r="F27" s="5">
        <f t="shared" si="1"/>
        <v>0</v>
      </c>
      <c r="G27" s="5">
        <f t="shared" si="1"/>
        <v>6806.653801774493</v>
      </c>
      <c r="H27" s="5">
        <f t="shared" si="1"/>
        <v>5726.476907815377</v>
      </c>
      <c r="I27" s="5">
        <f t="shared" si="1"/>
        <v>1309.2488666760974</v>
      </c>
      <c r="J27" s="5">
        <f t="shared" si="1"/>
        <v>0</v>
      </c>
      <c r="K27" s="9">
        <f t="shared" si="1"/>
        <v>0</v>
      </c>
      <c r="L27" s="5">
        <f t="shared" si="1"/>
        <v>7035.725774491474</v>
      </c>
      <c r="M27" s="5">
        <f t="shared" si="1"/>
        <v>229.0719727169793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86.12379783289325</v>
      </c>
      <c r="D29" s="5">
        <f>NPV(Title_RESULTS!$C$37,'Sheet9(F_25)'!D17:D26)+'Sheet9(F_25)'!D16</f>
        <v>1564.499176039099</v>
      </c>
      <c r="E29" s="5">
        <f>NPV(Title_RESULTS!$C$37,'Sheet9(F_25)'!E17:E26)+'Sheet9(F_25)'!E16</f>
        <v>3571.455466253836</v>
      </c>
      <c r="F29" s="5">
        <f>NPV(Title_RESULTS!$C$37,'Sheet9(F_25)'!F17:F26)+'Sheet9(F_25)'!F16</f>
        <v>0</v>
      </c>
      <c r="G29" s="5">
        <f>NPV(Title_RESULTS!$C$37,'Sheet9(F_25)'!G17:G26)+'Sheet9(F_25)'!G16</f>
        <v>5222.078440125829</v>
      </c>
      <c r="H29" s="5">
        <f>NPV(Title_RESULTS!$C$37,'Sheet9(F_25)'!H17:H26)+'Sheet9(F_25)'!H16</f>
        <v>3896.8751091890767</v>
      </c>
      <c r="I29" s="5">
        <f>NPV(Title_RESULTS!$C$37,'Sheet9(F_25)'!I17:I26)+'Sheet9(F_25)'!I16</f>
        <v>934.4448629154243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4831.319972104501</v>
      </c>
      <c r="M29" s="5">
        <f>NPV(Title_RESULTS!$C$37,'Sheet9(F_25)'!M17:M26)+'Sheet9(F_25)'!M16</f>
        <v>-390.75846802132776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0.925171850154761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2807.158735502121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163.7496832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434.82275841024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16.182120900146657</v>
      </c>
      <c r="P24" s="48">
        <f aca="true" t="shared" si="4" ref="P24:P61">N24*$L$5</f>
        <v>42.97018662402986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16.570491801750176</v>
      </c>
      <c r="P25" s="48">
        <f t="shared" si="4"/>
        <v>44.001471103006565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386.2388294931701</v>
      </c>
      <c r="E26" s="11">
        <f>IF(B26=Title_RESULTS!$H$8,$F$16,+E25*(1+$F$7))</f>
        <v>0.09882230355451863</v>
      </c>
      <c r="F26" s="9">
        <f t="shared" si="1"/>
        <v>277.40989268550925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22.53042735673172</v>
      </c>
      <c r="L26" s="5">
        <f t="shared" si="3"/>
        <v>59.82755129639005</v>
      </c>
      <c r="N26" s="11">
        <f>IF(+B26=Title_RESULTS!$H$9,'Value of Defferal'!$O$16,+'Value of Defferal'!N25*(1+'Value of Defferal'!$F$7))</f>
        <v>0.10362269577198292</v>
      </c>
      <c r="O26" s="5">
        <f t="shared" si="7"/>
        <v>16.96818360499218</v>
      </c>
      <c r="P26" s="48">
        <f t="shared" si="4"/>
        <v>45.05750640947873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374.83324161648255</v>
      </c>
      <c r="E27" s="11">
        <f>IF(B27=Title_RESULTS!$H$8,$F$16,+E26*(1+$F$7))</f>
        <v>0.10119403883982707</v>
      </c>
      <c r="F27" s="9">
        <f t="shared" si="1"/>
        <v>284.0677301099615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21.865106447765285</v>
      </c>
      <c r="L27" s="5">
        <f t="shared" si="3"/>
        <v>58.06085063956219</v>
      </c>
      <c r="N27" s="11">
        <f>IF(+B27=Title_RESULTS!$H$9,'Value of Defferal'!$O$16,+'Value of Defferal'!N26*(1+'Value of Defferal'!$F$7))</f>
        <v>0.10610964047051051</v>
      </c>
      <c r="O27" s="5">
        <f t="shared" si="7"/>
        <v>17.375420011511995</v>
      </c>
      <c r="P27" s="48">
        <f t="shared" si="4"/>
        <v>46.138886563306215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362.24155578260235</v>
      </c>
      <c r="E28" s="11">
        <f>IF(B28=Title_RESULTS!$H$8,$F$16,+E27*(1+$F$7))</f>
        <v>0.10362269577198292</v>
      </c>
      <c r="F28" s="9">
        <f t="shared" si="1"/>
        <v>290.8853556326006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21.130597016511835</v>
      </c>
      <c r="L28" s="5">
        <f t="shared" si="3"/>
        <v>56.11042599913173</v>
      </c>
      <c r="N28" s="11">
        <f>IF(+B28=Title_RESULTS!$H$9,'Value of Defferal'!$O$16,+'Value of Defferal'!N27*(1+'Value of Defferal'!$F$7))</f>
        <v>0.10865627184180277</v>
      </c>
      <c r="O28" s="5">
        <f t="shared" si="7"/>
        <v>17.792430091788283</v>
      </c>
      <c r="P28" s="48">
        <f t="shared" si="4"/>
        <v>47.24621984082557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350.252942290337</v>
      </c>
      <c r="E29" s="11">
        <f>IF(B29=Title_RESULTS!$H$8,$F$16,+E28*(1+$F$7))</f>
        <v>0.10610964047051051</v>
      </c>
      <c r="F29" s="9">
        <f t="shared" si="1"/>
        <v>297.86660416778295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20.43126653813953</v>
      </c>
      <c r="L29" s="5">
        <f t="shared" si="3"/>
        <v>54.253415947547104</v>
      </c>
      <c r="N29" s="11">
        <f>IF(+B29=Title_RESULTS!$H$9,'Value of Defferal'!$O$16,+'Value of Defferal'!N28*(1+'Value of Defferal'!$F$7))</f>
        <v>0.11126402236600604</v>
      </c>
      <c r="O29" s="5">
        <f t="shared" si="7"/>
        <v>18.219448413991202</v>
      </c>
      <c r="P29" s="48">
        <f t="shared" si="4"/>
        <v>48.38012911700538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338.8069268494747</v>
      </c>
      <c r="E30" s="11">
        <f>IF(B30=Title_RESULTS!$H$8,$F$16,+E29*(1+$F$7))</f>
        <v>0.10865627184180277</v>
      </c>
      <c r="F30" s="9">
        <f t="shared" si="1"/>
        <v>305.0154026678098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19.76358737249796</v>
      </c>
      <c r="L30" s="5">
        <f t="shared" si="3"/>
        <v>52.48045314930631</v>
      </c>
      <c r="N30" s="11">
        <f>IF(+B30=Title_RESULTS!$H$9,'Value of Defferal'!$O$16,+'Value of Defferal'!N29*(1+'Value of Defferal'!$F$7))</f>
        <v>0.11393435890279018</v>
      </c>
      <c r="O30" s="5">
        <f t="shared" si="7"/>
        <v>18.65671517592699</v>
      </c>
      <c r="P30" s="48">
        <f t="shared" si="4"/>
        <v>49.54125221581351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327.84971741181596</v>
      </c>
      <c r="E31" s="11">
        <f>IF(B31=Title_RESULTS!$H$8,$F$16,+E30*(1+$F$7))</f>
        <v>0.11126402236600604</v>
      </c>
      <c r="F31" s="9">
        <f t="shared" si="1"/>
        <v>312.33577233183723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19.124421673928467</v>
      </c>
      <c r="L31" s="5">
        <f t="shared" si="3"/>
        <v>50.783205333603696</v>
      </c>
      <c r="N31" s="11">
        <f>IF(+B31=Title_RESULTS!$H$9,'Value of Defferal'!$O$16,+'Value of Defferal'!N30*(1+'Value of Defferal'!$F$7))</f>
        <v>0.11666878351645714</v>
      </c>
      <c r="O31" s="5">
        <f t="shared" si="7"/>
        <v>19.104476340149237</v>
      </c>
      <c r="P31" s="48">
        <f t="shared" si="4"/>
        <v>50.73024226899303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317.23363642888796</v>
      </c>
      <c r="E32" s="11">
        <f>IF(B32=Title_RESULTS!$H$8,$F$16,+E31*(1+$F$7))</f>
        <v>0.11393435890279018</v>
      </c>
      <c r="F32" s="9">
        <f t="shared" si="1"/>
        <v>319.83183086780133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18.505154984163212</v>
      </c>
      <c r="L32" s="5">
        <f t="shared" si="3"/>
        <v>49.13879757064989</v>
      </c>
      <c r="N32" s="11">
        <f>IF(+B32=Title_RESULTS!$H$9,'Value of Defferal'!$O$16,+'Value of Defferal'!N31*(1+'Value of Defferal'!$F$7))</f>
        <v>0.11946883432085212</v>
      </c>
      <c r="O32" s="5">
        <f t="shared" si="7"/>
        <v>19.56298377231282</v>
      </c>
      <c r="P32" s="48">
        <f t="shared" si="4"/>
        <v>51.94776808344887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306.7268101028619</v>
      </c>
      <c r="E33" s="11">
        <f>IF(B33=Title_RESULTS!$H$8,$F$16,+E32*(1+$F$7))</f>
        <v>0.11666878351645714</v>
      </c>
      <c r="F33" s="9">
        <f t="shared" si="1"/>
        <v>327.50779480862855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17.892261434338202</v>
      </c>
      <c r="L33" s="5">
        <f t="shared" si="3"/>
        <v>47.51131311548147</v>
      </c>
      <c r="N33" s="11">
        <f>IF(+B33=Title_RESULTS!$H$9,'Value of Defferal'!$O$16,+'Value of Defferal'!N32*(1+'Value of Defferal'!$F$7))</f>
        <v>0.12233608634455258</v>
      </c>
      <c r="O33" s="5">
        <f t="shared" si="7"/>
        <v>20.032495382848328</v>
      </c>
      <c r="P33" s="48">
        <f t="shared" si="4"/>
        <v>53.194514517451644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296.2199837768359</v>
      </c>
      <c r="E34" s="11">
        <f>IF(B34=Title_RESULTS!$H$8,$F$16,+E33*(1+$F$7))</f>
        <v>0.11946883432085212</v>
      </c>
      <c r="F34" s="9">
        <f t="shared" si="1"/>
        <v>335.36798188403566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17.27936788451319</v>
      </c>
      <c r="L34" s="5">
        <f t="shared" si="3"/>
        <v>45.88382866031303</v>
      </c>
      <c r="N34" s="11">
        <f>IF(+B34=Title_RESULTS!$H$9,'Value of Defferal'!$O$16,+'Value of Defferal'!N33*(1+'Value of Defferal'!$F$7))</f>
        <v>0.12527215241682185</v>
      </c>
      <c r="O34" s="5">
        <f t="shared" si="7"/>
        <v>20.51327527203669</v>
      </c>
      <c r="P34" s="48">
        <f t="shared" si="4"/>
        <v>54.47118286587049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285.7131574508098</v>
      </c>
      <c r="E35" s="11">
        <f>IF(B35=Title_RESULTS!$H$8,$F$16,+E34*(1+$F$7))</f>
        <v>0.12233608634455258</v>
      </c>
      <c r="F35" s="9">
        <f t="shared" si="1"/>
        <v>343.4168134492525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16.66647433468818</v>
      </c>
      <c r="L35" s="5">
        <f t="shared" si="3"/>
        <v>44.2563442051446</v>
      </c>
      <c r="N35" s="11">
        <f>IF(+B35=Title_RESULTS!$H$9,'Value of Defferal'!$O$16,+'Value of Defferal'!N34*(1+'Value of Defferal'!$F$7))</f>
        <v>0.12827868407482557</v>
      </c>
      <c r="O35" s="5">
        <f t="shared" si="7"/>
        <v>21.00559387856557</v>
      </c>
      <c r="P35" s="48">
        <f t="shared" si="4"/>
        <v>55.77849125465138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275.2063311247838</v>
      </c>
      <c r="E36" s="11">
        <f>IF(B36=Title_RESULTS!$H$8,$F$16,+E35*(1+$F$7))</f>
        <v>0.12527215241682185</v>
      </c>
      <c r="F36" s="9">
        <f t="shared" si="1"/>
        <v>351.65881697203463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16.05358078486317</v>
      </c>
      <c r="L36" s="5">
        <f t="shared" si="3"/>
        <v>42.62885974997617</v>
      </c>
      <c r="N36" s="11">
        <f>IF(+B36=Title_RESULTS!$H$9,'Value of Defferal'!$O$16,+'Value of Defferal'!N35*(1+'Value of Defferal'!$F$7))</f>
        <v>0.1313573724926214</v>
      </c>
      <c r="O36" s="5">
        <f t="shared" si="7"/>
        <v>21.509728131651144</v>
      </c>
      <c r="P36" s="48">
        <f t="shared" si="4"/>
        <v>57.117175044763016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264.6995047987577</v>
      </c>
      <c r="E37" s="11">
        <f>IF(B37&gt;Title_RESULTS!$H$8-1+Title_RESULTS!$C$18,0,+E36*(1+$F$7))</f>
        <v>0.12827868407482557</v>
      </c>
      <c r="F37" s="9">
        <f t="shared" si="1"/>
        <v>360.09862857936344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15.440687235038157</v>
      </c>
      <c r="L37" s="5">
        <f t="shared" si="3"/>
        <v>41.00137529480773</v>
      </c>
      <c r="N37" s="11">
        <f>IF(+B37=Title_RESULTS!$H$9,'Value of Defferal'!$O$16,+'Value of Defferal'!N36*(1+'Value of Defferal'!$F$7))</f>
        <v>0.1345099494324443</v>
      </c>
      <c r="O37" s="5">
        <f t="shared" si="7"/>
        <v>22.02596160681077</v>
      </c>
      <c r="P37" s="48">
        <f t="shared" si="4"/>
        <v>58.487987245837324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254.19267847273161</v>
      </c>
      <c r="E38" s="11">
        <f>IF(B38&gt;Title_RESULTS!$H$8-1+Title_RESULTS!$C$18,0,+E37*(1+$F$7))</f>
        <v>0.1313573724926214</v>
      </c>
      <c r="F38" s="9">
        <f t="shared" si="1"/>
        <v>368.74099566526814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14.827793685213141</v>
      </c>
      <c r="L38" s="5">
        <f t="shared" si="3"/>
        <v>39.373890839639294</v>
      </c>
      <c r="N38" s="11">
        <f>IF(+B38=Title_RESULTS!$H$9,'Value of Defferal'!$O$16,+'Value of Defferal'!N37*(1+'Value of Defferal'!$F$7))</f>
        <v>0.13773818821882297</v>
      </c>
      <c r="O38" s="5">
        <f t="shared" si="7"/>
        <v>22.554584685374234</v>
      </c>
      <c r="P38" s="48">
        <f t="shared" si="4"/>
        <v>59.891698939737424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243.6858521467055</v>
      </c>
      <c r="E39" s="11">
        <f>IF(B39&gt;Title_RESULTS!$H$8-1+Title_RESULTS!$C$18,0,+E38*(1+$F$7))</f>
        <v>0.1345099494324443</v>
      </c>
      <c r="F39" s="9">
        <f t="shared" si="1"/>
        <v>377.59077956123457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14.214900135388127</v>
      </c>
      <c r="L39" s="5">
        <f t="shared" si="3"/>
        <v>37.74640638447086</v>
      </c>
      <c r="N39" s="11">
        <f>IF(+B39&gt;Title_RESULTS!$H$9+Title_RESULTS!$C$19-1,0,+'Value of Defferal'!N38*(1+'Value of Defferal'!$F$7))</f>
        <v>0.14104390473607473</v>
      </c>
      <c r="O39" s="5">
        <f t="shared" si="7"/>
        <v>23.095894717823214</v>
      </c>
      <c r="P39" s="48">
        <f t="shared" si="4"/>
        <v>61.329099714291125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233.17902582067956</v>
      </c>
      <c r="E40" s="11">
        <f>IF(B40&gt;Title_RESULTS!$H$8-1+Title_RESULTS!$C$18,0,+E39*(1+$F$7))</f>
        <v>0.13773818821882297</v>
      </c>
      <c r="F40" s="9">
        <f t="shared" si="1"/>
        <v>386.65295827070423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13.602006585563121</v>
      </c>
      <c r="L40" s="5">
        <f t="shared" si="3"/>
        <v>36.11892192930244</v>
      </c>
      <c r="N40" s="11">
        <f>IF(+B40&gt;Title_RESULTS!$H$9+Title_RESULTS!$C$19-1,0,+'Value of Defferal'!N39*(1+'Value of Defferal'!$F$7))</f>
        <v>0.14442895844974052</v>
      </c>
      <c r="O40" s="5">
        <f t="shared" si="7"/>
        <v>23.650196191050973</v>
      </c>
      <c r="P40" s="48">
        <f t="shared" si="4"/>
        <v>62.80099810743411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223.65883252777738</v>
      </c>
      <c r="E41" s="11">
        <f>IF(B41&gt;Title_RESULTS!$H$8-1+Title_RESULTS!$C$18,0,+E40*(1+$F$7))</f>
        <v>0.14104390473607473</v>
      </c>
      <c r="F41" s="9">
        <f t="shared" si="1"/>
        <v>395.93262926920113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13.046666192446148</v>
      </c>
      <c r="L41" s="5">
        <f t="shared" si="3"/>
        <v>34.644264776550465</v>
      </c>
      <c r="N41" s="11">
        <f>IF(+B41&gt;Title_RESULTS!$H$9+Title_RESULTS!$C$19-1,0,+'Value of Defferal'!N40*(1+'Value of Defferal'!$F$7))</f>
        <v>0.1478952534525343</v>
      </c>
      <c r="O41" s="5">
        <f t="shared" si="7"/>
        <v>24.217800899636195</v>
      </c>
      <c r="P41" s="48">
        <f t="shared" si="4"/>
        <v>64.30822206201253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216.1115711890225</v>
      </c>
      <c r="E42" s="11">
        <f>IF(B42&gt;Title_RESULTS!$H$8-1+Title_RESULTS!$C$18,0,+E41*(1+$F$7))</f>
        <v>0.14442895844974052</v>
      </c>
      <c r="F42" s="9">
        <f t="shared" si="1"/>
        <v>405.43501237166197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12.60641262302067</v>
      </c>
      <c r="L42" s="5">
        <f t="shared" si="3"/>
        <v>33.475210475396615</v>
      </c>
      <c r="N42" s="11">
        <f>IF(+B42&gt;Title_RESULTS!$H$9+Title_RESULTS!$C$19-1,0,+'Value of Defferal'!N41*(1+'Value of Defferal'!$F$7))</f>
        <v>0.1514447395353951</v>
      </c>
      <c r="O42" s="5">
        <f t="shared" si="7"/>
        <v>24.799028121227465</v>
      </c>
      <c r="P42" s="48">
        <f t="shared" si="4"/>
        <v>65.85161939150083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209.55060877129094</v>
      </c>
      <c r="E43" s="11">
        <f>IF(B43&gt;Title_RESULTS!$H$8-1+Title_RESULTS!$C$18,0,+E42*(1+$F$7))</f>
        <v>0.1478952534525343</v>
      </c>
      <c r="F43" s="9">
        <f t="shared" si="1"/>
        <v>415.16545266858185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12.223692720578645</v>
      </c>
      <c r="L43" s="5">
        <f t="shared" si="3"/>
        <v>32.45893172342441</v>
      </c>
      <c r="N43" s="11">
        <f>IF(+B43&gt;Title_RESULTS!$H$9+Title_RESULTS!$C$19-1,0,+'Value of Defferal'!N42*(1+'Value of Defferal'!$F$7))</f>
        <v>0.1550794132842446</v>
      </c>
      <c r="O43" s="5">
        <f t="shared" si="7"/>
        <v>25.394204796136922</v>
      </c>
      <c r="P43" s="48">
        <f t="shared" si="4"/>
        <v>67.43205825689685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202.98964635355944</v>
      </c>
      <c r="E44" s="11">
        <f>IF(B44&gt;Title_RESULTS!$H$8-1+Title_RESULTS!$C$18,0,+E43*(1+$F$7))</f>
        <v>0.1514447395353951</v>
      </c>
      <c r="F44" s="9">
        <f t="shared" si="1"/>
        <v>425.1294235326278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11.840972818136624</v>
      </c>
      <c r="L44" s="5">
        <f t="shared" si="3"/>
        <v>31.442652971452222</v>
      </c>
      <c r="N44" s="11">
        <f>IF(+B44&gt;Title_RESULTS!$H$9+Title_RESULTS!$C$19-1,0,+'Value of Defferal'!N43*(1+'Value of Defferal'!$F$7))</f>
        <v>0.15880131920306648</v>
      </c>
      <c r="O44" s="5">
        <f t="shared" si="7"/>
        <v>26.00366571124421</v>
      </c>
      <c r="P44" s="48">
        <f t="shared" si="4"/>
        <v>69.05042765506238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196.4286839358278</v>
      </c>
      <c r="E45" s="11">
        <f>IF(B45&gt;Title_RESULTS!$H$8-1+Title_RESULTS!$C$18,0,+E44*(1+$F$7))</f>
        <v>0.1550794132842446</v>
      </c>
      <c r="F45" s="9">
        <f t="shared" si="1"/>
        <v>435.3325296974109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11.458252915694596</v>
      </c>
      <c r="L45" s="5">
        <f t="shared" si="3"/>
        <v>30.42637421948001</v>
      </c>
      <c r="N45" s="11">
        <f>IF(+B45&gt;Title_RESULTS!$H$9+Title_RESULTS!$C$19-1,0,+'Value of Defferal'!N44*(1+'Value of Defferal'!$F$7))</f>
        <v>0.16261255086394008</v>
      </c>
      <c r="O45" s="5">
        <f t="shared" si="7"/>
        <v>26.627753688314073</v>
      </c>
      <c r="P45" s="48">
        <f t="shared" si="4"/>
        <v>70.70763791878389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189.86772151809626</v>
      </c>
      <c r="E46" s="11">
        <f>IF(B46&gt;Title_RESULTS!$H$8-1+Title_RESULTS!$C$18,0,+E45*(1+$F$7))</f>
        <v>0.15880131920306648</v>
      </c>
      <c r="F46" s="9">
        <f t="shared" si="1"/>
        <v>445.7805104101488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11.07553301325257</v>
      </c>
      <c r="L46" s="5">
        <f t="shared" si="3"/>
        <v>29.410095467507812</v>
      </c>
      <c r="N46" s="11">
        <f>IF(+B46&gt;Title_RESULTS!$H$9+Title_RESULTS!$C$19-1,0,+'Value of Defferal'!N45*(1+'Value of Defferal'!$F$7))</f>
        <v>0.16651525208467466</v>
      </c>
      <c r="O46" s="5">
        <f t="shared" si="7"/>
        <v>27.266819776833614</v>
      </c>
      <c r="P46" s="48">
        <f t="shared" si="4"/>
        <v>72.4046212288347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183.30675910036473</v>
      </c>
      <c r="E47" s="11">
        <f>IF(B47&gt;Title_RESULTS!$H$8-1+Title_RESULTS!$C$18,0,+E46*(1+$F$7))</f>
        <v>0.16261255086394008</v>
      </c>
      <c r="F47" s="9">
        <f t="shared" si="1"/>
        <v>456.4792426599924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10.69281311081055</v>
      </c>
      <c r="L47" s="5">
        <f t="shared" si="3"/>
        <v>28.39381671553562</v>
      </c>
      <c r="N47" s="11">
        <f>IF(+B47&gt;Title_RESULTS!$H$9+Title_RESULTS!$C$19-1,0,+'Value of Defferal'!N46*(1+'Value of Defferal'!$F$7))</f>
        <v>0.17051161813470686</v>
      </c>
      <c r="O47" s="5">
        <f t="shared" si="7"/>
        <v>27.921223451477623</v>
      </c>
      <c r="P47" s="48">
        <f t="shared" si="4"/>
        <v>74.14233213832674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176.7457966826332</v>
      </c>
      <c r="E48" s="11">
        <f>IF(B48&gt;Title_RESULTS!$H$8-1+Title_RESULTS!$C$18,0,+E47*(1+$F$7))</f>
        <v>0.16651525208467466</v>
      </c>
      <c r="F48" s="9">
        <f t="shared" si="1"/>
        <v>467.4347444838323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10.310093208368524</v>
      </c>
      <c r="L48" s="5">
        <f t="shared" si="3"/>
        <v>27.37753796356342</v>
      </c>
      <c r="N48" s="11">
        <f>IF(+B48&gt;Title_RESULTS!$H$9+Title_RESULTS!$C$19-1,0,+'Value of Defferal'!N47*(1+'Value of Defferal'!$F$7))</f>
        <v>0.17460389696993983</v>
      </c>
      <c r="O48" s="5">
        <f t="shared" si="7"/>
        <v>28.591332814313088</v>
      </c>
      <c r="P48" s="48">
        <f t="shared" si="4"/>
        <v>75.92174810964659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170.18483426490158</v>
      </c>
      <c r="E49" s="11">
        <f>IF(B49&gt;Title_RESULTS!$H$8-1+Title_RESULTS!$C$18,0,+E48*(1+$F$7))</f>
        <v>0.17051161813470686</v>
      </c>
      <c r="F49" s="9">
        <f t="shared" si="1"/>
        <v>478.65317835144424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9.927373305926498</v>
      </c>
      <c r="L49" s="5">
        <f t="shared" si="3"/>
        <v>26.361259211591214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163.62387184717002</v>
      </c>
      <c r="E50" s="11">
        <f>IF(B50&gt;Title_RESULTS!$H$8-1+Title_RESULTS!$C$18,0,+E49*(1+$F$7))</f>
        <v>0.17460389696993983</v>
      </c>
      <c r="F50" s="9">
        <f t="shared" si="1"/>
        <v>490.14085463187894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9.544653403484473</v>
      </c>
      <c r="L50" s="5">
        <f t="shared" si="3"/>
        <v>25.344980459619016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157.0629094294385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9.16193350104245</v>
      </c>
      <c r="L51" s="5">
        <f t="shared" si="3"/>
        <v>24.328701707646818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6706.611429187018</v>
      </c>
      <c r="F63" s="9">
        <f>SUM(F23:F61)</f>
        <v>9353.930935730605</v>
      </c>
      <c r="J63" t="s">
        <v>87</v>
      </c>
      <c r="K63" s="9">
        <f>SUM(K23:K61)</f>
        <v>391.216030282105</v>
      </c>
      <c r="O63" s="9">
        <f>SUM(O23:O61)</f>
        <v>545.6418292379136</v>
      </c>
    </row>
    <row r="64" spans="3:15" ht="12.75">
      <c r="C64" t="s">
        <v>89</v>
      </c>
      <c r="D64" s="9">
        <f>NPV(+Title_RESULTS!$C$37,'Value of Defferal'!D24:D61)+'Value of Defferal'!D23</f>
        <v>2994.542564025139</v>
      </c>
      <c r="F64" s="9">
        <f>NPV(+Title_RESULTS!$C$37,'Value of Defferal'!F24:F61)+'Value of Defferal'!F23</f>
        <v>3478.217605162856</v>
      </c>
      <c r="J64" t="s">
        <v>89</v>
      </c>
      <c r="K64" s="9">
        <f>NPV(+Title_RESULTS!$C$37,'Value of Defferal'!K24:K61)+'Value of Defferal'!K23</f>
        <v>174.6803235550987</v>
      </c>
      <c r="O64" s="9">
        <f>NPV(+Title_RESULTS!$C$37,'Value of Defferal'!O24:O61)+'Value of Defferal'!O23</f>
        <v>232.6413831267838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1.527297474321092</v>
      </c>
      <c r="C25" t="s">
        <v>372</v>
      </c>
    </row>
    <row r="26" spans="2:3" ht="18">
      <c r="B26" s="15">
        <f>+((Input!$C$6*'EUE_Line Losses'!C4)+(Input!$C$7*'EUE_Line Losses'!C3))/'EUE_Line Losses'!C22</f>
        <v>1.5223707082748952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4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1.718391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3161.84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1085.01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557.5519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Variable Speed Pool Pump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43599.329527546295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1.718391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1.527297474321092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3349.4067796610175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3161.84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1085.01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557.5519</v>
      </c>
      <c r="D39" s="13" t="s">
        <v>189</v>
      </c>
      <c r="G39" s="20" t="s">
        <v>346</v>
      </c>
      <c r="H39" s="79">
        <f>+'Sheet7(F_23)'!H31</f>
        <v>1.5107256045587196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3727.2876477401974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0.925171850154761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2019-05-14T11:54:32Z</dcterms:created>
  <dcterms:modified xsi:type="dcterms:W3CDTF">2019-05-14T11:54:34Z</dcterms:modified>
  <cp:category/>
  <cp:version/>
  <cp:contentType/>
  <cp:contentStatus/>
</cp:coreProperties>
</file>