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1D2B64DA-0373-4A88-AA2B-28FDC1F725F0}" xr6:coauthVersionLast="44" xr6:coauthVersionMax="44" xr10:uidLastSave="{00000000-0000-0000-0000-000000000000}"/>
  <bookViews>
    <workbookView xWindow="28680" yWindow="-120" windowWidth="29040" windowHeight="15840" xr2:uid="{085480E4-C208-4B0B-A1E6-D920FC5AB9AF}"/>
  </bookViews>
  <sheets>
    <sheet name="42-1E" sheetId="1" r:id="rId1"/>
    <sheet name="42-2E" sheetId="2" r:id="rId2"/>
    <sheet name="42-3E" sheetId="3" r:id="rId3"/>
    <sheet name="42-4E" sheetId="4" r:id="rId4"/>
    <sheet name="42-5E" sheetId="5" r:id="rId5"/>
    <sheet name="42-6E" sheetId="6" r:id="rId6"/>
    <sheet name="42-7E" sheetId="7" r:id="rId7"/>
    <sheet name="42-8_Project 1" sheetId="8" r:id="rId8"/>
    <sheet name="42-8_Project 2" sheetId="9" r:id="rId9"/>
    <sheet name="42-8_Project 3" sheetId="10" r:id="rId10"/>
    <sheet name="42-8_Project 4" sheetId="11" r:id="rId11"/>
    <sheet name="42-8_Project 5" sheetId="12" r:id="rId12"/>
    <sheet name="42-8_Project 6" sheetId="13" r:id="rId13"/>
    <sheet name="42-8 Project_7" sheetId="14" r:id="rId14"/>
    <sheet name="42-8_Project 8" sheetId="15" r:id="rId15"/>
    <sheet name="42-8_Project 9" sheetId="16" r:id="rId16"/>
    <sheet name="42-8_Project 10" sheetId="17" r:id="rId17"/>
    <sheet name="42-8_Project_11" sheetId="18" r:id="rId18"/>
    <sheet name="42-8_Project 12" sheetId="19" r:id="rId19"/>
    <sheet name="42-8_Project 13" sheetId="20" r:id="rId20"/>
    <sheet name="42-8_Project 14" sheetId="21" r:id="rId21"/>
    <sheet name="42-8_Project 15" sheetId="22" r:id="rId22"/>
    <sheet name="42-8_Project 16" sheetId="23" r:id="rId23"/>
    <sheet name="42-8_Project 17" sheetId="24" r:id="rId24"/>
    <sheet name="42-8_Project 18" sheetId="25" r:id="rId25"/>
    <sheet name="42-8_Project 19" sheetId="26" r:id="rId26"/>
    <sheet name="42-8_Project 20" sheetId="27" r:id="rId27"/>
    <sheet name="42-8_Project 21" sheetId="28" r:id="rId28"/>
    <sheet name="42-8_Project 22" sheetId="29" r:id="rId29"/>
    <sheet name="42-8_Project 23" sheetId="30" r:id="rId30"/>
    <sheet name="42-8_Project 24" sheetId="31" r:id="rId31"/>
    <sheet name="42-8_Project 25" sheetId="32" r:id="rId32"/>
    <sheet name="42-8_Project 26" sheetId="33" r:id="rId33"/>
    <sheet name="42-8_Project 27" sheetId="34" r:id="rId34"/>
    <sheet name="42-8_Project_28" sheetId="35" r:id="rId35"/>
    <sheet name="42-8_Project 29" sheetId="36" r:id="rId36"/>
    <sheet name="42-8_Project 30" sheetId="37" r:id="rId37"/>
    <sheet name="42-8_Ann_NOx" sheetId="38" r:id="rId38"/>
    <sheet name="42-8_SO2" sheetId="39" r:id="rId39"/>
    <sheet name="42-8_Seas_NOx" sheetId="40" r:id="rId40"/>
    <sheet name="42-8_Smith Reg Asset" sheetId="41" r:id="rId41"/>
    <sheet name="42-8E Depr Schedule" sheetId="42" r:id="rId42"/>
    <sheet name="42-9E" sheetId="43" r:id="rId43"/>
    <sheet name="42-9E 2" sheetId="44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M" localSheetId="2">'[1]ECCR Expense'!#REF!</definedName>
    <definedName name="\M" localSheetId="42">'[1]ECCR Expense'!#REF!</definedName>
    <definedName name="\M" localSheetId="43">'[2]ECCR Expense'!#REF!</definedName>
    <definedName name="\M">'[1]ECCR Expense'!#REF!</definedName>
    <definedName name="\P" localSheetId="2">'[3]Fuel Sheet'!#REF!</definedName>
    <definedName name="\P" localSheetId="42">'[3]Fuel Sheet'!#REF!</definedName>
    <definedName name="\P" localSheetId="43">'[4]Fuel Sheet'!#REF!</definedName>
    <definedName name="\P">'[3]Fuel Sheet'!#REF!</definedName>
    <definedName name="__123Graph_D" localSheetId="2" hidden="1">#REF!</definedName>
    <definedName name="__123Graph_D" localSheetId="42" hidden="1">#REF!</definedName>
    <definedName name="__123Graph_D" localSheetId="43" hidden="1">#REF!</definedName>
    <definedName name="__123Graph_D" hidden="1">#REF!</definedName>
    <definedName name="_1" localSheetId="2">#REF!</definedName>
    <definedName name="_1" localSheetId="42">#REF!</definedName>
    <definedName name="_1" localSheetId="43">#REF!</definedName>
    <definedName name="_1">#REF!</definedName>
    <definedName name="_1006" localSheetId="42">#REF!</definedName>
    <definedName name="_1006" localSheetId="43">#REF!</definedName>
    <definedName name="_1006">'42-8_Project 1'!$A$62:$Q$115</definedName>
    <definedName name="_1007" localSheetId="13">'42-8 Project_7'!$A$1:$R$56</definedName>
    <definedName name="_1007" localSheetId="42">#REF!</definedName>
    <definedName name="_1007" localSheetId="43">#REF!</definedName>
    <definedName name="_1007">'42-8_Project 6'!$A$1:$R$59</definedName>
    <definedName name="_10A" localSheetId="2">'[1]ECCR Expense'!#REF!</definedName>
    <definedName name="_10A" localSheetId="42">'[1]ECCR Expense'!#REF!</definedName>
    <definedName name="_10A" localSheetId="43">'[2]ECCR Expense'!#REF!</definedName>
    <definedName name="_10A">'[1]ECCR Expense'!#REF!</definedName>
    <definedName name="_10B" localSheetId="2">'[1]ECCR Expense'!#REF!</definedName>
    <definedName name="_10B" localSheetId="42">'[1]ECCR Expense'!#REF!</definedName>
    <definedName name="_10B" localSheetId="43">'[2]ECCR Expense'!#REF!</definedName>
    <definedName name="_10B">'[1]ECCR Expense'!#REF!</definedName>
    <definedName name="_10C" localSheetId="2">'[1]ECCR Expense'!#REF!</definedName>
    <definedName name="_10C" localSheetId="42">'[1]ECCR Expense'!#REF!</definedName>
    <definedName name="_10C" localSheetId="43">'[2]ECCR Expense'!#REF!</definedName>
    <definedName name="_10C">'[1]ECCR Expense'!#REF!</definedName>
    <definedName name="_10D" localSheetId="2">'[1]ECCR Expense'!#REF!</definedName>
    <definedName name="_10D" localSheetId="42">'[1]ECCR Expense'!#REF!</definedName>
    <definedName name="_10D" localSheetId="43">'[2]ECCR Expense'!#REF!</definedName>
    <definedName name="_10D">'[1]ECCR Expense'!#REF!</definedName>
    <definedName name="_10E" localSheetId="2">'[1]ECCR Expense'!#REF!</definedName>
    <definedName name="_10E" localSheetId="43">'[2]ECCR Expense'!#REF!</definedName>
    <definedName name="_10E">'[1]ECCR Expense'!#REF!</definedName>
    <definedName name="_10F" localSheetId="2">'[1]ECCR Expense'!#REF!</definedName>
    <definedName name="_10F" localSheetId="43">'[2]ECCR Expense'!#REF!</definedName>
    <definedName name="_10F">'[1]ECCR Expense'!#REF!</definedName>
    <definedName name="_10H" localSheetId="2">'[1]ECCR Expense'!#REF!</definedName>
    <definedName name="_10H" localSheetId="43">'[2]ECCR Expense'!#REF!</definedName>
    <definedName name="_10H">'[1]ECCR Expense'!#REF!</definedName>
    <definedName name="_10I" localSheetId="2">'[1]ECCR Expense'!#REF!</definedName>
    <definedName name="_10I" localSheetId="43">'[2]ECCR Expense'!#REF!</definedName>
    <definedName name="_10I">'[1]ECCR Expense'!#REF!</definedName>
    <definedName name="_10J" localSheetId="2">'[1]ECCR Expense'!#REF!</definedName>
    <definedName name="_10J" localSheetId="43">'[2]ECCR Expense'!#REF!</definedName>
    <definedName name="_10J">'[1]ECCR Expense'!#REF!</definedName>
    <definedName name="_10K" localSheetId="2">'[1]ECCR Expense'!#REF!</definedName>
    <definedName name="_10K" localSheetId="43">'[2]ECCR Expense'!#REF!</definedName>
    <definedName name="_10K">'[1]ECCR Expense'!#REF!</definedName>
    <definedName name="_10L" localSheetId="2">'[1]ECCR Expense'!#REF!</definedName>
    <definedName name="_10L" localSheetId="43">'[2]ECCR Expense'!#REF!</definedName>
    <definedName name="_10L">'[1]ECCR Expense'!#REF!</definedName>
    <definedName name="_10M" localSheetId="2">'[1]ECCR Expense'!#REF!</definedName>
    <definedName name="_10M" localSheetId="43">'[2]ECCR Expense'!#REF!</definedName>
    <definedName name="_10M">'[1]ECCR Expense'!#REF!</definedName>
    <definedName name="_10N" localSheetId="2">'[1]ECCR Expense'!#REF!</definedName>
    <definedName name="_10N" localSheetId="43">'[2]ECCR Expense'!#REF!</definedName>
    <definedName name="_10N">'[1]ECCR Expense'!#REF!</definedName>
    <definedName name="_10O" localSheetId="2">'[1]ECCR Expense'!#REF!</definedName>
    <definedName name="_10O" localSheetId="43">'[2]ECCR Expense'!#REF!</definedName>
    <definedName name="_10O">'[1]ECCR Expense'!#REF!</definedName>
    <definedName name="_11A" localSheetId="2">'[1]ECCR Expense'!#REF!</definedName>
    <definedName name="_11A" localSheetId="43">'[2]ECCR Expense'!#REF!</definedName>
    <definedName name="_11A">'[1]ECCR Expense'!#REF!</definedName>
    <definedName name="_11B" localSheetId="2">'[1]ECCR Expense'!#REF!</definedName>
    <definedName name="_11B" localSheetId="43">'[2]ECCR Expense'!#REF!</definedName>
    <definedName name="_11B">'[1]ECCR Expense'!#REF!</definedName>
    <definedName name="_11C" localSheetId="2">'[1]ECCR Expense'!#REF!</definedName>
    <definedName name="_11C" localSheetId="43">'[2]ECCR Expense'!#REF!</definedName>
    <definedName name="_11C">'[1]ECCR Expense'!#REF!</definedName>
    <definedName name="_11D" localSheetId="2">'[1]ECCR Expense'!#REF!</definedName>
    <definedName name="_11D" localSheetId="43">'[2]ECCR Expense'!#REF!</definedName>
    <definedName name="_11D">'[1]ECCR Expense'!#REF!</definedName>
    <definedName name="_11E" localSheetId="2">'[1]ECCR Expense'!#REF!</definedName>
    <definedName name="_11E" localSheetId="43">'[2]ECCR Expense'!#REF!</definedName>
    <definedName name="_11E">'[1]ECCR Expense'!#REF!</definedName>
    <definedName name="_11F" localSheetId="2">'[1]ECCR Expense'!#REF!</definedName>
    <definedName name="_11F" localSheetId="43">'[2]ECCR Expense'!#REF!</definedName>
    <definedName name="_11F">'[1]ECCR Expense'!#REF!</definedName>
    <definedName name="_11H" localSheetId="2">'[1]ECCR Expense'!#REF!</definedName>
    <definedName name="_11H" localSheetId="43">'[2]ECCR Expense'!#REF!</definedName>
    <definedName name="_11H">'[1]ECCR Expense'!#REF!</definedName>
    <definedName name="_11I" localSheetId="2">'[1]ECCR Expense'!#REF!</definedName>
    <definedName name="_11I" localSheetId="43">'[2]ECCR Expense'!#REF!</definedName>
    <definedName name="_11I">'[1]ECCR Expense'!#REF!</definedName>
    <definedName name="_11J" localSheetId="2">'[1]ECCR Expense'!#REF!</definedName>
    <definedName name="_11J" localSheetId="43">'[2]ECCR Expense'!#REF!</definedName>
    <definedName name="_11J">'[1]ECCR Expense'!#REF!</definedName>
    <definedName name="_11K" localSheetId="2">'[1]ECCR Expense'!#REF!</definedName>
    <definedName name="_11K" localSheetId="43">'[2]ECCR Expense'!#REF!</definedName>
    <definedName name="_11K">'[1]ECCR Expense'!#REF!</definedName>
    <definedName name="_11L" localSheetId="2">'[1]ECCR Expense'!#REF!</definedName>
    <definedName name="_11L" localSheetId="43">'[2]ECCR Expense'!#REF!</definedName>
    <definedName name="_11L">'[1]ECCR Expense'!#REF!</definedName>
    <definedName name="_11M" localSheetId="2">'[1]ECCR Expense'!#REF!</definedName>
    <definedName name="_11M" localSheetId="43">'[2]ECCR Expense'!#REF!</definedName>
    <definedName name="_11M">'[1]ECCR Expense'!#REF!</definedName>
    <definedName name="_11N" localSheetId="2">'[1]ECCR Expense'!#REF!</definedName>
    <definedName name="_11N" localSheetId="43">'[2]ECCR Expense'!#REF!</definedName>
    <definedName name="_11N">'[1]ECCR Expense'!#REF!</definedName>
    <definedName name="_11O" localSheetId="2">'[1]ECCR Expense'!#REF!</definedName>
    <definedName name="_11O" localSheetId="43">'[2]ECCR Expense'!#REF!</definedName>
    <definedName name="_11O">'[1]ECCR Expense'!#REF!</definedName>
    <definedName name="_1218" localSheetId="42">#REF!</definedName>
    <definedName name="_1218" localSheetId="43">#REF!</definedName>
    <definedName name="_1218">'42-8_Project 23'!$A$1:$Q$59</definedName>
    <definedName name="_1227" localSheetId="42">#REF!</definedName>
    <definedName name="_1227" localSheetId="43">#REF!</definedName>
    <definedName name="_1227">'42-8_Project 24'!$A$1:$Q$61</definedName>
    <definedName name="_1228" localSheetId="19">'42-8_Project 13'!$A$1:$R$58</definedName>
    <definedName name="_1228" localSheetId="32">'42-8_Project 26'!$A$1:$R$60</definedName>
    <definedName name="_1228" localSheetId="33">'42-8_Project 27'!$A$1:$R$59</definedName>
    <definedName name="_1228" localSheetId="35">'42-8_Project 29'!$A$1:$R$59</definedName>
    <definedName name="_1228" localSheetId="36">'42-8_Project 30'!$A$1:$R$58</definedName>
    <definedName name="_1228" localSheetId="34">'42-8_Project_28'!$A$1:$R$60</definedName>
    <definedName name="_1228" localSheetId="42">#REF!</definedName>
    <definedName name="_1228" localSheetId="43">#REF!</definedName>
    <definedName name="_1228">'42-8_Project 3'!$A$1:$R$58</definedName>
    <definedName name="_1232" localSheetId="42">#REF!</definedName>
    <definedName name="_1232" localSheetId="43">#REF!</definedName>
    <definedName name="_1232">'42-8_Project 8'!$A$1:$R$58</definedName>
    <definedName name="_1248" localSheetId="42">#REF!</definedName>
    <definedName name="_1248" localSheetId="43">#REF!</definedName>
    <definedName name="_1248">'42-8_Project 9'!$A$1:$R$58</definedName>
    <definedName name="_1270" localSheetId="42">#REF!</definedName>
    <definedName name="_1270" localSheetId="43">#REF!</definedName>
    <definedName name="_1270">'42-8_Project 10'!$A$1:$R$59</definedName>
    <definedName name="_1271" localSheetId="26">'42-8_Project 20'!$A$1:$R$56</definedName>
    <definedName name="_1271" localSheetId="42">#REF!</definedName>
    <definedName name="_1271" localSheetId="43">#REF!</definedName>
    <definedName name="_1271">'42-8_Project_11'!$A$1:$R$60</definedName>
    <definedName name="_1272" localSheetId="42">#REF!</definedName>
    <definedName name="_1272" localSheetId="43">#REF!</definedName>
    <definedName name="_1272">'42-8_Project 20'!$A$1:$Q$58</definedName>
    <definedName name="_1275" localSheetId="27">'42-8_Project 21'!$A$1:$R$57</definedName>
    <definedName name="_1275" localSheetId="42">#REF!</definedName>
    <definedName name="_1275" localSheetId="43">#REF!</definedName>
    <definedName name="_1275">'42-8_Project 12'!$A$1:$R$58</definedName>
    <definedName name="_1280" localSheetId="0">#REF!</definedName>
    <definedName name="_1280" localSheetId="1">#REF!</definedName>
    <definedName name="_1280" localSheetId="2">#REF!</definedName>
    <definedName name="_1280" localSheetId="42">#REF!</definedName>
    <definedName name="_1280" localSheetId="43">#REF!</definedName>
    <definedName name="_1280">'42-8_Project 27'!$A$1:$Q$60</definedName>
    <definedName name="_1297" localSheetId="42">#REF!</definedName>
    <definedName name="_1297" localSheetId="43">#REF!</definedName>
    <definedName name="_1297">'42-8_Project 21'!$A$1:$R$59</definedName>
    <definedName name="_12A" localSheetId="2">'[1]ECCR Expense'!#REF!</definedName>
    <definedName name="_12A" localSheetId="42">'[1]ECCR Expense'!#REF!</definedName>
    <definedName name="_12A" localSheetId="43">'[2]ECCR Expense'!#REF!</definedName>
    <definedName name="_12A">'[1]ECCR Expense'!#REF!</definedName>
    <definedName name="_12B" localSheetId="2">'[1]ECCR Expense'!#REF!</definedName>
    <definedName name="_12B" localSheetId="42">'[1]ECCR Expense'!#REF!</definedName>
    <definedName name="_12B" localSheetId="43">'[2]ECCR Expense'!#REF!</definedName>
    <definedName name="_12B">'[1]ECCR Expense'!#REF!</definedName>
    <definedName name="_12C" localSheetId="2">'[1]ECCR Expense'!#REF!</definedName>
    <definedName name="_12C" localSheetId="42">'[1]ECCR Expense'!#REF!</definedName>
    <definedName name="_12C" localSheetId="43">'[2]ECCR Expense'!#REF!</definedName>
    <definedName name="_12C">'[1]ECCR Expense'!#REF!</definedName>
    <definedName name="_12D" localSheetId="2">'[1]ECCR Expense'!#REF!</definedName>
    <definedName name="_12D" localSheetId="42">'[1]ECCR Expense'!#REF!</definedName>
    <definedName name="_12D" localSheetId="43">'[2]ECCR Expense'!#REF!</definedName>
    <definedName name="_12D">'[1]ECCR Expense'!#REF!</definedName>
    <definedName name="_12E" localSheetId="2">'[1]ECCR Expense'!#REF!</definedName>
    <definedName name="_12E" localSheetId="43">'[2]ECCR Expense'!#REF!</definedName>
    <definedName name="_12E">'[1]ECCR Expense'!#REF!</definedName>
    <definedName name="_12F" localSheetId="2">'[1]ECCR Expense'!#REF!</definedName>
    <definedName name="_12F" localSheetId="43">'[2]ECCR Expense'!#REF!</definedName>
    <definedName name="_12F">'[1]ECCR Expense'!#REF!</definedName>
    <definedName name="_12H" localSheetId="2">'[1]ECCR Expense'!#REF!</definedName>
    <definedName name="_12H" localSheetId="43">'[2]ECCR Expense'!#REF!</definedName>
    <definedName name="_12H">'[1]ECCR Expense'!#REF!</definedName>
    <definedName name="_12I" localSheetId="2">'[1]ECCR Expense'!#REF!</definedName>
    <definedName name="_12I" localSheetId="43">'[2]ECCR Expense'!#REF!</definedName>
    <definedName name="_12I">'[1]ECCR Expense'!#REF!</definedName>
    <definedName name="_12J" localSheetId="2">'[1]ECCR Expense'!#REF!</definedName>
    <definedName name="_12J" localSheetId="43">'[2]ECCR Expense'!#REF!</definedName>
    <definedName name="_12J">'[1]ECCR Expense'!#REF!</definedName>
    <definedName name="_12K" localSheetId="2">'[1]ECCR Expense'!#REF!</definedName>
    <definedName name="_12K" localSheetId="43">'[2]ECCR Expense'!#REF!</definedName>
    <definedName name="_12K">'[1]ECCR Expense'!#REF!</definedName>
    <definedName name="_12L" localSheetId="2">'[1]ECCR Expense'!#REF!</definedName>
    <definedName name="_12L" localSheetId="43">'[2]ECCR Expense'!#REF!</definedName>
    <definedName name="_12L">'[1]ECCR Expense'!#REF!</definedName>
    <definedName name="_12M" localSheetId="2">'[1]ECCR Expense'!#REF!</definedName>
    <definedName name="_12M" localSheetId="43">'[2]ECCR Expense'!#REF!</definedName>
    <definedName name="_12M">'[1]ECCR Expense'!#REF!</definedName>
    <definedName name="_12MECCRPPCCOUR" localSheetId="2">#REF!</definedName>
    <definedName name="_12MECCRPPCCOUR" localSheetId="42">#REF!</definedName>
    <definedName name="_12MECCRPPCCOUR" localSheetId="43">#REF!</definedName>
    <definedName name="_12MECCRPPCCOUR">#REF!</definedName>
    <definedName name="_12MECCRPPCCREV" localSheetId="2">#REF!</definedName>
    <definedName name="_12MECCRPPCCREV" localSheetId="42">#REF!</definedName>
    <definedName name="_12MECCRPPCCREV" localSheetId="43">#REF!</definedName>
    <definedName name="_12MECCRPPCCREV">#REF!</definedName>
    <definedName name="_12MECOALLOW" localSheetId="2">#REF!</definedName>
    <definedName name="_12MECOALLOW" localSheetId="42">#REF!</definedName>
    <definedName name="_12MECOALLOW" localSheetId="43">#REF!</definedName>
    <definedName name="_12MECOALLOW">#REF!</definedName>
    <definedName name="_12MECODEV" localSheetId="2">#REF!</definedName>
    <definedName name="_12MECODEV" localSheetId="42">#REF!</definedName>
    <definedName name="_12MECODEV" localSheetId="43">#REF!</definedName>
    <definedName name="_12MECODEV">#REF!</definedName>
    <definedName name="_12MFFEXP" localSheetId="2">#REF!</definedName>
    <definedName name="_12MFFEXP" localSheetId="42">#REF!</definedName>
    <definedName name="_12MFFEXP" localSheetId="43">#REF!</definedName>
    <definedName name="_12MFFEXP">#REF!</definedName>
    <definedName name="_12MINDDUES" localSheetId="2">#REF!</definedName>
    <definedName name="_12MINDDUES" localSheetId="42">#REF!</definedName>
    <definedName name="_12MINDDUES" localSheetId="43">#REF!</definedName>
    <definedName name="_12MINDDUES">#REF!</definedName>
    <definedName name="_12MINTTAXADJ" localSheetId="2">#REF!</definedName>
    <definedName name="_12MINTTAXADJ" localSheetId="42">#REF!</definedName>
    <definedName name="_12MINTTAXADJ" localSheetId="43">#REF!</definedName>
    <definedName name="_12MINTTAXADJ">#REF!</definedName>
    <definedName name="_12MMGT" localSheetId="2">#REF!</definedName>
    <definedName name="_12MMGT" localSheetId="42">#REF!</definedName>
    <definedName name="_12MMGT" localSheetId="43">#REF!</definedName>
    <definedName name="_12MMGT">#REF!</definedName>
    <definedName name="_12MMMREF" localSheetId="2">#REF!</definedName>
    <definedName name="_12MMMREF" localSheetId="42">#REF!</definedName>
    <definedName name="_12MMMREF" localSheetId="43">#REF!</definedName>
    <definedName name="_12MMMREF">#REF!</definedName>
    <definedName name="_12MNUTAL" localSheetId="2">#REF!</definedName>
    <definedName name="_12MNUTAL" localSheetId="42">#REF!</definedName>
    <definedName name="_12MNUTAL" localSheetId="43">#REF!</definedName>
    <definedName name="_12MNUTAL">#REF!</definedName>
    <definedName name="_12MNVHO_M" localSheetId="2">#REF!</definedName>
    <definedName name="_12MNVHO_M" localSheetId="42">#REF!</definedName>
    <definedName name="_12MNVHO_M" localSheetId="43">#REF!</definedName>
    <definedName name="_12MNVHO_M">#REF!</definedName>
    <definedName name="_12MOUPSINT" localSheetId="2">#REF!</definedName>
    <definedName name="_12MOUPSINT" localSheetId="42">#REF!</definedName>
    <definedName name="_12MOUPSINT" localSheetId="43">#REF!</definedName>
    <definedName name="_12MOUPSINT">#REF!</definedName>
    <definedName name="_12MPERKS" localSheetId="2">#REF!</definedName>
    <definedName name="_12MPERKS" localSheetId="42">#REF!</definedName>
    <definedName name="_12MPERKS" localSheetId="43">#REF!</definedName>
    <definedName name="_12MPERKS">#REF!</definedName>
    <definedName name="_12MPPCCTX" localSheetId="2">#REF!</definedName>
    <definedName name="_12MPPCCTX" localSheetId="42">#REF!</definedName>
    <definedName name="_12MPPCCTX" localSheetId="43">#REF!</definedName>
    <definedName name="_12MPPCCTX">#REF!</definedName>
    <definedName name="_12MTDBRR" localSheetId="2">#REF!</definedName>
    <definedName name="_12MTDBRR" localSheetId="42">#REF!</definedName>
    <definedName name="_12MTDBRR" localSheetId="43">#REF!</definedName>
    <definedName name="_12MTDBRR">#REF!</definedName>
    <definedName name="_12MTDCONSREV" localSheetId="2">#REF!</definedName>
    <definedName name="_12MTDCONSREV" localSheetId="42">#REF!</definedName>
    <definedName name="_12MTDCONSREV" localSheetId="43">#REF!</definedName>
    <definedName name="_12MTDCONSREV">#REF!</definedName>
    <definedName name="_12MTDCRTX" localSheetId="2">#REF!</definedName>
    <definedName name="_12MTDCRTX" localSheetId="42">#REF!</definedName>
    <definedName name="_12MTDCRTX" localSheetId="43">#REF!</definedName>
    <definedName name="_12MTDCRTX">#REF!</definedName>
    <definedName name="_12MTDFFR" localSheetId="2">#REF!</definedName>
    <definedName name="_12MTDFFR" localSheetId="42">#REF!</definedName>
    <definedName name="_12MTDFFR" localSheetId="43">#REF!</definedName>
    <definedName name="_12MTDFFR">#REF!</definedName>
    <definedName name="_12MTDFRFEE" localSheetId="2">#REF!</definedName>
    <definedName name="_12MTDFRFEE" localSheetId="42">#REF!</definedName>
    <definedName name="_12MTDFRFEE" localSheetId="43">#REF!</definedName>
    <definedName name="_12MTDFRFEE">#REF!</definedName>
    <definedName name="_12MTDJURFE" localSheetId="2">#REF!</definedName>
    <definedName name="_12MTDJURFE" localSheetId="42">#REF!</definedName>
    <definedName name="_12MTDJURFE" localSheetId="43">#REF!</definedName>
    <definedName name="_12MTDJURFE">#REF!</definedName>
    <definedName name="_12MTDMMEXP" localSheetId="2">#REF!</definedName>
    <definedName name="_12MTDMMEXP" localSheetId="42">#REF!</definedName>
    <definedName name="_12MTDMMEXP" localSheetId="43">#REF!</definedName>
    <definedName name="_12MTDMMEXP">#REF!</definedName>
    <definedName name="_12MTDNFR" localSheetId="2">#REF!</definedName>
    <definedName name="_12MTDNFR" localSheetId="42">#REF!</definedName>
    <definedName name="_12MTDNFR" localSheetId="43">#REF!</definedName>
    <definedName name="_12MTDNFR">#REF!</definedName>
    <definedName name="_12MTDOOR" localSheetId="2">#REF!</definedName>
    <definedName name="_12MTDOOR" localSheetId="42">#REF!</definedName>
    <definedName name="_12MTDOOR" localSheetId="43">#REF!</definedName>
    <definedName name="_12MTDOOR">#REF!</definedName>
    <definedName name="_12MTDORREV" localSheetId="2">#REF!</definedName>
    <definedName name="_12MTDORREV" localSheetId="42">#REF!</definedName>
    <definedName name="_12MTDORREV" localSheetId="43">#REF!</definedName>
    <definedName name="_12MTDORREV">#REF!</definedName>
    <definedName name="_12MTDPPCCOUR" localSheetId="2">#REF!</definedName>
    <definedName name="_12MTDPPCCOUR" localSheetId="42">#REF!</definedName>
    <definedName name="_12MTDPPCCOUR" localSheetId="43">#REF!</definedName>
    <definedName name="_12MTDPPCCOUR">#REF!</definedName>
    <definedName name="_12MTDPPCCREV" localSheetId="2">#REF!</definedName>
    <definedName name="_12MTDPPCCREV" localSheetId="42">#REF!</definedName>
    <definedName name="_12MTDPPCCREV" localSheetId="43">#REF!</definedName>
    <definedName name="_12MTDPPCCREV">#REF!</definedName>
    <definedName name="_12MTDRET" localSheetId="2">#REF!</definedName>
    <definedName name="_12MTDRET" localSheetId="42">#REF!</definedName>
    <definedName name="_12MTDRET" localSheetId="43">#REF!</definedName>
    <definedName name="_12MTDRET">#REF!</definedName>
    <definedName name="_12MTDRETFC" localSheetId="2">#REF!</definedName>
    <definedName name="_12MTDRETFC" localSheetId="42">#REF!</definedName>
    <definedName name="_12MTDRETFC" localSheetId="43">#REF!</definedName>
    <definedName name="_12MTDRETFC">#REF!</definedName>
    <definedName name="_12MTDREVTX" localSheetId="2">#REF!</definedName>
    <definedName name="_12MTDREVTX" localSheetId="42">#REF!</definedName>
    <definedName name="_12MTDREVTX" localSheetId="43">#REF!</definedName>
    <definedName name="_12MTDREVTX">#REF!</definedName>
    <definedName name="_12MTDROE" localSheetId="2">#REF!</definedName>
    <definedName name="_12MTDROE" localSheetId="42">#REF!</definedName>
    <definedName name="_12MTDROE" localSheetId="43">#REF!</definedName>
    <definedName name="_12MTDROE">#REF!</definedName>
    <definedName name="_12MTDSCHE" localSheetId="2">#REF!</definedName>
    <definedName name="_12MTDSCHE" localSheetId="42">#REF!</definedName>
    <definedName name="_12MTDSCHE" localSheetId="43">#REF!</definedName>
    <definedName name="_12MTDSCHE">#REF!</definedName>
    <definedName name="_12MTDTFE" localSheetId="2">#REF!</definedName>
    <definedName name="_12MTDTFE" localSheetId="42">#REF!</definedName>
    <definedName name="_12MTDTFE" localSheetId="43">#REF!</definedName>
    <definedName name="_12MTDTFE">#REF!</definedName>
    <definedName name="_12MTDTNF" localSheetId="2">#REF!</definedName>
    <definedName name="_12MTDTNF" localSheetId="42">#REF!</definedName>
    <definedName name="_12MTDTNF" localSheetId="43">#REF!</definedName>
    <definedName name="_12MTDTNF">#REF!</definedName>
    <definedName name="_12MTDUPS" localSheetId="2">#REF!</definedName>
    <definedName name="_12MTDUPS" localSheetId="42">#REF!</definedName>
    <definedName name="_12MTDUPS" localSheetId="43">#REF!</definedName>
    <definedName name="_12MTDUPS">#REF!</definedName>
    <definedName name="_12MTDUPSFRE" localSheetId="2">#REF!</definedName>
    <definedName name="_12MTDUPSFRE" localSheetId="42">#REF!</definedName>
    <definedName name="_12MTDUPSFRE" localSheetId="43">#REF!</definedName>
    <definedName name="_12MTDUPSFRE">#REF!</definedName>
    <definedName name="_12MTDUPSNF" localSheetId="2">#REF!</definedName>
    <definedName name="_12MTDUPSNF" localSheetId="42">#REF!</definedName>
    <definedName name="_12MTDUPSNF" localSheetId="43">#REF!</definedName>
    <definedName name="_12MTDUPSNF">#REF!</definedName>
    <definedName name="_12MTDWHOL" localSheetId="2">#REF!</definedName>
    <definedName name="_12MTDWHOL" localSheetId="42">#REF!</definedName>
    <definedName name="_12MTDWHOL" localSheetId="43">#REF!</definedName>
    <definedName name="_12MTDWHOL">#REF!</definedName>
    <definedName name="_12MTDWSFR" localSheetId="2">#REF!</definedName>
    <definedName name="_12MTDWSFR" localSheetId="42">#REF!</definedName>
    <definedName name="_12MTDWSFR" localSheetId="43">#REF!</definedName>
    <definedName name="_12MTDWSFR">#REF!</definedName>
    <definedName name="_12MUOREXP" localSheetId="2">#REF!</definedName>
    <definedName name="_12MUOREXP" localSheetId="42">#REF!</definedName>
    <definedName name="_12MUOREXP" localSheetId="43">#REF!</definedName>
    <definedName name="_12MUOREXP">#REF!</definedName>
    <definedName name="_12N" localSheetId="2">'[1]ECCR Expense'!#REF!</definedName>
    <definedName name="_12N" localSheetId="42">'[1]ECCR Expense'!#REF!</definedName>
    <definedName name="_12N" localSheetId="43">'[2]ECCR Expense'!#REF!</definedName>
    <definedName name="_12N">'[1]ECCR Expense'!#REF!</definedName>
    <definedName name="_12O" localSheetId="2">'[1]ECCR Expense'!#REF!</definedName>
    <definedName name="_12O" localSheetId="42">'[1]ECCR Expense'!#REF!</definedName>
    <definedName name="_12O" localSheetId="43">'[2]ECCR Expense'!#REF!</definedName>
    <definedName name="_12O">'[1]ECCR Expense'!#REF!</definedName>
    <definedName name="_13M_A_D3FL" localSheetId="2">#REF!</definedName>
    <definedName name="_13M_A_D3FL" localSheetId="42">#REF!</definedName>
    <definedName name="_13M_A_D3FL" localSheetId="43">#REF!</definedName>
    <definedName name="_13M_A_D3FL">#REF!</definedName>
    <definedName name="_13MA3ITC" localSheetId="2">#REF!</definedName>
    <definedName name="_13MA3ITC" localSheetId="42">#REF!</definedName>
    <definedName name="_13MA3ITC" localSheetId="43">#REF!</definedName>
    <definedName name="_13MA3ITC">#REF!</definedName>
    <definedName name="_13MA4ITC" localSheetId="2">#REF!</definedName>
    <definedName name="_13MA4ITC" localSheetId="42">#REF!</definedName>
    <definedName name="_13MA4ITC" localSheetId="43">#REF!</definedName>
    <definedName name="_13MA4ITC">#REF!</definedName>
    <definedName name="_13MAACCD" localSheetId="2">#REF!</definedName>
    <definedName name="_13MAACCD" localSheetId="42">#REF!</definedName>
    <definedName name="_13MAACCD" localSheetId="43">#REF!</definedName>
    <definedName name="_13MAACCD">#REF!</definedName>
    <definedName name="_13MAAPWR" localSheetId="2">#REF!</definedName>
    <definedName name="_13MAAPWR" localSheetId="42">#REF!</definedName>
    <definedName name="_13MAAPWR" localSheetId="43">#REF!</definedName>
    <definedName name="_13MAAPWR">#REF!</definedName>
    <definedName name="_13MAB" localSheetId="2">#REF!</definedName>
    <definedName name="_13MAB" localSheetId="42">#REF!</definedName>
    <definedName name="_13MAB" localSheetId="43">#REF!</definedName>
    <definedName name="_13MAB">#REF!</definedName>
    <definedName name="_13MAC_AA" localSheetId="2">#REF!</definedName>
    <definedName name="_13MAC_AA" localSheetId="42">#REF!</definedName>
    <definedName name="_13MAC_AA" localSheetId="43">#REF!</definedName>
    <definedName name="_13MAC_AA">#REF!</definedName>
    <definedName name="_13MACA" localSheetId="2">#REF!</definedName>
    <definedName name="_13MACA" localSheetId="42">#REF!</definedName>
    <definedName name="_13MACA" localSheetId="43">#REF!</definedName>
    <definedName name="_13MACA">#REF!</definedName>
    <definedName name="_13MACASH" localSheetId="2">#REF!</definedName>
    <definedName name="_13MACASH" localSheetId="42">#REF!</definedName>
    <definedName name="_13MACASH" localSheetId="43">#REF!</definedName>
    <definedName name="_13MACASH">#REF!</definedName>
    <definedName name="_13MACD" localSheetId="2">#REF!</definedName>
    <definedName name="_13MACD" localSheetId="42">#REF!</definedName>
    <definedName name="_13MACD" localSheetId="43">#REF!</definedName>
    <definedName name="_13MACD">#REF!</definedName>
    <definedName name="_13MACDD" localSheetId="2">#REF!</definedName>
    <definedName name="_13MACDD" localSheetId="42">#REF!</definedName>
    <definedName name="_13MACDD" localSheetId="43">#REF!</definedName>
    <definedName name="_13MACDD">#REF!</definedName>
    <definedName name="_13MACDP" localSheetId="2">#REF!</definedName>
    <definedName name="_13MACDP" localSheetId="42">#REF!</definedName>
    <definedName name="_13MACDP" localSheetId="43">#REF!</definedName>
    <definedName name="_13MACDP">#REF!</definedName>
    <definedName name="_13MACEQ" localSheetId="2">#REF!</definedName>
    <definedName name="_13MACEQ" localSheetId="42">#REF!</definedName>
    <definedName name="_13MACEQ" localSheetId="43">#REF!</definedName>
    <definedName name="_13MACEQ">#REF!</definedName>
    <definedName name="_13MACL" localSheetId="2">#REF!</definedName>
    <definedName name="_13MACL" localSheetId="42">#REF!</definedName>
    <definedName name="_13MACL" localSheetId="43">#REF!</definedName>
    <definedName name="_13MACL">#REF!</definedName>
    <definedName name="_13MACVS_E" localSheetId="2">#REF!</definedName>
    <definedName name="_13MACVS_E" localSheetId="42">#REF!</definedName>
    <definedName name="_13MACVS_E" localSheetId="43">#REF!</definedName>
    <definedName name="_13MACVS_E">#REF!</definedName>
    <definedName name="_13MACWIP" localSheetId="2">#REF!</definedName>
    <definedName name="_13MACWIP" localSheetId="42">#REF!</definedName>
    <definedName name="_13MACWIP" localSheetId="43">#REF!</definedName>
    <definedName name="_13MACWIP">#REF!</definedName>
    <definedName name="_13MADANIEL" localSheetId="2">#REF!</definedName>
    <definedName name="_13MADANIEL" localSheetId="42">#REF!</definedName>
    <definedName name="_13MADANIEL" localSheetId="43">#REF!</definedName>
    <definedName name="_13MADANIEL">#REF!</definedName>
    <definedName name="_13MADCCDEPR" localSheetId="2">#REF!</definedName>
    <definedName name="_13MADCCDEPR" localSheetId="42">#REF!</definedName>
    <definedName name="_13MADCCDEPR" localSheetId="43">#REF!</definedName>
    <definedName name="_13MADCCDEPR">#REF!</definedName>
    <definedName name="_13MADECTRAN" localSheetId="2">#REF!</definedName>
    <definedName name="_13MADECTRAN" localSheetId="42">#REF!</definedName>
    <definedName name="_13MADECTRAN" localSheetId="43">#REF!</definedName>
    <definedName name="_13MADECTRAN">#REF!</definedName>
    <definedName name="_13MADFTX" localSheetId="2">#REF!</definedName>
    <definedName name="_13MADFTX" localSheetId="42">#REF!</definedName>
    <definedName name="_13MADFTX" localSheetId="43">#REF!</definedName>
    <definedName name="_13MADFTX">#REF!</definedName>
    <definedName name="_13MAFCOR" localSheetId="2">#REF!</definedName>
    <definedName name="_13MAFCOR" localSheetId="42">#REF!</definedName>
    <definedName name="_13MAFCOR" localSheetId="43">#REF!</definedName>
    <definedName name="_13MAFCOR">#REF!</definedName>
    <definedName name="_13MAFS_UT" localSheetId="2">#REF!</definedName>
    <definedName name="_13MAFS_UT" localSheetId="42">#REF!</definedName>
    <definedName name="_13MAFS_UT" localSheetId="43">#REF!</definedName>
    <definedName name="_13MAFS_UT">#REF!</definedName>
    <definedName name="_13MAFUEL" localSheetId="2">#REF!</definedName>
    <definedName name="_13MAFUEL" localSheetId="42">#REF!</definedName>
    <definedName name="_13MAFUEL" localSheetId="43">#REF!</definedName>
    <definedName name="_13MAFUEL">#REF!</definedName>
    <definedName name="_13MAI_DA" localSheetId="2">#REF!</definedName>
    <definedName name="_13MAI_DA" localSheetId="42">#REF!</definedName>
    <definedName name="_13MAI_DA" localSheetId="43">#REF!</definedName>
    <definedName name="_13MAI_DA">#REF!</definedName>
    <definedName name="_13MAIDCC" localSheetId="2">#REF!</definedName>
    <definedName name="_13MAIDCC" localSheetId="42">#REF!</definedName>
    <definedName name="_13MAIDCC" localSheetId="43">#REF!</definedName>
    <definedName name="_13MAIDCC">#REF!</definedName>
    <definedName name="_13MAIDREC" localSheetId="2">#REF!</definedName>
    <definedName name="_13MAIDREC" localSheetId="42">#REF!</definedName>
    <definedName name="_13MAIDREC" localSheetId="43">#REF!</definedName>
    <definedName name="_13MAIDREC">#REF!</definedName>
    <definedName name="_13MAINTBCWIP" localSheetId="2">#REF!</definedName>
    <definedName name="_13MAINTBCWIP" localSheetId="42">#REF!</definedName>
    <definedName name="_13MAINTBCWIP" localSheetId="43">#REF!</definedName>
    <definedName name="_13MAINTBCWIP">#REF!</definedName>
    <definedName name="_13MAINVEN" localSheetId="2">#REF!</definedName>
    <definedName name="_13MAINVEN" localSheetId="42">#REF!</definedName>
    <definedName name="_13MAINVEN" localSheetId="43">#REF!</definedName>
    <definedName name="_13MAINVEN">#REF!</definedName>
    <definedName name="_13MAITLP" localSheetId="2">#REF!</definedName>
    <definedName name="_13MAITLP" localSheetId="42">#REF!</definedName>
    <definedName name="_13MAITLP" localSheetId="43">#REF!</definedName>
    <definedName name="_13MAITLP">#REF!</definedName>
    <definedName name="_13MALLDEPR" localSheetId="2">#REF!</definedName>
    <definedName name="_13MALLDEPR" localSheetId="42">#REF!</definedName>
    <definedName name="_13MALLDEPR" localSheetId="43">#REF!</definedName>
    <definedName name="_13MALLDEPR">#REF!</definedName>
    <definedName name="_13MALLNIBCWIP" localSheetId="2">#REF!</definedName>
    <definedName name="_13MALLNIBCWIP" localSheetId="42">#REF!</definedName>
    <definedName name="_13MALLNIBCWIP" localSheetId="43">#REF!</definedName>
    <definedName name="_13MALLNIBCWIP">#REF!</definedName>
    <definedName name="_13MALLPIS" localSheetId="2">#REF!</definedName>
    <definedName name="_13MALLPIS" localSheetId="42">#REF!</definedName>
    <definedName name="_13MALLPIS" localSheetId="43">#REF!</definedName>
    <definedName name="_13MALLPIS">#REF!</definedName>
    <definedName name="_13MALM" localSheetId="2">#REF!</definedName>
    <definedName name="_13MALM" localSheetId="42">#REF!</definedName>
    <definedName name="_13MALM" localSheetId="43">#REF!</definedName>
    <definedName name="_13MALM">#REF!</definedName>
    <definedName name="_13MALOANS" localSheetId="2">#REF!</definedName>
    <definedName name="_13MALOANS" localSheetId="42">#REF!</definedName>
    <definedName name="_13MALOANS" localSheetId="43">#REF!</definedName>
    <definedName name="_13MALOANS">#REF!</definedName>
    <definedName name="_13MALTDDST" localSheetId="2">#REF!</definedName>
    <definedName name="_13MALTDDST" localSheetId="42">#REF!</definedName>
    <definedName name="_13MALTDDST" localSheetId="43">#REF!</definedName>
    <definedName name="_13MALTDDST">#REF!</definedName>
    <definedName name="_13MAMONSANTO" localSheetId="2">#REF!</definedName>
    <definedName name="_13MAMONSANTO" localSheetId="42">#REF!</definedName>
    <definedName name="_13MAMONSANTO" localSheetId="43">#REF!</definedName>
    <definedName name="_13MAMONSANTO">#REF!</definedName>
    <definedName name="_13MANB" localSheetId="2">#REF!</definedName>
    <definedName name="_13MANB" localSheetId="42">#REF!</definedName>
    <definedName name="_13MANB" localSheetId="43">#REF!</definedName>
    <definedName name="_13MANB">#REF!</definedName>
    <definedName name="_13MANNUP" localSheetId="2">#REF!</definedName>
    <definedName name="_13MANNUP" localSheetId="42">#REF!</definedName>
    <definedName name="_13MANNUP" localSheetId="43">#REF!</definedName>
    <definedName name="_13MANNUP">#REF!</definedName>
    <definedName name="_13MANOTE" localSheetId="2">#REF!</definedName>
    <definedName name="_13MANOTE" localSheetId="42">#REF!</definedName>
    <definedName name="_13MANOTE" localSheetId="43">#REF!</definedName>
    <definedName name="_13MANOTE">#REF!</definedName>
    <definedName name="_13MAODC" localSheetId="2">#REF!</definedName>
    <definedName name="_13MAODC" localSheetId="42">#REF!</definedName>
    <definedName name="_13MAODC" localSheetId="43">#REF!</definedName>
    <definedName name="_13MAODC">#REF!</definedName>
    <definedName name="_13MAOTHER" localSheetId="2">#REF!</definedName>
    <definedName name="_13MAOTHER" localSheetId="42">#REF!</definedName>
    <definedName name="_13MAOTHER" localSheetId="43">#REF!</definedName>
    <definedName name="_13MAOTHER">#REF!</definedName>
    <definedName name="_13MAOTWC" localSheetId="2">#REF!</definedName>
    <definedName name="_13MAOTWC" localSheetId="42">#REF!</definedName>
    <definedName name="_13MAOTWC" localSheetId="43">#REF!</definedName>
    <definedName name="_13MAOTWC">#REF!</definedName>
    <definedName name="_13MAP_BRES" localSheetId="2">#REF!</definedName>
    <definedName name="_13MAP_BRES" localSheetId="42">#REF!</definedName>
    <definedName name="_13MAP_BRES" localSheetId="43">#REF!</definedName>
    <definedName name="_13MAP_BRES">#REF!</definedName>
    <definedName name="_13MAPHFU" localSheetId="2">#REF!</definedName>
    <definedName name="_13MAPHFU" localSheetId="42">#REF!</definedName>
    <definedName name="_13MAPHFU" localSheetId="43">#REF!</definedName>
    <definedName name="_13MAPHFU">#REF!</definedName>
    <definedName name="_13MAPIR" localSheetId="2">#REF!</definedName>
    <definedName name="_13MAPIR" localSheetId="42">#REF!</definedName>
    <definedName name="_13MAPIR" localSheetId="43">#REF!</definedName>
    <definedName name="_13MAPIR">#REF!</definedName>
    <definedName name="_13MAPIS" localSheetId="2">#REF!</definedName>
    <definedName name="_13MAPIS" localSheetId="42">#REF!</definedName>
    <definedName name="_13MAPIS" localSheetId="43">#REF!</definedName>
    <definedName name="_13MAPIS">#REF!</definedName>
    <definedName name="_13MAPIS3FL" localSheetId="2">#REF!</definedName>
    <definedName name="_13MAPIS3FL" localSheetId="42">#REF!</definedName>
    <definedName name="_13MAPIS3FL" localSheetId="43">#REF!</definedName>
    <definedName name="_13MAPIS3FL">#REF!</definedName>
    <definedName name="_13MAPREPY" localSheetId="2">#REF!</definedName>
    <definedName name="_13MAPREPY" localSheetId="42">#REF!</definedName>
    <definedName name="_13MAPREPY" localSheetId="43">#REF!</definedName>
    <definedName name="_13MAPREPY">#REF!</definedName>
    <definedName name="_13MAPRSK" localSheetId="2">#REF!</definedName>
    <definedName name="_13MAPRSK" localSheetId="42">#REF!</definedName>
    <definedName name="_13MAPRSK" localSheetId="43">#REF!</definedName>
    <definedName name="_13MAPRSK">#REF!</definedName>
    <definedName name="_13MAPS_I" localSheetId="2">#REF!</definedName>
    <definedName name="_13MAPS_I" localSheetId="42">#REF!</definedName>
    <definedName name="_13MAPS_I" localSheetId="43">#REF!</definedName>
    <definedName name="_13MAPS_I">#REF!</definedName>
    <definedName name="_13MAPSUAP" localSheetId="2">#REF!</definedName>
    <definedName name="_13MAPSUAP" localSheetId="42">#REF!</definedName>
    <definedName name="_13MAPSUAP" localSheetId="43">#REF!</definedName>
    <definedName name="_13MAPSUAP">#REF!</definedName>
    <definedName name="_13MAREC" localSheetId="2">#REF!</definedName>
    <definedName name="_13MAREC" localSheetId="42">#REF!</definedName>
    <definedName name="_13MAREC" localSheetId="43">#REF!</definedName>
    <definedName name="_13MAREC">#REF!</definedName>
    <definedName name="_13MASCH_A_D" localSheetId="2">#REF!</definedName>
    <definedName name="_13MASCH_A_D" localSheetId="42">#REF!</definedName>
    <definedName name="_13MASCH_A_D" localSheetId="43">#REF!</definedName>
    <definedName name="_13MASCH_A_D">#REF!</definedName>
    <definedName name="_13MASCHBUY" localSheetId="2">#REF!</definedName>
    <definedName name="_13MASCHBUY" localSheetId="42">#REF!</definedName>
    <definedName name="_13MASCHBUY" localSheetId="43">#REF!</definedName>
    <definedName name="_13MASCHBUY">#REF!</definedName>
    <definedName name="_13MASCHINV" localSheetId="2">#REF!</definedName>
    <definedName name="_13MASCHINV" localSheetId="42">#REF!</definedName>
    <definedName name="_13MASCHINV" localSheetId="43">#REF!</definedName>
    <definedName name="_13MASCHINV">#REF!</definedName>
    <definedName name="_13MASEPTRAN" localSheetId="2">#REF!</definedName>
    <definedName name="_13MASEPTRAN" localSheetId="42">#REF!</definedName>
    <definedName name="_13MASEPTRAN" localSheetId="43">#REF!</definedName>
    <definedName name="_13MASEPTRAN">#REF!</definedName>
    <definedName name="_13MASO2A" localSheetId="2">#REF!</definedName>
    <definedName name="_13MASO2A" localSheetId="42">#REF!</definedName>
    <definedName name="_13MASO2A" localSheetId="43">#REF!</definedName>
    <definedName name="_13MASO2A">#REF!</definedName>
    <definedName name="_13MASO2CR" localSheetId="2">#REF!</definedName>
    <definedName name="_13MASO2CR" localSheetId="42">#REF!</definedName>
    <definedName name="_13MASO2CR" localSheetId="43">#REF!</definedName>
    <definedName name="_13MASO2CR">#REF!</definedName>
    <definedName name="_13MASTD" localSheetId="2">#REF!</definedName>
    <definedName name="_13MASTD" localSheetId="42">#REF!</definedName>
    <definedName name="_13MASTD" localSheetId="43">#REF!</definedName>
    <definedName name="_13MASTD">#REF!</definedName>
    <definedName name="_13MATD" localSheetId="2">#REF!</definedName>
    <definedName name="_13MATD" localSheetId="42">#REF!</definedName>
    <definedName name="_13MATD" localSheetId="43">#REF!</definedName>
    <definedName name="_13MATD">#REF!</definedName>
    <definedName name="_13MAUDR" localSheetId="2">#REF!</definedName>
    <definedName name="_13MAUDR" localSheetId="42">#REF!</definedName>
    <definedName name="_13MAUDR" localSheetId="43">#REF!</definedName>
    <definedName name="_13MAUDR">#REF!</definedName>
    <definedName name="_13MAUNCOL" localSheetId="2">#REF!</definedName>
    <definedName name="_13MAUNCOL" localSheetId="42">#REF!</definedName>
    <definedName name="_13MAUNCOL" localSheetId="43">#REF!</definedName>
    <definedName name="_13MAUNCOL">#REF!</definedName>
    <definedName name="_13MAUNS" localSheetId="2">#REF!</definedName>
    <definedName name="_13MAUNS" localSheetId="42">#REF!</definedName>
    <definedName name="_13MAUNS" localSheetId="43">#REF!</definedName>
    <definedName name="_13MAUNS">#REF!</definedName>
    <definedName name="_13MAUPIS" localSheetId="2">#REF!</definedName>
    <definedName name="_13MAUPIS" localSheetId="42">#REF!</definedName>
    <definedName name="_13MAUPIS" localSheetId="43">#REF!</definedName>
    <definedName name="_13MAUPIS">#REF!</definedName>
    <definedName name="_13MAWCDIS" localSheetId="2">#REF!</definedName>
    <definedName name="_13MAWCDIS" localSheetId="42">#REF!</definedName>
    <definedName name="_13MAWCDIS" localSheetId="43">#REF!</definedName>
    <definedName name="_13MAWCDIS">#REF!</definedName>
    <definedName name="_13MBUSDEVA_D" localSheetId="2">#REF!</definedName>
    <definedName name="_13MBUSDEVA_D" localSheetId="42">#REF!</definedName>
    <definedName name="_13MBUSDEVA_D" localSheetId="43">#REF!</definedName>
    <definedName name="_13MBUSDEVA_D">#REF!</definedName>
    <definedName name="_13MBUSDVINV" localSheetId="2">#REF!</definedName>
    <definedName name="_13MBUSDVINV" localSheetId="42">#REF!</definedName>
    <definedName name="_13MBUSDVINV" localSheetId="43">#REF!</definedName>
    <definedName name="_13MBUSDVINV">#REF!</definedName>
    <definedName name="_13MNVYHSA_D" localSheetId="2">#REF!</definedName>
    <definedName name="_13MNVYHSA_D" localSheetId="42">#REF!</definedName>
    <definedName name="_13MNVYHSA_D" localSheetId="43">#REF!</definedName>
    <definedName name="_13MNVYHSA_D">#REF!</definedName>
    <definedName name="_13MNVYHSINV" localSheetId="2">#REF!</definedName>
    <definedName name="_13MNVYHSINV" localSheetId="42">#REF!</definedName>
    <definedName name="_13MNVYHSINV" localSheetId="43">#REF!</definedName>
    <definedName name="_13MNVYHSINV">#REF!</definedName>
    <definedName name="_13MUPST" localSheetId="2">#REF!</definedName>
    <definedName name="_13MUPST" localSheetId="42">#REF!</definedName>
    <definedName name="_13MUPST" localSheetId="43">#REF!</definedName>
    <definedName name="_13MUPST">#REF!</definedName>
    <definedName name="_13NUTAD" localSheetId="2">#REF!</definedName>
    <definedName name="_13NUTAD" localSheetId="42">#REF!</definedName>
    <definedName name="_13NUTAD" localSheetId="43">#REF!</definedName>
    <definedName name="_13NUTAD">#REF!</definedName>
    <definedName name="_13NUTPS" localSheetId="2">#REF!</definedName>
    <definedName name="_13NUTPS" localSheetId="42">#REF!</definedName>
    <definedName name="_13NUTPS" localSheetId="43">#REF!</definedName>
    <definedName name="_13NUTPS">#REF!</definedName>
    <definedName name="_13PBCB" localSheetId="2">#REF!</definedName>
    <definedName name="_13PBCB" localSheetId="42">#REF!</definedName>
    <definedName name="_13PBCB" localSheetId="43">#REF!</definedName>
    <definedName name="_13PBCB">#REF!</definedName>
    <definedName name="_13PBEQUITY" localSheetId="2">#REF!</definedName>
    <definedName name="_13PBEQUITY" localSheetId="42">#REF!</definedName>
    <definedName name="_13PBEQUITY" localSheetId="43">#REF!</definedName>
    <definedName name="_13PBEQUITY">#REF!</definedName>
    <definedName name="_13PBSTDT" localSheetId="2">#REF!</definedName>
    <definedName name="_13PBSTDT" localSheetId="42">#REF!</definedName>
    <definedName name="_13PBSTDT" localSheetId="43">#REF!</definedName>
    <definedName name="_13PBSTDT">#REF!</definedName>
    <definedName name="_13PHFUSODFM" localSheetId="2">#REF!</definedName>
    <definedName name="_13PHFUSODFM" localSheetId="42">#REF!</definedName>
    <definedName name="_13PHFUSODFM" localSheetId="43">#REF!</definedName>
    <definedName name="_13PHFUSODFM">#REF!</definedName>
    <definedName name="_1413" localSheetId="42">#REF!</definedName>
    <definedName name="_1413" localSheetId="43">#REF!</definedName>
    <definedName name="_1413">'42-8_Project 13'!$A$1:$R$60</definedName>
    <definedName name="_1446" localSheetId="42">#REF!</definedName>
    <definedName name="_1446" localSheetId="43">#REF!</definedName>
    <definedName name="_1446">'42-8_Project 14'!$A$1:$R$58</definedName>
    <definedName name="_1461" localSheetId="42">#REF!</definedName>
    <definedName name="_1461" localSheetId="43">#REF!</definedName>
    <definedName name="_1461">'42-8_Project 22'!$A$61:$Q$112</definedName>
    <definedName name="_1462" localSheetId="42">#REF!</definedName>
    <definedName name="_1462" localSheetId="43">#REF!</definedName>
    <definedName name="_1462">'42-8_Project 22'!$A$1:$Q$61</definedName>
    <definedName name="_1466" localSheetId="42">#REF!</definedName>
    <definedName name="_1466" localSheetId="43">#REF!</definedName>
    <definedName name="_1466">'42-8_Project 15'!$A$64:$R$118</definedName>
    <definedName name="_1535" localSheetId="23">'42-8_Project 17'!$A$1:$R$57</definedName>
    <definedName name="_1535" localSheetId="42">#REF!</definedName>
    <definedName name="_1535" localSheetId="43">#REF!</definedName>
    <definedName name="_1535">'42-8_Project 16'!$A$1:$R$59</definedName>
    <definedName name="_1620" localSheetId="42">#REF!</definedName>
    <definedName name="_1620" localSheetId="43">#REF!</definedName>
    <definedName name="_1620">'42-8_Project 17'!$A$1:$R$59</definedName>
    <definedName name="_1658" localSheetId="42">#REF!</definedName>
    <definedName name="_1658" localSheetId="43">#REF!</definedName>
    <definedName name="_1658">'42-8_Project 5'!$A$1534:$Q$1594</definedName>
    <definedName name="_1A" localSheetId="2">'[1]ECCR Expense'!#REF!</definedName>
    <definedName name="_1A" localSheetId="42">'[1]ECCR Expense'!#REF!</definedName>
    <definedName name="_1A" localSheetId="43">'[2]ECCR Expense'!#REF!</definedName>
    <definedName name="_1A">'[1]ECCR Expense'!#REF!</definedName>
    <definedName name="_1B" localSheetId="2">'[1]ECCR Expense'!#REF!</definedName>
    <definedName name="_1B" localSheetId="42">'[1]ECCR Expense'!#REF!</definedName>
    <definedName name="_1B" localSheetId="43">'[2]ECCR Expense'!#REF!</definedName>
    <definedName name="_1B">'[1]ECCR Expense'!#REF!</definedName>
    <definedName name="_1C" localSheetId="2">'[1]ECCR Expense'!#REF!</definedName>
    <definedName name="_1C" localSheetId="42">'[1]ECCR Expense'!#REF!</definedName>
    <definedName name="_1C" localSheetId="43">'[2]ECCR Expense'!#REF!</definedName>
    <definedName name="_1C">'[1]ECCR Expense'!#REF!</definedName>
    <definedName name="_1D" localSheetId="2">'[1]ECCR Expense'!#REF!</definedName>
    <definedName name="_1D" localSheetId="42">'[1]ECCR Expense'!#REF!</definedName>
    <definedName name="_1D" localSheetId="43">'[2]ECCR Expense'!#REF!</definedName>
    <definedName name="_1D">'[1]ECCR Expense'!#REF!</definedName>
    <definedName name="_1E" localSheetId="2">#REF!</definedName>
    <definedName name="_1E" localSheetId="42">#REF!</definedName>
    <definedName name="_1E" localSheetId="43">#REF!</definedName>
    <definedName name="_1E">#REF!</definedName>
    <definedName name="_1EDET" localSheetId="2">#REF!</definedName>
    <definedName name="_1EDET" localSheetId="42">#REF!</definedName>
    <definedName name="_1EDET" localSheetId="43">#REF!</definedName>
    <definedName name="_1EDET">#REF!</definedName>
    <definedName name="_1F" localSheetId="2">'[1]ECCR Expense'!#REF!</definedName>
    <definedName name="_1F" localSheetId="42">'[1]ECCR Expense'!#REF!</definedName>
    <definedName name="_1F" localSheetId="43">'[2]ECCR Expense'!#REF!</definedName>
    <definedName name="_1F">'[1]ECCR Expense'!#REF!</definedName>
    <definedName name="_1H" localSheetId="2">'[1]ECCR Expense'!#REF!</definedName>
    <definedName name="_1H" localSheetId="42">'[1]ECCR Expense'!#REF!</definedName>
    <definedName name="_1H" localSheetId="43">'[2]ECCR Expense'!#REF!</definedName>
    <definedName name="_1H">'[1]ECCR Expense'!#REF!</definedName>
    <definedName name="_1I" localSheetId="2">'[1]ECCR Expense'!#REF!</definedName>
    <definedName name="_1I" localSheetId="42">'[1]ECCR Expense'!#REF!</definedName>
    <definedName name="_1I" localSheetId="43">'[2]ECCR Expense'!#REF!</definedName>
    <definedName name="_1I">'[1]ECCR Expense'!#REF!</definedName>
    <definedName name="_1J" localSheetId="2">'[1]ECCR Expense'!#REF!</definedName>
    <definedName name="_1J" localSheetId="42">'[1]ECCR Expense'!#REF!</definedName>
    <definedName name="_1J" localSheetId="43">'[2]ECCR Expense'!#REF!</definedName>
    <definedName name="_1J">'[1]ECCR Expense'!#REF!</definedName>
    <definedName name="_1K" localSheetId="2">'[1]ECCR Expense'!#REF!</definedName>
    <definedName name="_1K" localSheetId="43">'[2]ECCR Expense'!#REF!</definedName>
    <definedName name="_1K">'[1]ECCR Expense'!#REF!</definedName>
    <definedName name="_1L" localSheetId="2">'[1]ECCR Expense'!#REF!</definedName>
    <definedName name="_1L" localSheetId="43">'[2]ECCR Expense'!#REF!</definedName>
    <definedName name="_1L">'[1]ECCR Expense'!#REF!</definedName>
    <definedName name="_1M" localSheetId="2">'[1]ECCR Expense'!#REF!</definedName>
    <definedName name="_1M" localSheetId="43">'[2]ECCR Expense'!#REF!</definedName>
    <definedName name="_1M">'[1]ECCR Expense'!#REF!</definedName>
    <definedName name="_1N" localSheetId="2">'[1]ECCR Expense'!#REF!</definedName>
    <definedName name="_1N" localSheetId="43">'[2]ECCR Expense'!#REF!</definedName>
    <definedName name="_1N">'[1]ECCR Expense'!#REF!</definedName>
    <definedName name="_1O" localSheetId="2">'[1]ECCR Expense'!#REF!</definedName>
    <definedName name="_1O" localSheetId="43">'[2]ECCR Expense'!#REF!</definedName>
    <definedName name="_1O">'[1]ECCR Expense'!#REF!</definedName>
    <definedName name="_1PSUMM" localSheetId="2">#REF!</definedName>
    <definedName name="_1PSUMM" localSheetId="42">#REF!</definedName>
    <definedName name="_1PSUMM" localSheetId="43">#REF!</definedName>
    <definedName name="_1PSUMM">#REF!</definedName>
    <definedName name="_2" localSheetId="2">#REF!</definedName>
    <definedName name="_2" localSheetId="42">#REF!</definedName>
    <definedName name="_2" localSheetId="43">#REF!</definedName>
    <definedName name="_2">#REF!</definedName>
    <definedName name="_2A" localSheetId="2">'[1]ECCR Expense'!#REF!</definedName>
    <definedName name="_2A" localSheetId="42">'[1]ECCR Expense'!#REF!</definedName>
    <definedName name="_2A" localSheetId="43">'[2]ECCR Expense'!#REF!</definedName>
    <definedName name="_2A">'[1]ECCR Expense'!#REF!</definedName>
    <definedName name="_2B" localSheetId="2">'[1]ECCR Expense'!#REF!</definedName>
    <definedName name="_2B" localSheetId="42">'[1]ECCR Expense'!#REF!</definedName>
    <definedName name="_2B" localSheetId="43">'[2]ECCR Expense'!#REF!</definedName>
    <definedName name="_2B">'[1]ECCR Expense'!#REF!</definedName>
    <definedName name="_2C" localSheetId="2">'[1]ECCR Expense'!#REF!</definedName>
    <definedName name="_2C" localSheetId="42">'[1]ECCR Expense'!#REF!</definedName>
    <definedName name="_2C" localSheetId="43">'[2]ECCR Expense'!#REF!</definedName>
    <definedName name="_2C">'[1]ECCR Expense'!#REF!</definedName>
    <definedName name="_2D" localSheetId="2">'[1]ECCR Expense'!#REF!</definedName>
    <definedName name="_2D" localSheetId="42">'[1]ECCR Expense'!#REF!</definedName>
    <definedName name="_2D" localSheetId="43">'[2]ECCR Expense'!#REF!</definedName>
    <definedName name="_2D">'[1]ECCR Expense'!#REF!</definedName>
    <definedName name="_2E" localSheetId="2">'[1]ECCR Expense'!#REF!</definedName>
    <definedName name="_2E" localSheetId="43">'[2]ECCR Expense'!#REF!</definedName>
    <definedName name="_2E">'[1]ECCR Expense'!#REF!</definedName>
    <definedName name="_2EDet" localSheetId="2">#REF!</definedName>
    <definedName name="_2EDet" localSheetId="42">#REF!</definedName>
    <definedName name="_2EDet" localSheetId="43">#REF!</definedName>
    <definedName name="_2EDet">#REF!</definedName>
    <definedName name="_2edetail" localSheetId="2">'[6]2POM'!#REF!</definedName>
    <definedName name="_2edetail" localSheetId="42">'[6]2POM'!#REF!</definedName>
    <definedName name="_2edetail" localSheetId="43">'[6]2POM'!#REF!</definedName>
    <definedName name="_2edetail">'[6]2POM'!#REF!</definedName>
    <definedName name="_2ESUMM" localSheetId="2">#REF!</definedName>
    <definedName name="_2ESUMM" localSheetId="42">#REF!</definedName>
    <definedName name="_2ESUMM" localSheetId="43">#REF!</definedName>
    <definedName name="_2ESUMM">#REF!</definedName>
    <definedName name="_2F" localSheetId="2">'[1]ECCR Expense'!#REF!</definedName>
    <definedName name="_2F" localSheetId="42">'[1]ECCR Expense'!#REF!</definedName>
    <definedName name="_2F" localSheetId="43">'[2]ECCR Expense'!#REF!</definedName>
    <definedName name="_2F">'[1]ECCR Expense'!#REF!</definedName>
    <definedName name="_2H" localSheetId="2">'[1]ECCR Expense'!#REF!</definedName>
    <definedName name="_2H" localSheetId="42">'[1]ECCR Expense'!#REF!</definedName>
    <definedName name="_2H" localSheetId="43">'[2]ECCR Expense'!#REF!</definedName>
    <definedName name="_2H">'[1]ECCR Expense'!#REF!</definedName>
    <definedName name="_2I" localSheetId="2">'[1]ECCR Expense'!#REF!</definedName>
    <definedName name="_2I" localSheetId="43">'[2]ECCR Expense'!#REF!</definedName>
    <definedName name="_2I">'[1]ECCR Expense'!#REF!</definedName>
    <definedName name="_2J" localSheetId="2">'[1]ECCR Expense'!#REF!</definedName>
    <definedName name="_2J" localSheetId="43">'[2]ECCR Expense'!#REF!</definedName>
    <definedName name="_2J">'[1]ECCR Expense'!#REF!</definedName>
    <definedName name="_2K" localSheetId="2">'[1]ECCR Expense'!#REF!</definedName>
    <definedName name="_2K" localSheetId="43">'[2]ECCR Expense'!#REF!</definedName>
    <definedName name="_2K">'[1]ECCR Expense'!#REF!</definedName>
    <definedName name="_2L" localSheetId="2">'[1]ECCR Expense'!#REF!</definedName>
    <definedName name="_2L" localSheetId="43">'[2]ECCR Expense'!#REF!</definedName>
    <definedName name="_2L">'[1]ECCR Expense'!#REF!</definedName>
    <definedName name="_2M" localSheetId="2">'[1]ECCR Expense'!#REF!</definedName>
    <definedName name="_2M" localSheetId="43">'[2]ECCR Expense'!#REF!</definedName>
    <definedName name="_2M">'[1]ECCR Expense'!#REF!</definedName>
    <definedName name="_2N" localSheetId="2">'[1]ECCR Expense'!#REF!</definedName>
    <definedName name="_2N" localSheetId="43">'[2]ECCR Expense'!#REF!</definedName>
    <definedName name="_2N">'[1]ECCR Expense'!#REF!</definedName>
    <definedName name="_2O" localSheetId="2">'[1]ECCR Expense'!#REF!</definedName>
    <definedName name="_2O" localSheetId="43">'[2]ECCR Expense'!#REF!</definedName>
    <definedName name="_2O">'[1]ECCR Expense'!#REF!</definedName>
    <definedName name="_3" localSheetId="2">#REF!</definedName>
    <definedName name="_3" localSheetId="42">'[1]ECRC O&amp;M'!#REF!</definedName>
    <definedName name="_3" localSheetId="43">'[2]ECRC O&amp;M'!#REF!</definedName>
    <definedName name="_3">#REF!</definedName>
    <definedName name="_3A" localSheetId="2">'[1]ECCR Expense'!#REF!</definedName>
    <definedName name="_3A" localSheetId="42">'[1]ECCR Expense'!#REF!</definedName>
    <definedName name="_3A" localSheetId="43">'[2]ECCR Expense'!#REF!</definedName>
    <definedName name="_3A">'[1]ECCR Expense'!#REF!</definedName>
    <definedName name="_3B" localSheetId="2">'[1]ECCR Expense'!#REF!</definedName>
    <definedName name="_3B" localSheetId="43">'[2]ECCR Expense'!#REF!</definedName>
    <definedName name="_3B">'[1]ECCR Expense'!#REF!</definedName>
    <definedName name="_3C" localSheetId="2">'[1]ECCR Expense'!#REF!</definedName>
    <definedName name="_3C" localSheetId="43">'[2]ECCR Expense'!#REF!</definedName>
    <definedName name="_3C">'[1]ECCR Expense'!#REF!</definedName>
    <definedName name="_3D" localSheetId="2">'[1]ECCR Expense'!#REF!</definedName>
    <definedName name="_3D" localSheetId="43">'[2]ECCR Expense'!#REF!</definedName>
    <definedName name="_3D">'[1]ECCR Expense'!#REF!</definedName>
    <definedName name="_3E" localSheetId="2">'[1]ECCR Expense'!#REF!</definedName>
    <definedName name="_3E" localSheetId="43">'[2]ECCR Expense'!#REF!</definedName>
    <definedName name="_3E">'[1]ECCR Expense'!#REF!</definedName>
    <definedName name="_3EINT" localSheetId="2">#REF!</definedName>
    <definedName name="_3EINT" localSheetId="42">#REF!</definedName>
    <definedName name="_3EINT" localSheetId="43">#REF!</definedName>
    <definedName name="_3EINT">#REF!</definedName>
    <definedName name="_3F" localSheetId="2">'[1]ECCR Expense'!#REF!</definedName>
    <definedName name="_3F" localSheetId="42">'[1]ECCR Expense'!#REF!</definedName>
    <definedName name="_3F" localSheetId="43">'[2]ECCR Expense'!#REF!</definedName>
    <definedName name="_3F">'[1]ECCR Expense'!#REF!</definedName>
    <definedName name="_3H" localSheetId="2">'[1]ECCR Expense'!#REF!</definedName>
    <definedName name="_3H" localSheetId="42">'[1]ECCR Expense'!#REF!</definedName>
    <definedName name="_3H" localSheetId="43">'[2]ECCR Expense'!#REF!</definedName>
    <definedName name="_3H">'[1]ECCR Expense'!#REF!</definedName>
    <definedName name="_3I" localSheetId="2">'[1]ECCR Expense'!#REF!</definedName>
    <definedName name="_3I" localSheetId="43">'[2]ECCR Expense'!#REF!</definedName>
    <definedName name="_3I">'[1]ECCR Expense'!#REF!</definedName>
    <definedName name="_3J" localSheetId="2">'[1]ECCR Expense'!#REF!</definedName>
    <definedName name="_3J" localSheetId="43">'[2]ECCR Expense'!#REF!</definedName>
    <definedName name="_3J">'[1]ECCR Expense'!#REF!</definedName>
    <definedName name="_3K" localSheetId="2">'[1]ECCR Expense'!#REF!</definedName>
    <definedName name="_3K" localSheetId="43">'[2]ECCR Expense'!#REF!</definedName>
    <definedName name="_3K">'[1]ECCR Expense'!#REF!</definedName>
    <definedName name="_3L" localSheetId="2">'[1]ECCR Expense'!#REF!</definedName>
    <definedName name="_3L" localSheetId="43">'[2]ECCR Expense'!#REF!</definedName>
    <definedName name="_3L">'[1]ECCR Expense'!#REF!</definedName>
    <definedName name="_3M" localSheetId="2">'[1]ECCR Expense'!#REF!</definedName>
    <definedName name="_3M" localSheetId="43">'[2]ECCR Expense'!#REF!</definedName>
    <definedName name="_3M">'[1]ECCR Expense'!#REF!</definedName>
    <definedName name="_3N" localSheetId="2">'[1]ECCR Expense'!#REF!</definedName>
    <definedName name="_3N" localSheetId="43">'[2]ECCR Expense'!#REF!</definedName>
    <definedName name="_3N">'[1]ECCR Expense'!#REF!</definedName>
    <definedName name="_3O" localSheetId="2">'[1]ECCR Expense'!#REF!</definedName>
    <definedName name="_3O" localSheetId="43">'[2]ECCR Expense'!#REF!</definedName>
    <definedName name="_3O">'[1]ECCR Expense'!#REF!</definedName>
    <definedName name="_4" localSheetId="2">#REF!</definedName>
    <definedName name="_4" localSheetId="42">'[1]ECRC O&amp;M'!#REF!</definedName>
    <definedName name="_4" localSheetId="43">'[2]ECRC O&amp;M'!#REF!</definedName>
    <definedName name="_4">#REF!</definedName>
    <definedName name="_4397" localSheetId="25">'42-8_Project 19'!$A$1:$R$58</definedName>
    <definedName name="_4397" localSheetId="42">#REF!</definedName>
    <definedName name="_4397" localSheetId="43">#REF!</definedName>
    <definedName name="_4397">'42-8_Project 18'!$A$1:$R$58</definedName>
    <definedName name="_4A" localSheetId="2">'[1]ECCR Expense'!#REF!</definedName>
    <definedName name="_4A" localSheetId="42">'[1]ECCR Expense'!#REF!</definedName>
    <definedName name="_4A" localSheetId="43">'[2]ECCR Expense'!#REF!</definedName>
    <definedName name="_4A">'[1]ECCR Expense'!#REF!</definedName>
    <definedName name="_4B" localSheetId="2">'[1]ECCR Expense'!#REF!</definedName>
    <definedName name="_4B" localSheetId="42">'[1]ECCR Expense'!#REF!</definedName>
    <definedName name="_4B" localSheetId="43">'[2]ECCR Expense'!#REF!</definedName>
    <definedName name="_4B">'[1]ECCR Expense'!#REF!</definedName>
    <definedName name="_4C" localSheetId="2">'[1]ECCR Expense'!#REF!</definedName>
    <definedName name="_4C" localSheetId="42">'[1]ECCR Expense'!#REF!</definedName>
    <definedName name="_4C" localSheetId="43">'[2]ECCR Expense'!#REF!</definedName>
    <definedName name="_4C">'[1]ECCR Expense'!#REF!</definedName>
    <definedName name="_4D" localSheetId="2">'[1]ECCR Expense'!#REF!</definedName>
    <definedName name="_4D" localSheetId="42">'[1]ECCR Expense'!#REF!</definedName>
    <definedName name="_4D" localSheetId="43">'[2]ECCR Expense'!#REF!</definedName>
    <definedName name="_4D">'[1]ECCR Expense'!#REF!</definedName>
    <definedName name="_4E" localSheetId="2">'[1]ECCR Expense'!#REF!</definedName>
    <definedName name="_4E" localSheetId="43">'[2]ECCR Expense'!#REF!</definedName>
    <definedName name="_4E">'[1]ECCR Expense'!#REF!</definedName>
    <definedName name="_4EOMVAR" localSheetId="2">#REF!</definedName>
    <definedName name="_4EOMVAR" localSheetId="42">#REF!</definedName>
    <definedName name="_4EOMVAR" localSheetId="43">#REF!</definedName>
    <definedName name="_4EOMVAR">#REF!</definedName>
    <definedName name="_4F" localSheetId="2">'[1]ECCR Expense'!#REF!</definedName>
    <definedName name="_4F" localSheetId="42">'[1]ECCR Expense'!#REF!</definedName>
    <definedName name="_4F" localSheetId="43">'[2]ECCR Expense'!#REF!</definedName>
    <definedName name="_4F">'[1]ECCR Expense'!#REF!</definedName>
    <definedName name="_4H" localSheetId="2">'[1]ECCR Expense'!#REF!</definedName>
    <definedName name="_4H" localSheetId="42">'[1]ECCR Expense'!#REF!</definedName>
    <definedName name="_4H" localSheetId="43">'[2]ECCR Expense'!#REF!</definedName>
    <definedName name="_4H">'[1]ECCR Expense'!#REF!</definedName>
    <definedName name="_4I" localSheetId="2">'[1]ECCR Expense'!#REF!</definedName>
    <definedName name="_4I" localSheetId="43">'[2]ECCR Expense'!#REF!</definedName>
    <definedName name="_4I">'[1]ECCR Expense'!#REF!</definedName>
    <definedName name="_4J" localSheetId="2">'[1]ECCR Expense'!#REF!</definedName>
    <definedName name="_4J" localSheetId="43">'[2]ECCR Expense'!#REF!</definedName>
    <definedName name="_4J">'[1]ECCR Expense'!#REF!</definedName>
    <definedName name="_4K" localSheetId="2">'[1]ECCR Expense'!#REF!</definedName>
    <definedName name="_4K" localSheetId="43">'[2]ECCR Expense'!#REF!</definedName>
    <definedName name="_4K">'[1]ECCR Expense'!#REF!</definedName>
    <definedName name="_4L" localSheetId="2">'[1]ECCR Expense'!#REF!</definedName>
    <definedName name="_4L" localSheetId="43">'[2]ECCR Expense'!#REF!</definedName>
    <definedName name="_4L">'[1]ECCR Expense'!#REF!</definedName>
    <definedName name="_4M" localSheetId="2">'[1]ECCR Expense'!#REF!</definedName>
    <definedName name="_4M" localSheetId="43">'[2]ECCR Expense'!#REF!</definedName>
    <definedName name="_4M">'[1]ECCR Expense'!#REF!</definedName>
    <definedName name="_4N" localSheetId="2">'[1]ECCR Expense'!#REF!</definedName>
    <definedName name="_4N" localSheetId="43">'[2]ECCR Expense'!#REF!</definedName>
    <definedName name="_4N">'[1]ECCR Expense'!#REF!</definedName>
    <definedName name="_4O" localSheetId="2">'[1]ECCR Expense'!#REF!</definedName>
    <definedName name="_4O" localSheetId="43">'[2]ECCR Expense'!#REF!</definedName>
    <definedName name="_4O">'[1]ECCR Expense'!#REF!</definedName>
    <definedName name="_5" localSheetId="2">#REF!</definedName>
    <definedName name="_5" localSheetId="42">#REF!</definedName>
    <definedName name="_5" localSheetId="43">#REF!</definedName>
    <definedName name="_5">#REF!</definedName>
    <definedName name="_5A" localSheetId="2">'[1]ECCR Expense'!#REF!</definedName>
    <definedName name="_5A" localSheetId="42">'[1]ECCR Expense'!#REF!</definedName>
    <definedName name="_5A" localSheetId="43">'[2]ECCR Expense'!#REF!</definedName>
    <definedName name="_5A">'[1]ECCR Expense'!#REF!</definedName>
    <definedName name="_5B" localSheetId="2">'[1]ECCR Expense'!#REF!</definedName>
    <definedName name="_5B" localSheetId="42">'[1]ECCR Expense'!#REF!</definedName>
    <definedName name="_5B" localSheetId="43">'[2]ECCR Expense'!#REF!</definedName>
    <definedName name="_5B">'[1]ECCR Expense'!#REF!</definedName>
    <definedName name="_5C" localSheetId="2">'[1]ECCR Expense'!#REF!</definedName>
    <definedName name="_5C" localSheetId="43">'[2]ECCR Expense'!#REF!</definedName>
    <definedName name="_5C">'[1]ECCR Expense'!#REF!</definedName>
    <definedName name="_5D" localSheetId="2">'[1]ECCR Expense'!#REF!</definedName>
    <definedName name="_5D" localSheetId="43">'[2]ECCR Expense'!#REF!</definedName>
    <definedName name="_5D">'[1]ECCR Expense'!#REF!</definedName>
    <definedName name="_5E" localSheetId="2">'[1]ECCR Expense'!#REF!</definedName>
    <definedName name="_5E" localSheetId="43">'[2]ECCR Expense'!#REF!</definedName>
    <definedName name="_5E">'[1]ECCR Expense'!#REF!</definedName>
    <definedName name="_5EOM" localSheetId="0">#REF!</definedName>
    <definedName name="_5EOM" localSheetId="1">#REF!</definedName>
    <definedName name="_5EOM" localSheetId="2">#REF!</definedName>
    <definedName name="_5EOM" localSheetId="3">#REF!</definedName>
    <definedName name="_5EOM" localSheetId="5">#REF!</definedName>
    <definedName name="_5EOM" localSheetId="42">#REF!</definedName>
    <definedName name="_5EOM" localSheetId="43">#REF!</definedName>
    <definedName name="_5EOM">'42-5E'!$A$5:$S$53</definedName>
    <definedName name="_5eomdet" localSheetId="2">#REF!</definedName>
    <definedName name="_5eomdet" localSheetId="42">#REF!</definedName>
    <definedName name="_5eomdet" localSheetId="43">#REF!</definedName>
    <definedName name="_5eomdet">#REF!</definedName>
    <definedName name="_5F" localSheetId="2">'[1]ECCR Expense'!#REF!</definedName>
    <definedName name="_5F" localSheetId="42">'[1]ECCR Expense'!#REF!</definedName>
    <definedName name="_5F" localSheetId="43">'[2]ECCR Expense'!#REF!</definedName>
    <definedName name="_5F">'[1]ECCR Expense'!#REF!</definedName>
    <definedName name="_5H" localSheetId="2">'[1]ECCR Expense'!#REF!</definedName>
    <definedName name="_5H" localSheetId="42">'[1]ECCR Expense'!#REF!</definedName>
    <definedName name="_5H" localSheetId="43">'[2]ECCR Expense'!#REF!</definedName>
    <definedName name="_5H">'[1]ECCR Expense'!#REF!</definedName>
    <definedName name="_5I" localSheetId="2">'[1]ECCR Expense'!#REF!</definedName>
    <definedName name="_5I" localSheetId="42">'[1]ECCR Expense'!#REF!</definedName>
    <definedName name="_5I" localSheetId="43">'[2]ECCR Expense'!#REF!</definedName>
    <definedName name="_5I">'[1]ECCR Expense'!#REF!</definedName>
    <definedName name="_5J" localSheetId="2">'[1]ECCR Expense'!#REF!</definedName>
    <definedName name="_5J" localSheetId="42">'[1]ECCR Expense'!#REF!</definedName>
    <definedName name="_5J" localSheetId="43">'[2]ECCR Expense'!#REF!</definedName>
    <definedName name="_5J">'[1]ECCR Expense'!#REF!</definedName>
    <definedName name="_5K" localSheetId="2">'[1]ECCR Expense'!#REF!</definedName>
    <definedName name="_5K" localSheetId="43">'[2]ECCR Expense'!#REF!</definedName>
    <definedName name="_5K">'[1]ECCR Expense'!#REF!</definedName>
    <definedName name="_5L" localSheetId="2">'[1]ECCR Expense'!#REF!</definedName>
    <definedName name="_5L" localSheetId="43">'[2]ECCR Expense'!#REF!</definedName>
    <definedName name="_5L">'[1]ECCR Expense'!#REF!</definedName>
    <definedName name="_5M" localSheetId="2">'[1]ECCR Expense'!#REF!</definedName>
    <definedName name="_5M" localSheetId="43">'[2]ECCR Expense'!#REF!</definedName>
    <definedName name="_5M">'[1]ECCR Expense'!#REF!</definedName>
    <definedName name="_5N" localSheetId="2">'[1]ECCR Expense'!#REF!</definedName>
    <definedName name="_5N" localSheetId="43">'[2]ECCR Expense'!#REF!</definedName>
    <definedName name="_5N">'[1]ECCR Expense'!#REF!</definedName>
    <definedName name="_5O" localSheetId="2">'[1]ECCR Expense'!#REF!</definedName>
    <definedName name="_5O" localSheetId="43">'[2]ECCR Expense'!#REF!</definedName>
    <definedName name="_5O">'[1]ECCR Expense'!#REF!</definedName>
    <definedName name="_6" localSheetId="2">#REF!</definedName>
    <definedName name="_6" localSheetId="42">#REF!</definedName>
    <definedName name="_6" localSheetId="43">#REF!</definedName>
    <definedName name="_6">#REF!</definedName>
    <definedName name="_6A" localSheetId="2">'[1]ECCR Expense'!#REF!</definedName>
    <definedName name="_6A" localSheetId="42">'[1]ECCR Expense'!#REF!</definedName>
    <definedName name="_6A" localSheetId="43">'[2]ECCR Expense'!#REF!</definedName>
    <definedName name="_6A">'[1]ECCR Expense'!#REF!</definedName>
    <definedName name="_6B" localSheetId="2">'[1]ECCR Expense'!#REF!</definedName>
    <definedName name="_6B" localSheetId="43">'[2]ECCR Expense'!#REF!</definedName>
    <definedName name="_6B">'[1]ECCR Expense'!#REF!</definedName>
    <definedName name="_6C" localSheetId="2">'[1]ECCR Expense'!#REF!</definedName>
    <definedName name="_6C" localSheetId="43">'[2]ECCR Expense'!#REF!</definedName>
    <definedName name="_6C">'[1]ECCR Expense'!#REF!</definedName>
    <definedName name="_6D" localSheetId="2">'[1]ECCR Expense'!#REF!</definedName>
    <definedName name="_6D" localSheetId="43">'[2]ECCR Expense'!#REF!</definedName>
    <definedName name="_6D">'[1]ECCR Expense'!#REF!</definedName>
    <definedName name="_6E" localSheetId="2">'[1]ECCR Expense'!#REF!</definedName>
    <definedName name="_6E" localSheetId="43">'[2]ECCR Expense'!#REF!</definedName>
    <definedName name="_6E">'[1]ECCR Expense'!#REF!</definedName>
    <definedName name="_6EINVVAR" localSheetId="2">#REF!</definedName>
    <definedName name="_6EINVVAR" localSheetId="42">#REF!</definedName>
    <definedName name="_6EINVVAR" localSheetId="43">#REF!</definedName>
    <definedName name="_6EINVVAR">#REF!</definedName>
    <definedName name="_6F" localSheetId="2">'[1]ECCR Expense'!#REF!</definedName>
    <definedName name="_6F" localSheetId="42">'[1]ECCR Expense'!#REF!</definedName>
    <definedName name="_6F" localSheetId="43">'[2]ECCR Expense'!#REF!</definedName>
    <definedName name="_6F">'[1]ECCR Expense'!#REF!</definedName>
    <definedName name="_6H" localSheetId="2">'[1]ECCR Expense'!#REF!</definedName>
    <definedName name="_6H" localSheetId="42">'[1]ECCR Expense'!#REF!</definedName>
    <definedName name="_6H" localSheetId="43">'[2]ECCR Expense'!#REF!</definedName>
    <definedName name="_6H">'[1]ECCR Expense'!#REF!</definedName>
    <definedName name="_6I" localSheetId="2">'[1]ECCR Expense'!#REF!</definedName>
    <definedName name="_6I" localSheetId="43">'[2]ECCR Expense'!#REF!</definedName>
    <definedName name="_6I">'[1]ECCR Expense'!#REF!</definedName>
    <definedName name="_6J" localSheetId="2">'[1]ECCR Expense'!#REF!</definedName>
    <definedName name="_6J" localSheetId="43">'[2]ECCR Expense'!#REF!</definedName>
    <definedName name="_6J">'[1]ECCR Expense'!#REF!</definedName>
    <definedName name="_6K" localSheetId="2">'[1]ECCR Expense'!#REF!</definedName>
    <definedName name="_6K" localSheetId="43">'[2]ECCR Expense'!#REF!</definedName>
    <definedName name="_6K">'[1]ECCR Expense'!#REF!</definedName>
    <definedName name="_6L" localSheetId="2">'[1]ECCR Expense'!#REF!</definedName>
    <definedName name="_6L" localSheetId="43">'[2]ECCR Expense'!#REF!</definedName>
    <definedName name="_6L">'[1]ECCR Expense'!#REF!</definedName>
    <definedName name="_6M" localSheetId="2">'[1]ECCR Expense'!#REF!</definedName>
    <definedName name="_6M" localSheetId="43">'[2]ECCR Expense'!#REF!</definedName>
    <definedName name="_6M">'[1]ECCR Expense'!#REF!</definedName>
    <definedName name="_6N" localSheetId="2">'[1]ECCR Expense'!#REF!</definedName>
    <definedName name="_6N" localSheetId="43">'[2]ECCR Expense'!#REF!</definedName>
    <definedName name="_6N">'[1]ECCR Expense'!#REF!</definedName>
    <definedName name="_6O" localSheetId="2">'[1]ECCR Expense'!#REF!</definedName>
    <definedName name="_6O" localSheetId="43">'[2]ECCR Expense'!#REF!</definedName>
    <definedName name="_6O">'[1]ECCR Expense'!#REF!</definedName>
    <definedName name="_6P" localSheetId="2">#REF!</definedName>
    <definedName name="_6P" localSheetId="42">#REF!</definedName>
    <definedName name="_6P" localSheetId="43">#REF!</definedName>
    <definedName name="_6P">#REF!</definedName>
    <definedName name="_7" localSheetId="2">#REF!</definedName>
    <definedName name="_7" localSheetId="42">#REF!</definedName>
    <definedName name="_7" localSheetId="43">#REF!</definedName>
    <definedName name="_7">#REF!</definedName>
    <definedName name="_7A" localSheetId="2">'[1]ECCR Expense'!#REF!</definedName>
    <definedName name="_7A" localSheetId="42">'[1]ECCR Expense'!#REF!</definedName>
    <definedName name="_7A" localSheetId="43">'[2]ECCR Expense'!#REF!</definedName>
    <definedName name="_7A">'[1]ECCR Expense'!#REF!</definedName>
    <definedName name="_7B" localSheetId="2">'[1]ECCR Expense'!#REF!</definedName>
    <definedName name="_7B" localSheetId="42">'[1]ECCR Expense'!#REF!</definedName>
    <definedName name="_7B" localSheetId="43">'[2]ECCR Expense'!#REF!</definedName>
    <definedName name="_7B">'[1]ECCR Expense'!#REF!</definedName>
    <definedName name="_7C" localSheetId="2">'[1]ECCR Expense'!#REF!</definedName>
    <definedName name="_7C" localSheetId="42">'[1]ECCR Expense'!#REF!</definedName>
    <definedName name="_7C" localSheetId="43">'[2]ECCR Expense'!#REF!</definedName>
    <definedName name="_7C">'[1]ECCR Expense'!#REF!</definedName>
    <definedName name="_7D" localSheetId="2">'[1]ECCR Expense'!#REF!</definedName>
    <definedName name="_7D" localSheetId="42">'[1]ECCR Expense'!#REF!</definedName>
    <definedName name="_7D" localSheetId="43">'[2]ECCR Expense'!#REF!</definedName>
    <definedName name="_7D">'[1]ECCR Expense'!#REF!</definedName>
    <definedName name="_7E" localSheetId="2">'[1]ECCR Expense'!#REF!</definedName>
    <definedName name="_7E" localSheetId="43">'[2]ECCR Expense'!#REF!</definedName>
    <definedName name="_7E">'[1]ECCR Expense'!#REF!</definedName>
    <definedName name="_7EINVSUMM" localSheetId="42">#REF!</definedName>
    <definedName name="_7EINVSUMM" localSheetId="43">#REF!</definedName>
    <definedName name="_7EINVSUMM">'42-7E'!$A$1:$R$63</definedName>
    <definedName name="_7F" localSheetId="2">'[1]ECCR Expense'!#REF!</definedName>
    <definedName name="_7F" localSheetId="42">'[1]ECCR Expense'!#REF!</definedName>
    <definedName name="_7F" localSheetId="43">'[2]ECCR Expense'!#REF!</definedName>
    <definedName name="_7F">'[1]ECCR Expense'!#REF!</definedName>
    <definedName name="_7H" localSheetId="2">'[1]ECCR Expense'!#REF!</definedName>
    <definedName name="_7H" localSheetId="42">'[1]ECCR Expense'!#REF!</definedName>
    <definedName name="_7H" localSheetId="43">'[2]ECCR Expense'!#REF!</definedName>
    <definedName name="_7H">'[1]ECCR Expense'!#REF!</definedName>
    <definedName name="_7I" localSheetId="2">'[1]ECCR Expense'!#REF!</definedName>
    <definedName name="_7I" localSheetId="42">'[1]ECCR Expense'!#REF!</definedName>
    <definedName name="_7I" localSheetId="43">'[2]ECCR Expense'!#REF!</definedName>
    <definedName name="_7I">'[1]ECCR Expense'!#REF!</definedName>
    <definedName name="_7J" localSheetId="2">'[1]ECCR Expense'!#REF!</definedName>
    <definedName name="_7J" localSheetId="42">'[1]ECCR Expense'!#REF!</definedName>
    <definedName name="_7J" localSheetId="43">'[2]ECCR Expense'!#REF!</definedName>
    <definedName name="_7J">'[1]ECCR Expense'!#REF!</definedName>
    <definedName name="_7K" localSheetId="2">'[1]ECCR Expense'!#REF!</definedName>
    <definedName name="_7K" localSheetId="43">'[2]ECCR Expense'!#REF!</definedName>
    <definedName name="_7K">'[1]ECCR Expense'!#REF!</definedName>
    <definedName name="_7L" localSheetId="2">'[1]ECCR Expense'!#REF!</definedName>
    <definedName name="_7L" localSheetId="43">'[2]ECCR Expense'!#REF!</definedName>
    <definedName name="_7L">'[1]ECCR Expense'!#REF!</definedName>
    <definedName name="_7M" localSheetId="2">'[1]ECCR Expense'!#REF!</definedName>
    <definedName name="_7M" localSheetId="43">'[2]ECCR Expense'!#REF!</definedName>
    <definedName name="_7M">'[1]ECCR Expense'!#REF!</definedName>
    <definedName name="_7N" localSheetId="2">'[1]ECCR Expense'!#REF!</definedName>
    <definedName name="_7N" localSheetId="43">'[2]ECCR Expense'!#REF!</definedName>
    <definedName name="_7N">'[1]ECCR Expense'!#REF!</definedName>
    <definedName name="_7O" localSheetId="2">'[1]ECCR Expense'!#REF!</definedName>
    <definedName name="_7O" localSheetId="43">'[2]ECCR Expense'!#REF!</definedName>
    <definedName name="_7O">'[1]ECCR Expense'!#REF!</definedName>
    <definedName name="_7P" localSheetId="2">#REF!</definedName>
    <definedName name="_7P" localSheetId="42">#REF!</definedName>
    <definedName name="_7P" localSheetId="43">#REF!</definedName>
    <definedName name="_7P">#REF!</definedName>
    <definedName name="_88TAXREFADJ" localSheetId="2">#REF!</definedName>
    <definedName name="_88TAXREFADJ" localSheetId="42">#REF!</definedName>
    <definedName name="_88TAXREFADJ" localSheetId="43">#REF!</definedName>
    <definedName name="_88TAXREFADJ">#REF!</definedName>
    <definedName name="_8A" localSheetId="2">'[1]ECCR Expense'!#REF!</definedName>
    <definedName name="_8A" localSheetId="42">'[1]ECCR Expense'!#REF!</definedName>
    <definedName name="_8A" localSheetId="43">'[2]ECCR Expense'!#REF!</definedName>
    <definedName name="_8A">'[1]ECCR Expense'!#REF!</definedName>
    <definedName name="_8B" localSheetId="2">'[1]ECCR Expense'!#REF!</definedName>
    <definedName name="_8B" localSheetId="42">'[1]ECCR Expense'!#REF!</definedName>
    <definedName name="_8B" localSheetId="43">'[2]ECCR Expense'!#REF!</definedName>
    <definedName name="_8B">'[1]ECCR Expense'!#REF!</definedName>
    <definedName name="_8C" localSheetId="2">'[1]ECCR Expense'!#REF!</definedName>
    <definedName name="_8C" localSheetId="42">'[1]ECCR Expense'!#REF!</definedName>
    <definedName name="_8C" localSheetId="43">'[2]ECCR Expense'!#REF!</definedName>
    <definedName name="_8C">'[1]ECCR Expense'!#REF!</definedName>
    <definedName name="_8D" localSheetId="2">'[1]ECCR Expense'!#REF!</definedName>
    <definedName name="_8D" localSheetId="42">'[1]ECCR Expense'!#REF!</definedName>
    <definedName name="_8D" localSheetId="43">'[2]ECCR Expense'!#REF!</definedName>
    <definedName name="_8D">'[1]ECCR Expense'!#REF!</definedName>
    <definedName name="_8E" localSheetId="2">'[1]ECCR Expense'!#REF!</definedName>
    <definedName name="_8E" localSheetId="43">'[2]ECCR Expense'!#REF!</definedName>
    <definedName name="_8E">'[1]ECCR Expense'!#REF!</definedName>
    <definedName name="_8F" localSheetId="2">'[1]ECCR Expense'!#REF!</definedName>
    <definedName name="_8F" localSheetId="43">'[2]ECCR Expense'!#REF!</definedName>
    <definedName name="_8F">'[1]ECCR Expense'!#REF!</definedName>
    <definedName name="_8H" localSheetId="2">'[1]ECCR Expense'!#REF!</definedName>
    <definedName name="_8H" localSheetId="43">'[2]ECCR Expense'!#REF!</definedName>
    <definedName name="_8H">'[1]ECCR Expense'!#REF!</definedName>
    <definedName name="_8I" localSheetId="2">'[1]ECCR Expense'!#REF!</definedName>
    <definedName name="_8I" localSheetId="43">'[2]ECCR Expense'!#REF!</definedName>
    <definedName name="_8I">'[1]ECCR Expense'!#REF!</definedName>
    <definedName name="_8J" localSheetId="2">'[1]ECCR Expense'!#REF!</definedName>
    <definedName name="_8J" localSheetId="43">'[2]ECCR Expense'!#REF!</definedName>
    <definedName name="_8J">'[1]ECCR Expense'!#REF!</definedName>
    <definedName name="_8K" localSheetId="2">'[1]ECCR Expense'!#REF!</definedName>
    <definedName name="_8K" localSheetId="43">'[2]ECCR Expense'!#REF!</definedName>
    <definedName name="_8K">'[1]ECCR Expense'!#REF!</definedName>
    <definedName name="_8L" localSheetId="2">'[1]ECCR Expense'!#REF!</definedName>
    <definedName name="_8L" localSheetId="43">'[2]ECCR Expense'!#REF!</definedName>
    <definedName name="_8L">'[1]ECCR Expense'!#REF!</definedName>
    <definedName name="_8M" localSheetId="2">'[1]ECCR Expense'!#REF!</definedName>
    <definedName name="_8M" localSheetId="43">'[2]ECCR Expense'!#REF!</definedName>
    <definedName name="_8M">'[1]ECCR Expense'!#REF!</definedName>
    <definedName name="_8N" localSheetId="2">'[1]ECCR Expense'!#REF!</definedName>
    <definedName name="_8N" localSheetId="43">'[2]ECCR Expense'!#REF!</definedName>
    <definedName name="_8N">'[1]ECCR Expense'!#REF!</definedName>
    <definedName name="_8O" localSheetId="2">'[1]ECCR Expense'!#REF!</definedName>
    <definedName name="_8O" localSheetId="43">'[2]ECCR Expense'!#REF!</definedName>
    <definedName name="_8O">'[1]ECCR Expense'!#REF!</definedName>
    <definedName name="_91SCHRCAP" localSheetId="2">#REF!</definedName>
    <definedName name="_91SCHRCAP" localSheetId="42">#REF!</definedName>
    <definedName name="_91SCHRCAP" localSheetId="43">#REF!</definedName>
    <definedName name="_91SCHRCAP">#REF!</definedName>
    <definedName name="_92SCHRCAP" localSheetId="2">#REF!</definedName>
    <definedName name="_92SCHRCAP" localSheetId="42">#REF!</definedName>
    <definedName name="_92SCHRCAP" localSheetId="43">#REF!</definedName>
    <definedName name="_92SCHRCAP">#REF!</definedName>
    <definedName name="_9A" localSheetId="2">'[1]ECCR Expense'!#REF!</definedName>
    <definedName name="_9A" localSheetId="42">'[1]ECCR Expense'!#REF!</definedName>
    <definedName name="_9A" localSheetId="43">'[2]ECCR Expense'!#REF!</definedName>
    <definedName name="_9A">'[1]ECCR Expense'!#REF!</definedName>
    <definedName name="_9B" localSheetId="2">'[1]ECCR Expense'!#REF!</definedName>
    <definedName name="_9B" localSheetId="42">'[1]ECCR Expense'!#REF!</definedName>
    <definedName name="_9B" localSheetId="43">'[2]ECCR Expense'!#REF!</definedName>
    <definedName name="_9B">'[1]ECCR Expense'!#REF!</definedName>
    <definedName name="_9C" localSheetId="2">'[1]ECCR Expense'!#REF!</definedName>
    <definedName name="_9C" localSheetId="43">'[2]ECCR Expense'!#REF!</definedName>
    <definedName name="_9C">'[1]ECCR Expense'!#REF!</definedName>
    <definedName name="_9D" localSheetId="2">'[1]ECCR Expense'!#REF!</definedName>
    <definedName name="_9D" localSheetId="43">'[2]ECCR Expense'!#REF!</definedName>
    <definedName name="_9D">'[1]ECCR Expense'!#REF!</definedName>
    <definedName name="_9E" localSheetId="2">'[1]ECCR Expense'!#REF!</definedName>
    <definedName name="_9E" localSheetId="42">'42-9E'!$A$1:$H$47</definedName>
    <definedName name="_9E" localSheetId="43">'42-9E 2'!$A$1:$H$45</definedName>
    <definedName name="_9E">'[1]ECCR Expense'!#REF!</definedName>
    <definedName name="_9F" localSheetId="2">'[1]ECCR Expense'!#REF!</definedName>
    <definedName name="_9F" localSheetId="42">'[1]ECCR Expense'!#REF!</definedName>
    <definedName name="_9F" localSheetId="43">'[2]ECCR Expense'!#REF!</definedName>
    <definedName name="_9F">'[1]ECCR Expense'!#REF!</definedName>
    <definedName name="_9H" localSheetId="2">'[1]ECCR Expense'!#REF!</definedName>
    <definedName name="_9H" localSheetId="42">'[1]ECCR Expense'!#REF!</definedName>
    <definedName name="_9H" localSheetId="43">'[2]ECCR Expense'!#REF!</definedName>
    <definedName name="_9H">'[1]ECCR Expense'!#REF!</definedName>
    <definedName name="_9I" localSheetId="2">'[1]ECCR Expense'!#REF!</definedName>
    <definedName name="_9I" localSheetId="42">'[1]ECCR Expense'!#REF!</definedName>
    <definedName name="_9I" localSheetId="43">'[2]ECCR Expense'!#REF!</definedName>
    <definedName name="_9I">'[1]ECCR Expense'!#REF!</definedName>
    <definedName name="_9J" localSheetId="2">'[1]ECCR Expense'!#REF!</definedName>
    <definedName name="_9J" localSheetId="43">'[2]ECCR Expense'!#REF!</definedName>
    <definedName name="_9J">'[1]ECCR Expense'!#REF!</definedName>
    <definedName name="_9K" localSheetId="2">'[1]ECCR Expense'!#REF!</definedName>
    <definedName name="_9K" localSheetId="43">'[2]ECCR Expense'!#REF!</definedName>
    <definedName name="_9K">'[1]ECCR Expense'!#REF!</definedName>
    <definedName name="_9L" localSheetId="2">'[1]ECCR Expense'!#REF!</definedName>
    <definedName name="_9L" localSheetId="43">'[2]ECCR Expense'!#REF!</definedName>
    <definedName name="_9L">'[1]ECCR Expense'!#REF!</definedName>
    <definedName name="_9M" localSheetId="2">'[1]ECCR Expense'!#REF!</definedName>
    <definedName name="_9M" localSheetId="43">'[2]ECCR Expense'!#REF!</definedName>
    <definedName name="_9M">'[1]ECCR Expense'!#REF!</definedName>
    <definedName name="_9N" localSheetId="2">'[1]ECCR Expense'!#REF!</definedName>
    <definedName name="_9N" localSheetId="43">'[2]ECCR Expense'!#REF!</definedName>
    <definedName name="_9N">'[1]ECCR Expense'!#REF!</definedName>
    <definedName name="_9O" localSheetId="2">'[1]ECCR Expense'!#REF!</definedName>
    <definedName name="_9O" localSheetId="43">'[2]ECCR Expense'!#REF!</definedName>
    <definedName name="_9O">'[1]ECCR Expense'!#REF!</definedName>
    <definedName name="_ALLOW" localSheetId="42">#REF!</definedName>
    <definedName name="_ALLOW" localSheetId="43">#REF!</definedName>
    <definedName name="_ALLOW">'42-8_SO2'!$A$1:$Q$59</definedName>
    <definedName name="_xlnm._FilterDatabase" localSheetId="6" hidden="1">'42-7E'!$A$6:$X$44</definedName>
    <definedName name="_xlnm._FilterDatabase" localSheetId="41" hidden="1">'42-8E Depr Schedule'!$A$4:$K$83</definedName>
    <definedName name="_Key1" localSheetId="2" hidden="1">#REF!</definedName>
    <definedName name="_Key1" localSheetId="42" hidden="1">#REF!</definedName>
    <definedName name="_Key1" localSheetId="43" hidden="1">#REF!</definedName>
    <definedName name="_Key1" hidden="1">#REF!</definedName>
    <definedName name="_Key2" localSheetId="2" hidden="1">#REF!</definedName>
    <definedName name="_Key2" localSheetId="42" hidden="1">#REF!</definedName>
    <definedName name="_Key2" localSheetId="43" hidden="1">#REF!</definedName>
    <definedName name="_Key2" hidden="1">#REF!</definedName>
    <definedName name="_M2" localSheetId="2">#REF!</definedName>
    <definedName name="_M2" localSheetId="42">#REF!</definedName>
    <definedName name="_M2" localSheetId="43">#REF!</definedName>
    <definedName name="_M2">#REF!</definedName>
    <definedName name="_Order1" hidden="1">255</definedName>
    <definedName name="_Order2" hidden="1">255</definedName>
    <definedName name="_PG1" localSheetId="2">#REF!</definedName>
    <definedName name="_PG1" localSheetId="42">#REF!</definedName>
    <definedName name="_PG1" localSheetId="43">#REF!</definedName>
    <definedName name="_PG1">#REF!</definedName>
    <definedName name="_PG2" localSheetId="2">#REF!</definedName>
    <definedName name="_PG2" localSheetId="42">#REF!</definedName>
    <definedName name="_PG2" localSheetId="43">#REF!</definedName>
    <definedName name="_PG2">#REF!</definedName>
    <definedName name="_PG3" localSheetId="2">#REF!</definedName>
    <definedName name="_PG3" localSheetId="42">#REF!</definedName>
    <definedName name="_PG3" localSheetId="43">#REF!</definedName>
    <definedName name="_PG3">#REF!</definedName>
    <definedName name="_PG4" localSheetId="2">#REF!</definedName>
    <definedName name="_PG4" localSheetId="42">#REF!</definedName>
    <definedName name="_PG4" localSheetId="43">#REF!</definedName>
    <definedName name="_PG4">#REF!</definedName>
    <definedName name="_SCH1" localSheetId="2">#REF!</definedName>
    <definedName name="_SCH1" localSheetId="42">#REF!</definedName>
    <definedName name="_SCH1" localSheetId="43">#REF!</definedName>
    <definedName name="_SCH1">#REF!</definedName>
    <definedName name="_Sort" localSheetId="2" hidden="1">#REF!</definedName>
    <definedName name="_Sort" localSheetId="42" hidden="1">#REF!</definedName>
    <definedName name="_Sort" localSheetId="43" hidden="1">#REF!</definedName>
    <definedName name="_Sort" hidden="1">#REF!</definedName>
    <definedName name="_SYS1" localSheetId="2">#REF!</definedName>
    <definedName name="_SYS1" localSheetId="42">#REF!</definedName>
    <definedName name="_SYS1" localSheetId="43">#REF!</definedName>
    <definedName name="_SYS1">#REF!</definedName>
    <definedName name="_SYS2" localSheetId="2">#REF!</definedName>
    <definedName name="_SYS2" localSheetId="42">#REF!</definedName>
    <definedName name="_SYS2" localSheetId="43">#REF!</definedName>
    <definedName name="_SYS2">#REF!</definedName>
    <definedName name="A" localSheetId="2">#REF!</definedName>
    <definedName name="A" localSheetId="42">#REF!</definedName>
    <definedName name="A" localSheetId="43">#REF!</definedName>
    <definedName name="A">#REF!</definedName>
    <definedName name="A_G_LIASON" localSheetId="2">#REF!</definedName>
    <definedName name="A_G_LIASON" localSheetId="42">#REF!</definedName>
    <definedName name="A_G_LIASON" localSheetId="43">#REF!</definedName>
    <definedName name="A_G_LIASON">#REF!</definedName>
    <definedName name="ACCDEP" localSheetId="42">#REF!</definedName>
    <definedName name="ACCDEP" localSheetId="43">#REF!</definedName>
    <definedName name="ACCDISM" localSheetId="42">#REF!</definedName>
    <definedName name="ACCDISM" localSheetId="43">#REF!</definedName>
    <definedName name="ADNA911.13" localSheetId="2">#REF!</definedName>
    <definedName name="ADNA911.13" localSheetId="42">#REF!</definedName>
    <definedName name="ADNA911.13" localSheetId="43">#REF!</definedName>
    <definedName name="ADNA911.13">#REF!</definedName>
    <definedName name="ADNA930" localSheetId="2">#REF!</definedName>
    <definedName name="ADNA930" localSheetId="42">#REF!</definedName>
    <definedName name="ADNA930" localSheetId="43">#REF!</definedName>
    <definedName name="ADNA930">#REF!</definedName>
    <definedName name="ADVINTERC" localSheetId="2">#REF!</definedName>
    <definedName name="ADVINTERC" localSheetId="42">#REF!</definedName>
    <definedName name="ADVINTERC" localSheetId="43">#REF!</definedName>
    <definedName name="ADVINTERC">#REF!</definedName>
    <definedName name="AFUDCT" localSheetId="2">#REF!</definedName>
    <definedName name="AFUDCT" localSheetId="42">#REF!</definedName>
    <definedName name="AFUDCT" localSheetId="43">#REF!</definedName>
    <definedName name="AFUDCT">#REF!</definedName>
    <definedName name="AINTSYNC" localSheetId="2">#REF!</definedName>
    <definedName name="AINTSYNC" localSheetId="42">#REF!</definedName>
    <definedName name="AINTSYNC" localSheetId="43">#REF!</definedName>
    <definedName name="AINTSYNC">#REF!</definedName>
    <definedName name="AIRPRODUCTS" localSheetId="2">#REF!</definedName>
    <definedName name="AIRPRODUCTS" localSheetId="42">#REF!</definedName>
    <definedName name="AIRPRODUCTS" localSheetId="43">#REF!</definedName>
    <definedName name="AIRPRODUCTS">#REF!</definedName>
    <definedName name="AirQuality" localSheetId="42">#REF!</definedName>
    <definedName name="AirQuality" localSheetId="43">#REF!</definedName>
    <definedName name="AirQuality">'42-8_Project 1'!$A$1:$Q$58</definedName>
    <definedName name="AJURCR" localSheetId="2">#REF!</definedName>
    <definedName name="AJURCR" localSheetId="42">#REF!</definedName>
    <definedName name="AJURCR" localSheetId="43">#REF!</definedName>
    <definedName name="AJURCR">#REF!</definedName>
    <definedName name="AJURPEPSCR" localSheetId="2">#REF!</definedName>
    <definedName name="AJURPEPSCR" localSheetId="42">#REF!</definedName>
    <definedName name="AJURPEPSCR" localSheetId="43">#REF!</definedName>
    <definedName name="AJURPEPSCR">#REF!</definedName>
    <definedName name="AJURPSCR" localSheetId="2">#REF!</definedName>
    <definedName name="AJURPSCR" localSheetId="42">#REF!</definedName>
    <definedName name="AJURPSCR" localSheetId="43">#REF!</definedName>
    <definedName name="AJURPSCR">#REF!</definedName>
    <definedName name="ALLOCDEM" localSheetId="2">#REF!</definedName>
    <definedName name="ALLOCDEM" localSheetId="42">#REF!</definedName>
    <definedName name="ALLOCDEM" localSheetId="43">#REF!</definedName>
    <definedName name="ALLOCDEM">#REF!</definedName>
    <definedName name="ALLOW" localSheetId="37">'42-8_Ann_NOx'!$A$63:$R$120</definedName>
    <definedName name="ALLOW" localSheetId="39">'42-8_Seas_NOx'!$A$63:$R$120</definedName>
    <definedName name="ALLOW" localSheetId="42">#REF!</definedName>
    <definedName name="ALLOW" localSheetId="43">#REF!</definedName>
    <definedName name="ALLOW">'42-8_SO2'!$A$1:$R$57</definedName>
    <definedName name="AmtType">'[7]Journal Entry Sheet'!$B$4</definedName>
    <definedName name="ANALYS1" localSheetId="2">#REF!</definedName>
    <definedName name="ANALYS1" localSheetId="42">#REF!</definedName>
    <definedName name="ANALYS1" localSheetId="43">#REF!</definedName>
    <definedName name="ANALYS1">#REF!</definedName>
    <definedName name="ANALYS2" localSheetId="2">#REF!</definedName>
    <definedName name="ANALYS2" localSheetId="42">#REF!</definedName>
    <definedName name="ANALYS2" localSheetId="43">#REF!</definedName>
    <definedName name="ANALYS2">#REF!</definedName>
    <definedName name="ANLY1" localSheetId="2">#REF!</definedName>
    <definedName name="ANLY1" localSheetId="42">#REF!</definedName>
    <definedName name="ANLY1" localSheetId="43">#REF!</definedName>
    <definedName name="ANLY1">#REF!</definedName>
    <definedName name="ANLY2" localSheetId="2">#REF!</definedName>
    <definedName name="ANLY2" localSheetId="42">#REF!</definedName>
    <definedName name="ANLY2" localSheetId="43">#REF!</definedName>
    <definedName name="ANLY2">#REF!</definedName>
    <definedName name="Ann_NOx" localSheetId="42">#REF!</definedName>
    <definedName name="Ann_NOx" localSheetId="43">#REF!</definedName>
    <definedName name="Ann_NOx">'42-8_Ann_NOx'!$A$63:$Q$118</definedName>
    <definedName name="ANNCOST" localSheetId="2">#REF!</definedName>
    <definedName name="ANNCOST" localSheetId="42">#REF!</definedName>
    <definedName name="ANNCOST" localSheetId="43">#REF!</definedName>
    <definedName name="ANNCOST">#REF!</definedName>
    <definedName name="ANNCOSTNUPS" localSheetId="2">#REF!</definedName>
    <definedName name="ANNCOSTNUPS" localSheetId="42">#REF!</definedName>
    <definedName name="ANNCOSTNUPS" localSheetId="43">#REF!</definedName>
    <definedName name="ANNCOSTNUPS">#REF!</definedName>
    <definedName name="ANNDIV" localSheetId="2">#REF!</definedName>
    <definedName name="ANNDIV" localSheetId="42">#REF!</definedName>
    <definedName name="ANNDIV" localSheetId="43">#REF!</definedName>
    <definedName name="ANNDIV">#REF!</definedName>
    <definedName name="ANNDIVNUPS" localSheetId="2">#REF!</definedName>
    <definedName name="ANNDIVNUPS" localSheetId="42">#REF!</definedName>
    <definedName name="ANNDIVNUPS" localSheetId="43">#REF!</definedName>
    <definedName name="ANNDIVNUPS">#REF!</definedName>
    <definedName name="APFS_UT" localSheetId="2">#REF!</definedName>
    <definedName name="APFS_UT" localSheetId="42">#REF!</definedName>
    <definedName name="APFS_UT" localSheetId="43">#REF!</definedName>
    <definedName name="APFS_UT">#REF!</definedName>
    <definedName name="ApparityWorkArea_Col_6357550659662557167" localSheetId="2" hidden="1">#REF!</definedName>
    <definedName name="ApparityWorkArea_Col_6357550659662557167" localSheetId="42" hidden="1">#REF!</definedName>
    <definedName name="ApparityWorkArea_Col_6357550659662557167" localSheetId="43" hidden="1">#REF!</definedName>
    <definedName name="ApparityWorkArea_Col_6357550659662557167" hidden="1">#REF!</definedName>
    <definedName name="ApparityWorkArea_Col_63575506597592771631" localSheetId="2" hidden="1">#REF!</definedName>
    <definedName name="ApparityWorkArea_Col_63575506597592771631" localSheetId="42" hidden="1">#REF!</definedName>
    <definedName name="ApparityWorkArea_Col_63575506597592771631" localSheetId="43" hidden="1">#REF!</definedName>
    <definedName name="ApparityWorkArea_Col_63575506597592771631" hidden="1">#REF!</definedName>
    <definedName name="ApparityWorkArea_Col_63575506597857971637" localSheetId="2" hidden="1">#REF!</definedName>
    <definedName name="ApparityWorkArea_Col_63575506597857971637" localSheetId="42" hidden="1">#REF!</definedName>
    <definedName name="ApparityWorkArea_Col_63575506597857971637" localSheetId="43" hidden="1">#REF!</definedName>
    <definedName name="ApparityWorkArea_Col_63575506597857971637" hidden="1">#REF!</definedName>
    <definedName name="ApparityWorkArea_Row_6357550659662557166" localSheetId="2" hidden="1">#REF!</definedName>
    <definedName name="ApparityWorkArea_Row_6357550659662557166" localSheetId="42" hidden="1">#REF!</definedName>
    <definedName name="ApparityWorkArea_Row_6357550659662557166" localSheetId="43" hidden="1">#REF!</definedName>
    <definedName name="ApparityWorkArea_Row_6357550659662557166" hidden="1">#REF!</definedName>
    <definedName name="ApparityWorkArea_Row_63575506597592771630" localSheetId="2" hidden="1">#REF!</definedName>
    <definedName name="ApparityWorkArea_Row_63575506597592771630" localSheetId="42" hidden="1">#REF!</definedName>
    <definedName name="ApparityWorkArea_Row_63575506597592771630" localSheetId="43" hidden="1">#REF!</definedName>
    <definedName name="ApparityWorkArea_Row_63575506597592771630" hidden="1">#REF!</definedName>
    <definedName name="ApparityWorkArea_Row_63575506597857971636" localSheetId="2" hidden="1">#REF!</definedName>
    <definedName name="ApparityWorkArea_Row_63575506597857971636" localSheetId="42" hidden="1">#REF!</definedName>
    <definedName name="ApparityWorkArea_Row_63575506597857971636" localSheetId="43" hidden="1">#REF!</definedName>
    <definedName name="ApparityWorkArea_Row_63575506597857971636" hidden="1">#REF!</definedName>
    <definedName name="APPLDEPR" localSheetId="2">#REF!</definedName>
    <definedName name="APPLDEPR" localSheetId="42">#REF!</definedName>
    <definedName name="APPLDEPR" localSheetId="43">#REF!</definedName>
    <definedName name="APPLDEPR">#REF!</definedName>
    <definedName name="APPLINVT" localSheetId="2">#REF!</definedName>
    <definedName name="APPLINVT" localSheetId="42">#REF!</definedName>
    <definedName name="APPLINVT" localSheetId="43">#REF!</definedName>
    <definedName name="APPLINVT">#REF!</definedName>
    <definedName name="APPLWAR_SCHPL" localSheetId="2">#REF!</definedName>
    <definedName name="APPLWAR_SCHPL" localSheetId="42">#REF!</definedName>
    <definedName name="APPLWAR_SCHPL" localSheetId="43">#REF!</definedName>
    <definedName name="APPLWAR_SCHPL">#REF!</definedName>
    <definedName name="ARAPPSSPE" localSheetId="2">#REF!</definedName>
    <definedName name="ARAPPSSPE" localSheetId="42">#REF!</definedName>
    <definedName name="ARAPPSSPE" localSheetId="43">#REF!</definedName>
    <definedName name="ARAPPSSPE">#REF!</definedName>
    <definedName name="ATCCR" localSheetId="2">#REF!</definedName>
    <definedName name="ATCCR" localSheetId="42">#REF!</definedName>
    <definedName name="ATCCR" localSheetId="43">#REF!</definedName>
    <definedName name="ATCCR">#REF!</definedName>
    <definedName name="ATCPESTKCR" localSheetId="2">#REF!</definedName>
    <definedName name="ATCPESTKCR" localSheetId="42">#REF!</definedName>
    <definedName name="ATCPESTKCR" localSheetId="43">#REF!</definedName>
    <definedName name="ATCPESTKCR">#REF!</definedName>
    <definedName name="ATCPSCR" localSheetId="2">#REF!</definedName>
    <definedName name="ATCPSCR" localSheetId="42">#REF!</definedName>
    <definedName name="ATCPSCR" localSheetId="43">#REF!</definedName>
    <definedName name="ATCPSCR">#REF!</definedName>
    <definedName name="B" localSheetId="2">#REF!</definedName>
    <definedName name="B" localSheetId="42">#REF!</definedName>
    <definedName name="B" localSheetId="43">#REF!</definedName>
    <definedName name="B">#REF!</definedName>
    <definedName name="BALSHEXCD" localSheetId="2">#REF!</definedName>
    <definedName name="BALSHEXCD" localSheetId="42">#REF!</definedName>
    <definedName name="BALSHEXCD" localSheetId="43">#REF!</definedName>
    <definedName name="BALSHEXCD">#REF!</definedName>
    <definedName name="BLACKWATER" localSheetId="2">#REF!</definedName>
    <definedName name="BLACKWATER" localSheetId="42">#REF!</definedName>
    <definedName name="BLACKWATER" localSheetId="43">#REF!</definedName>
    <definedName name="BLACKWATER">#REF!</definedName>
    <definedName name="BONDS" localSheetId="2">#REF!</definedName>
    <definedName name="BONDS" localSheetId="42">#REF!</definedName>
    <definedName name="BONDS" localSheetId="43">#REF!</definedName>
    <definedName name="BONDS">#REF!</definedName>
    <definedName name="BONDSNUPS" localSheetId="2">#REF!</definedName>
    <definedName name="BONDSNUPS" localSheetId="42">#REF!</definedName>
    <definedName name="BONDSNUPS" localSheetId="43">#REF!</definedName>
    <definedName name="BONDSNUPS">#REF!</definedName>
    <definedName name="BottomRow" localSheetId="2">#REF!</definedName>
    <definedName name="BottomRow" localSheetId="42">#REF!</definedName>
    <definedName name="BottomRow" localSheetId="43">#REF!</definedName>
    <definedName name="BottomRow">#REF!</definedName>
    <definedName name="BUYOUT" localSheetId="2">#REF!</definedName>
    <definedName name="BUYOUT" localSheetId="42">#REF!</definedName>
    <definedName name="BUYOUT" localSheetId="43">#REF!</definedName>
    <definedName name="BUYOUT">#REF!</definedName>
    <definedName name="C_" localSheetId="2">#REF!</definedName>
    <definedName name="C_" localSheetId="42">#REF!</definedName>
    <definedName name="C_" localSheetId="43">#REF!</definedName>
    <definedName name="C_">#REF!</definedName>
    <definedName name="CABALSH" localSheetId="2">#REF!</definedName>
    <definedName name="CABALSH" localSheetId="42">#REF!</definedName>
    <definedName name="CABALSH" localSheetId="43">#REF!</definedName>
    <definedName name="CABALSH">#REF!</definedName>
    <definedName name="CACLRETJUR" localSheetId="2">#REF!</definedName>
    <definedName name="CACLRETJUR" localSheetId="42">#REF!</definedName>
    <definedName name="CACLRETJUR" localSheetId="43">#REF!</definedName>
    <definedName name="CACLRETJUR">#REF!</definedName>
    <definedName name="CAIR_CAMR" localSheetId="35">'42-8_Project 29'!$A$1:$Q$60</definedName>
    <definedName name="CAIR_CAMR" localSheetId="36">'42-8_Project 30'!$A$1:$Q$59</definedName>
    <definedName name="CAIR_CAMR" localSheetId="34">'42-8_Project_28'!$A$1:$Q$61</definedName>
    <definedName name="CAIR_CAMR" localSheetId="42">#REF!</definedName>
    <definedName name="CAIR_CAMR" localSheetId="43">#REF!</definedName>
    <definedName name="CAIR_CAMR">'42-8_Project 26'!$A$1:$Q$61</definedName>
    <definedName name="CALC" localSheetId="2">#REF!</definedName>
    <definedName name="CALC" localSheetId="42">#REF!</definedName>
    <definedName name="CALC" localSheetId="43">#REF!</definedName>
    <definedName name="CALC">#REF!</definedName>
    <definedName name="CAPINBASE" localSheetId="2">#REF!</definedName>
    <definedName name="CAPINBASE" localSheetId="42">#REF!</definedName>
    <definedName name="CAPINBASE" localSheetId="43">#REF!</definedName>
    <definedName name="CAPINBASE">#REF!</definedName>
    <definedName name="CAPITAL_STRUCTURE_ADJUSTMENTS" localSheetId="2">#REF!</definedName>
    <definedName name="CAPITAL_STRUCTURE_ADJUSTMENTS" localSheetId="42">#REF!</definedName>
    <definedName name="CAPITAL_STRUCTURE_ADJUSTMENTS" localSheetId="43">#REF!</definedName>
    <definedName name="CAPITAL_STRUCTURE_ADJUSTMENTS">#REF!</definedName>
    <definedName name="CARBI" localSheetId="2">#REF!</definedName>
    <definedName name="CARBI" localSheetId="42">#REF!</definedName>
    <definedName name="CARBI" localSheetId="43">#REF!</definedName>
    <definedName name="CARBI">#REF!</definedName>
    <definedName name="CARYVILLE" localSheetId="2">#REF!</definedName>
    <definedName name="CARYVILLE" localSheetId="42">#REF!</definedName>
    <definedName name="CARYVILLE" localSheetId="43">#REF!</definedName>
    <definedName name="CARYVILLE">#REF!</definedName>
    <definedName name="Category" localSheetId="2">#REF!</definedName>
    <definedName name="Category" localSheetId="42">#REF!</definedName>
    <definedName name="Category" localSheetId="43">#REF!</definedName>
    <definedName name="Category">#REF!</definedName>
    <definedName name="CBTU" localSheetId="2">#REF!</definedName>
    <definedName name="CBTU" localSheetId="42">#REF!</definedName>
    <definedName name="CBTU" localSheetId="43">#REF!</definedName>
    <definedName name="CBTU">#REF!</definedName>
    <definedName name="CCOST" localSheetId="2">#REF!</definedName>
    <definedName name="CCOST" localSheetId="42">#REF!</definedName>
    <definedName name="CCOST" localSheetId="43">#REF!</definedName>
    <definedName name="CCOST">#REF!</definedName>
    <definedName name="CDIV" localSheetId="2">#REF!</definedName>
    <definedName name="CDIV" localSheetId="42">#REF!</definedName>
    <definedName name="CDIV" localSheetId="43">#REF!</definedName>
    <definedName name="CDIV">#REF!</definedName>
    <definedName name="CEMS" localSheetId="42">#REF!</definedName>
    <definedName name="CEMS" localSheetId="43">#REF!</definedName>
    <definedName name="CEMS">'42-8_Project 5'!$A$1:$R$57</definedName>
    <definedName name="CemsAll" localSheetId="42">#REF!</definedName>
    <definedName name="CemsAll" localSheetId="43">#REF!</definedName>
    <definedName name="CemsAll">'42-8_Project 5'!$A$1:$Q$59</definedName>
    <definedName name="CEMSDET" localSheetId="42">#REF!</definedName>
    <definedName name="CEMSDET" localSheetId="43">#REF!</definedName>
    <definedName name="CEMSDET">'42-8_Project 5'!$A$178:$R$1233</definedName>
    <definedName name="CKWH" localSheetId="2">#REF!</definedName>
    <definedName name="CKWH" localSheetId="42">#REF!</definedName>
    <definedName name="CKWH" localSheetId="43">#REF!</definedName>
    <definedName name="CKWH">#REF!</definedName>
    <definedName name="CLAUSE" localSheetId="2">#REF!</definedName>
    <definedName name="CLAUSE" localSheetId="42">#REF!</definedName>
    <definedName name="CLAUSE" localSheetId="43">#REF!</definedName>
    <definedName name="CLAUSE">#REF!</definedName>
    <definedName name="CLBALSH" localSheetId="2">#REF!</definedName>
    <definedName name="CLBALSH" localSheetId="42">#REF!</definedName>
    <definedName name="CLBALSH" localSheetId="43">#REF!</definedName>
    <definedName name="CLBALSH">#REF!</definedName>
    <definedName name="CLCSI" localSheetId="2">#REF!</definedName>
    <definedName name="CLCSI" localSheetId="42">#REF!</definedName>
    <definedName name="CLCSI" localSheetId="43">#REF!</definedName>
    <definedName name="CLCSI">#REF!</definedName>
    <definedName name="CLEAR" localSheetId="42">#REF!</definedName>
    <definedName name="CLEAR" localSheetId="43">#REF!</definedName>
    <definedName name="CLITDFE" localSheetId="2">#REF!</definedName>
    <definedName name="CLITDFE" localSheetId="42">#REF!</definedName>
    <definedName name="CLITDFE" localSheetId="43">#REF!</definedName>
    <definedName name="CLITDFE">#REF!</definedName>
    <definedName name="CLRBI" localSheetId="2">#REF!</definedName>
    <definedName name="CLRBI" localSheetId="42">#REF!</definedName>
    <definedName name="CLRBI" localSheetId="43">#REF!</definedName>
    <definedName name="CLRBI">#REF!</definedName>
    <definedName name="CM">[8]Detail!$G$1:$G$2000</definedName>
    <definedName name="CMJURROE" localSheetId="2">#REF!</definedName>
    <definedName name="CMJURROE" localSheetId="42">#REF!</definedName>
    <definedName name="CMJURROE" localSheetId="43">#REF!</definedName>
    <definedName name="CMJURROE">#REF!</definedName>
    <definedName name="CMSUMM" localSheetId="43">[9]Totals!$D$1:$D$263</definedName>
    <definedName name="CMSUMM">[10]Totals!$D$1:$D$263</definedName>
    <definedName name="COALINVADJ" localSheetId="2">#REF!</definedName>
    <definedName name="COALINVADJ" localSheetId="42">#REF!</definedName>
    <definedName name="COALINVADJ" localSheetId="43">#REF!</definedName>
    <definedName name="COALINVADJ">#REF!</definedName>
    <definedName name="COMDIVDECL" localSheetId="2">#REF!</definedName>
    <definedName name="COMDIVDECL" localSheetId="42">#REF!</definedName>
    <definedName name="COMDIVDECL" localSheetId="43">#REF!</definedName>
    <definedName name="COMDIVDECL">#REF!</definedName>
    <definedName name="COMEQUITY" localSheetId="2">#REF!</definedName>
    <definedName name="COMEQUITY" localSheetId="42">#REF!</definedName>
    <definedName name="COMEQUITY" localSheetId="43">#REF!</definedName>
    <definedName name="COMEQUITY">#REF!</definedName>
    <definedName name="COMMEQ13MA" localSheetId="2">#REF!</definedName>
    <definedName name="COMMEQ13MA" localSheetId="42">#REF!</definedName>
    <definedName name="COMMEQ13MA" localSheetId="43">#REF!</definedName>
    <definedName name="COMMEQ13MA">#REF!</definedName>
    <definedName name="Company" localSheetId="2">#REF!</definedName>
    <definedName name="Company" localSheetId="42">#REF!</definedName>
    <definedName name="Company" localSheetId="43">#REF!</definedName>
    <definedName name="Company">#REF!</definedName>
    <definedName name="Competetive_Prem_Transactions" localSheetId="2">#REF!</definedName>
    <definedName name="Competetive_Prem_Transactions" localSheetId="42">#REF!</definedName>
    <definedName name="Competetive_Prem_Transactions" localSheetId="43">#REF!</definedName>
    <definedName name="Competetive_Prem_Transactions">#REF!</definedName>
    <definedName name="CondenserTubes" localSheetId="42">#REF!</definedName>
    <definedName name="CondenserTubes" localSheetId="43">#REF!</definedName>
    <definedName name="CondenserTubes">'42-8_Project 25'!$A$62:$Q$111</definedName>
    <definedName name="CONST" localSheetId="2">#REF!</definedName>
    <definedName name="CONST" localSheetId="42">#REF!</definedName>
    <definedName name="CONST" localSheetId="43">#REF!</definedName>
    <definedName name="CONST">#REF!</definedName>
    <definedName name="COPY" localSheetId="2">#REF!</definedName>
    <definedName name="COPY" localSheetId="42">#REF!</definedName>
    <definedName name="COPY" localSheetId="43">#REF!</definedName>
    <definedName name="COPY">#REF!</definedName>
    <definedName name="CORPINVEST" localSheetId="2">#REF!</definedName>
    <definedName name="CORPINVEST" localSheetId="42">#REF!</definedName>
    <definedName name="CORPINVEST" localSheetId="43">#REF!</definedName>
    <definedName name="CORPINVEST">#REF!</definedName>
    <definedName name="CORPOFC3FDEP" localSheetId="2">#REF!</definedName>
    <definedName name="CORPOFC3FDEP" localSheetId="42">#REF!</definedName>
    <definedName name="CORPOFC3FDEP" localSheetId="43">#REF!</definedName>
    <definedName name="CORPOFC3FDEP">#REF!</definedName>
    <definedName name="CORPOFC3FL" localSheetId="2">#REF!</definedName>
    <definedName name="CORPOFC3FL" localSheetId="42">#REF!</definedName>
    <definedName name="CORPOFC3FL" localSheetId="43">#REF!</definedName>
    <definedName name="CORPOFC3FL">#REF!</definedName>
    <definedName name="Cost_of_Rem" localSheetId="42">#REF!</definedName>
    <definedName name="Cost_of_Rem" localSheetId="43">#REF!</definedName>
    <definedName name="CQTY" localSheetId="2">#REF!</definedName>
    <definedName name="CQTY" localSheetId="42">#REF!</definedName>
    <definedName name="CQTY" localSheetId="43">#REF!</definedName>
    <definedName name="CQTY">#REF!</definedName>
    <definedName name="CR" localSheetId="2">#REF!</definedName>
    <definedName name="CR" localSheetId="42">#REF!</definedName>
    <definedName name="CR" localSheetId="43">#REF!</definedName>
    <definedName name="CR">#REF!</definedName>
    <definedName name="CROR" localSheetId="2">#REF!</definedName>
    <definedName name="CROR" localSheetId="42">#REF!</definedName>
    <definedName name="CROR" localSheetId="43">#REF!</definedName>
    <definedName name="CROR">#REF!</definedName>
    <definedName name="CSTRTNB" localSheetId="2">#REF!</definedName>
    <definedName name="CSTRTNB" localSheetId="42">#REF!</definedName>
    <definedName name="CSTRTNB" localSheetId="43">#REF!</definedName>
    <definedName name="CSTRTNB">#REF!</definedName>
    <definedName name="CSTRTPS" localSheetId="2">#REF!</definedName>
    <definedName name="CSTRTPS" localSheetId="42">#REF!</definedName>
    <definedName name="CSTRTPS" localSheetId="43">#REF!</definedName>
    <definedName name="CSTRTPS">#REF!</definedName>
    <definedName name="CTBTU" localSheetId="2">#REF!</definedName>
    <definedName name="CTBTU" localSheetId="42">#REF!</definedName>
    <definedName name="CTBTU" localSheetId="43">#REF!</definedName>
    <definedName name="CTBTU">#REF!</definedName>
    <definedName name="CTCOST" localSheetId="2">#REF!</definedName>
    <definedName name="CTCOST" localSheetId="42">#REF!</definedName>
    <definedName name="CTCOST" localSheetId="43">#REF!</definedName>
    <definedName name="CTCOST">#REF!</definedName>
    <definedName name="CTKWH" localSheetId="2">#REF!</definedName>
    <definedName name="CTKWH" localSheetId="42">#REF!</definedName>
    <definedName name="CTKWH" localSheetId="43">#REF!</definedName>
    <definedName name="CTKWH">#REF!</definedName>
    <definedName name="CTQTY" localSheetId="2">#REF!</definedName>
    <definedName name="CTQTY" localSheetId="42">#REF!</definedName>
    <definedName name="CTQTY" localSheetId="43">#REF!</definedName>
    <definedName name="CTQTY">#REF!</definedName>
    <definedName name="CURRFACT" localSheetId="42">#REF!</definedName>
    <definedName name="CURRFACT" localSheetId="43">#REF!</definedName>
    <definedName name="CurrMod" localSheetId="2">#REF!</definedName>
    <definedName name="CurrMod" localSheetId="42">#REF!</definedName>
    <definedName name="CurrMod" localSheetId="43">#REF!</definedName>
    <definedName name="CurrMod">#REF!</definedName>
    <definedName name="CUSDEP" localSheetId="2">#REF!</definedName>
    <definedName name="CUSDEP" localSheetId="42">#REF!</definedName>
    <definedName name="CUSDEP" localSheetId="43">#REF!</definedName>
    <definedName name="CUSDEP">#REF!</definedName>
    <definedName name="CWIP" localSheetId="42">#REF!</definedName>
    <definedName name="CWIP" localSheetId="43">#REF!</definedName>
    <definedName name="D" localSheetId="2">#REF!</definedName>
    <definedName name="D" localSheetId="42">#REF!</definedName>
    <definedName name="D" localSheetId="43">#REF!</definedName>
    <definedName name="D">#REF!</definedName>
    <definedName name="Daniel_Ash" localSheetId="42">#REF!</definedName>
    <definedName name="Daniel_Ash" localSheetId="43">#REF!</definedName>
    <definedName name="Daniel_Ash">'42-8_Project 16'!$A$1:$Q$59</definedName>
    <definedName name="DANIELBUY" localSheetId="2">#REF!</definedName>
    <definedName name="DANIELBUY" localSheetId="42">#REF!</definedName>
    <definedName name="DANIELBUY" localSheetId="43">#REF!</definedName>
    <definedName name="DANIELBUY">#REF!</definedName>
    <definedName name="_xlnm.Database" localSheetId="2">#REF!</definedName>
    <definedName name="_xlnm.Database" localSheetId="42">#REF!</definedName>
    <definedName name="_xlnm.Database" localSheetId="43">#REF!</definedName>
    <definedName name="_xlnm.Database">#REF!</definedName>
    <definedName name="Database_MI" localSheetId="2">#REF!</definedName>
    <definedName name="Database_MI" localSheetId="42">#REF!</definedName>
    <definedName name="Database_MI" localSheetId="43">#REF!</definedName>
    <definedName name="Database_MI">#REF!</definedName>
    <definedName name="DBODEFTX1" localSheetId="2">#REF!</definedName>
    <definedName name="DBODEFTX1" localSheetId="42">#REF!</definedName>
    <definedName name="DBODEFTX1" localSheetId="43">#REF!</definedName>
    <definedName name="DBODEFTX1">#REF!</definedName>
    <definedName name="DBODEFTX2" localSheetId="2">#REF!</definedName>
    <definedName name="DBODEFTX2" localSheetId="42">#REF!</definedName>
    <definedName name="DBODEFTX2" localSheetId="43">#REF!</definedName>
    <definedName name="DBODEFTX2">#REF!</definedName>
    <definedName name="DBTU" localSheetId="2">[11]Jan02!#REF!</definedName>
    <definedName name="DBTU" localSheetId="42">[11]Jan02!#REF!</definedName>
    <definedName name="DBTU" localSheetId="43">[11]Jan02!#REF!</definedName>
    <definedName name="DBTU">[11]Jan02!#REF!</definedName>
    <definedName name="DCCSI" localSheetId="2">#REF!</definedName>
    <definedName name="DCCSI" localSheetId="42">#REF!</definedName>
    <definedName name="DCCSI" localSheetId="43">#REF!</definedName>
    <definedName name="DCCSI">#REF!</definedName>
    <definedName name="DCITDFE" localSheetId="2">#REF!</definedName>
    <definedName name="DCITDFE" localSheetId="42">#REF!</definedName>
    <definedName name="DCITDFE" localSheetId="43">#REF!</definedName>
    <definedName name="DCITDFE">#REF!</definedName>
    <definedName name="DCOST" localSheetId="2">[11]Jan02!#REF!</definedName>
    <definedName name="DCOST" localSheetId="42">[11]Jan02!#REF!</definedName>
    <definedName name="DCOST" localSheetId="43">[11]Jan02!#REF!</definedName>
    <definedName name="DCOST">[11]Jan02!#REF!</definedName>
    <definedName name="DCRBI" localSheetId="2">#REF!</definedName>
    <definedName name="DCRBI" localSheetId="42">#REF!</definedName>
    <definedName name="DCRBI" localSheetId="43">#REF!</definedName>
    <definedName name="DCRBI">#REF!</definedName>
    <definedName name="DDRBI" localSheetId="2">#REF!</definedName>
    <definedName name="DDRBI" localSheetId="42">#REF!</definedName>
    <definedName name="DDRBI" localSheetId="43">#REF!</definedName>
    <definedName name="DDRBI">#REF!</definedName>
    <definedName name="DEFCRADJ" localSheetId="2">#REF!</definedName>
    <definedName name="DEFCRADJ" localSheetId="42">#REF!</definedName>
    <definedName name="DEFCRADJ" localSheetId="43">#REF!</definedName>
    <definedName name="DEFCRADJ">#REF!</definedName>
    <definedName name="DEFDEBADJ" localSheetId="2">#REF!</definedName>
    <definedName name="DEFDEBADJ" localSheetId="42">#REF!</definedName>
    <definedName name="DEFDEBADJ" localSheetId="43">#REF!</definedName>
    <definedName name="DEFDEBADJ">#REF!</definedName>
    <definedName name="DEFTAXN" localSheetId="2">#REF!</definedName>
    <definedName name="DEFTAXN" localSheetId="42">#REF!</definedName>
    <definedName name="DEFTAXN" localSheetId="43">#REF!</definedName>
    <definedName name="DEFTAXN">#REF!</definedName>
    <definedName name="DEFTX13MA" localSheetId="2">#REF!</definedName>
    <definedName name="DEFTX13MA" localSheetId="42">#REF!</definedName>
    <definedName name="DEFTX13MA" localSheetId="43">#REF!</definedName>
    <definedName name="DEFTX13MA">#REF!</definedName>
    <definedName name="DEFTXCR" localSheetId="2">#REF!</definedName>
    <definedName name="DEFTXCR" localSheetId="42">#REF!</definedName>
    <definedName name="DEFTXCR" localSheetId="43">#REF!</definedName>
    <definedName name="DEFTXCR">#REF!</definedName>
    <definedName name="DEFTXDR" localSheetId="2">#REF!</definedName>
    <definedName name="DEFTXDR" localSheetId="42">#REF!</definedName>
    <definedName name="DEFTXDR" localSheetId="43">#REF!</definedName>
    <definedName name="DEFTXDR">#REF!</definedName>
    <definedName name="DEP" localSheetId="42">#REF!</definedName>
    <definedName name="DEP" localSheetId="43">#REF!</definedName>
    <definedName name="DEP">'42-8_Project 19'!$A$1:$Q$60</definedName>
    <definedName name="DEP_A" localSheetId="2">#REF!</definedName>
    <definedName name="DEP_A" localSheetId="42">#REF!</definedName>
    <definedName name="DEP_A" localSheetId="43">#REF!</definedName>
    <definedName name="DEP_A">#REF!</definedName>
    <definedName name="DEP1_1222" localSheetId="2">#REF!</definedName>
    <definedName name="DEP1_1222" localSheetId="42">#REF!</definedName>
    <definedName name="DEP1_1222" localSheetId="43">#REF!</definedName>
    <definedName name="DEP1_1222">#REF!</definedName>
    <definedName name="DEP2_1222" localSheetId="2">#REF!</definedName>
    <definedName name="DEP2_1222" localSheetId="42">#REF!</definedName>
    <definedName name="DEP2_1222" localSheetId="43">#REF!</definedName>
    <definedName name="DEP2_1222">#REF!</definedName>
    <definedName name="DEP3_1222" localSheetId="2">#REF!</definedName>
    <definedName name="DEP3_1222" localSheetId="42">#REF!</definedName>
    <definedName name="DEP3_1222" localSheetId="43">#REF!</definedName>
    <definedName name="DEP3_1222">#REF!</definedName>
    <definedName name="DEP4_1222" localSheetId="2">#REF!</definedName>
    <definedName name="DEP4_1222" localSheetId="42">#REF!</definedName>
    <definedName name="DEP4_1222" localSheetId="43">#REF!</definedName>
    <definedName name="DEP4_1222">#REF!</definedName>
    <definedName name="DEP5_1222" localSheetId="2">#REF!</definedName>
    <definedName name="DEP5_1222" localSheetId="42">#REF!</definedName>
    <definedName name="DEP5_1222" localSheetId="43">#REF!</definedName>
    <definedName name="DEP5_1222">#REF!</definedName>
    <definedName name="DEPCRISM">[6]Inputs!$C$26</definedName>
    <definedName name="DEPCRISMD" localSheetId="2">#REF!</definedName>
    <definedName name="DEPCRISMD" localSheetId="42">#REF!</definedName>
    <definedName name="DEPCRISMD" localSheetId="43">#REF!</definedName>
    <definedName name="DEPCRISMD">#REF!</definedName>
    <definedName name="DEPCRIST">[6]Inputs!$B$26</definedName>
    <definedName name="DEPDANIM">[6]Inputs!$C$29</definedName>
    <definedName name="DEPDANIMD" localSheetId="2">#REF!</definedName>
    <definedName name="DEPDANIMD" localSheetId="42">#REF!</definedName>
    <definedName name="DEPDANIMD" localSheetId="43">#REF!</definedName>
    <definedName name="DEPDANIMD">#REF!</definedName>
    <definedName name="DEPEXP" localSheetId="42">#REF!</definedName>
    <definedName name="DEPEXP" localSheetId="43">#REF!</definedName>
    <definedName name="Depr3622002" localSheetId="2">#REF!</definedName>
    <definedName name="Depr3622002" localSheetId="42">#REF!</definedName>
    <definedName name="Depr3622002" localSheetId="43">#REF!</definedName>
    <definedName name="Depr3622002">#REF!</definedName>
    <definedName name="DeprCrist2002" localSheetId="2">#REF!</definedName>
    <definedName name="DeprCrist2002" localSheetId="42">#REF!</definedName>
    <definedName name="DeprCrist2002" localSheetId="43">#REF!</definedName>
    <definedName name="DeprCrist2002">#REF!</definedName>
    <definedName name="DeprDaniel2002" localSheetId="2">#REF!</definedName>
    <definedName name="DeprDaniel2002" localSheetId="42">#REF!</definedName>
    <definedName name="DeprDaniel2002" localSheetId="43">#REF!</definedName>
    <definedName name="DeprDaniel2002">#REF!</definedName>
    <definedName name="DeprScholz2002" localSheetId="2">#REF!</definedName>
    <definedName name="DeprScholz2002" localSheetId="42">#REF!</definedName>
    <definedName name="DeprScholz2002" localSheetId="43">#REF!</definedName>
    <definedName name="DeprScholz2002">#REF!</definedName>
    <definedName name="DeprSmith2002" localSheetId="2">#REF!</definedName>
    <definedName name="DeprSmith2002" localSheetId="42">#REF!</definedName>
    <definedName name="DeprSmith2002" localSheetId="43">#REF!</definedName>
    <definedName name="DeprSmith2002">#REF!</definedName>
    <definedName name="DEPSCHOM">[6]Inputs!$C$28</definedName>
    <definedName name="DEPSCHOMD" localSheetId="2">#REF!</definedName>
    <definedName name="DEPSCHOMD" localSheetId="42">#REF!</definedName>
    <definedName name="DEPSCHOMD" localSheetId="43">#REF!</definedName>
    <definedName name="DEPSCHOMD">#REF!</definedName>
    <definedName name="DEPSMITM">[6]Inputs!$C$27</definedName>
    <definedName name="DEPSMITMD" localSheetId="2">#REF!</definedName>
    <definedName name="DEPSMITMD" localSheetId="42">#REF!</definedName>
    <definedName name="DEPSMITMD" localSheetId="43">#REF!</definedName>
    <definedName name="DEPSMITMD">#REF!</definedName>
    <definedName name="DF_GRID_1" localSheetId="2">#REF!</definedName>
    <definedName name="DF_GRID_1" localSheetId="42">#REF!</definedName>
    <definedName name="DF_GRID_1" localSheetId="43">#REF!</definedName>
    <definedName name="DF_GRID_1">#REF!</definedName>
    <definedName name="DIFF" localSheetId="2">#REF!</definedName>
    <definedName name="DIFF" localSheetId="42">#REF!</definedName>
    <definedName name="DIFF" localSheetId="43">#REF!</definedName>
    <definedName name="DIFF">#REF!</definedName>
    <definedName name="DISMANT" localSheetId="42">#REF!</definedName>
    <definedName name="DISMANT" localSheetId="43">#REF!</definedName>
    <definedName name="DISPROP" localSheetId="2">#REF!</definedName>
    <definedName name="DISPROP" localSheetId="42">#REF!</definedName>
    <definedName name="DISPROP" localSheetId="43">#REF!</definedName>
    <definedName name="DISPROP">#REF!</definedName>
    <definedName name="DKWH" localSheetId="2">[11]Jan02!#REF!</definedName>
    <definedName name="DKWH" localSheetId="42">[11]Jan02!#REF!</definedName>
    <definedName name="DKWH" localSheetId="43">[11]Jan02!#REF!</definedName>
    <definedName name="DKWH">[11]Jan02!#REF!</definedName>
    <definedName name="DOCKET" localSheetId="2">#REF!</definedName>
    <definedName name="DOCKET" localSheetId="42">#REF!</definedName>
    <definedName name="DOCKET" localSheetId="43">#REF!</definedName>
    <definedName name="DOCKET">#REF!</definedName>
    <definedName name="DQTY" localSheetId="2">[11]Jan02!#REF!</definedName>
    <definedName name="DQTY" localSheetId="42">[11]Jan02!#REF!</definedName>
    <definedName name="DQTY" localSheetId="43">[11]Jan02!#REF!</definedName>
    <definedName name="DQTY">[11]Jan02!#REF!</definedName>
    <definedName name="ECONPROF" localSheetId="2">#REF!</definedName>
    <definedName name="ECONPROF" localSheetId="42">#REF!</definedName>
    <definedName name="ECONPROF" localSheetId="43">#REF!</definedName>
    <definedName name="ECONPROF">#REF!</definedName>
    <definedName name="ENDBAL">[8]Detail!$I$1:$I$2000</definedName>
    <definedName name="ENDBALSUMM" localSheetId="43">[9]Totals!$E$1:$E$263</definedName>
    <definedName name="ENDBALSUMM">[10]Totals!$E$1:$E$263</definedName>
    <definedName name="ERCNOI" localSheetId="2">#REF!</definedName>
    <definedName name="ERCNOI" localSheetId="42">#REF!</definedName>
    <definedName name="ERCNOI" localSheetId="43">#REF!</definedName>
    <definedName name="ERCNOI">#REF!</definedName>
    <definedName name="ERCRB" localSheetId="2">#REF!</definedName>
    <definedName name="ERCRB" localSheetId="42">#REF!</definedName>
    <definedName name="ERCRB" localSheetId="43">#REF!</definedName>
    <definedName name="ERCRB">#REF!</definedName>
    <definedName name="EXH" localSheetId="2">#REF!</definedName>
    <definedName name="EXH" localSheetId="42">#REF!</definedName>
    <definedName name="EXH" localSheetId="43">#REF!</definedName>
    <definedName name="EXH">#REF!</definedName>
    <definedName name="EXIT" localSheetId="2">#REF!</definedName>
    <definedName name="EXIT" localSheetId="42">#REF!</definedName>
    <definedName name="EXIT" localSheetId="43">#REF!</definedName>
    <definedName name="EXIT">#REF!</definedName>
    <definedName name="EXP" localSheetId="42">#REF!</definedName>
    <definedName name="EXP" localSheetId="43">#REF!</definedName>
    <definedName name="f" localSheetId="2">#REF!</definedName>
    <definedName name="f" localSheetId="42">#REF!</definedName>
    <definedName name="f" localSheetId="43">#REF!</definedName>
    <definedName name="f">#REF!</definedName>
    <definedName name="FebActuals" localSheetId="2">#REF!</definedName>
    <definedName name="FebActuals" localSheetId="42">#REF!</definedName>
    <definedName name="FebActuals" localSheetId="43">#REF!</definedName>
    <definedName name="FebActuals">#REF!</definedName>
    <definedName name="FERC">[8]Detail!$B$1:$B$2000</definedName>
    <definedName name="FERCSUMM" localSheetId="43">[9]Totals!$B$1:$B$263</definedName>
    <definedName name="FERCSUMM">[10]Totals!$B$1:$B$263</definedName>
    <definedName name="FININT" localSheetId="2">#REF!</definedName>
    <definedName name="FININT" localSheetId="42">#REF!</definedName>
    <definedName name="FININT" localSheetId="43">#REF!</definedName>
    <definedName name="FININT">#REF!</definedName>
    <definedName name="FININTEG" localSheetId="2">#REF!</definedName>
    <definedName name="FININTEG" localSheetId="42">#REF!</definedName>
    <definedName name="FININTEG" localSheetId="43">#REF!</definedName>
    <definedName name="FININTEG">#REF!</definedName>
    <definedName name="FININTG" localSheetId="2">#REF!</definedName>
    <definedName name="FININTG" localSheetId="42">#REF!</definedName>
    <definedName name="FININTG" localSheetId="43">#REF!</definedName>
    <definedName name="FININTG">#REF!</definedName>
    <definedName name="FlowMeter" localSheetId="42">#REF!</definedName>
    <definedName name="FlowMeter" localSheetId="43">#REF!</definedName>
    <definedName name="FlowMeter">'42-8 Project_7'!$A$1:$R$58</definedName>
    <definedName name="FlowMeterDet" localSheetId="42">#REF!</definedName>
    <definedName name="FlowMeterDet" localSheetId="43">#REF!</definedName>
    <definedName name="FlowMeterDet">'42-8 Project_7'!$A$59:$R$169</definedName>
    <definedName name="FlowMeters" localSheetId="42">#REF!</definedName>
    <definedName name="FlowMeters" localSheetId="43">#REF!</definedName>
    <definedName name="FlowMeters">'42-8 Project_7'!$A$1:$R$58</definedName>
    <definedName name="FPSCADJROE" localSheetId="2">#REF!</definedName>
    <definedName name="FPSCADJROE" localSheetId="42">#REF!</definedName>
    <definedName name="FPSCADJROE" localSheetId="43">#REF!</definedName>
    <definedName name="FPSCADJROE">#REF!</definedName>
    <definedName name="FPSCAJOE" localSheetId="2">#REF!</definedName>
    <definedName name="FPSCAJOE" localSheetId="42">#REF!</definedName>
    <definedName name="FPSCAJOE" localSheetId="43">#REF!</definedName>
    <definedName name="FPSCAJOE">#REF!</definedName>
    <definedName name="FPSCAJOR" localSheetId="2">#REF!</definedName>
    <definedName name="FPSCAJOR" localSheetId="42">#REF!</definedName>
    <definedName name="FPSCAJOR" localSheetId="43">#REF!</definedName>
    <definedName name="FPSCAJOR">#REF!</definedName>
    <definedName name="FPSCAJPIS" localSheetId="2">#REF!</definedName>
    <definedName name="FPSCAJPIS" localSheetId="42">#REF!</definedName>
    <definedName name="FPSCAJPIS" localSheetId="43">#REF!</definedName>
    <definedName name="FPSCAJPIS">#REF!</definedName>
    <definedName name="FPSCAJWC" localSheetId="2">#REF!</definedName>
    <definedName name="FPSCAJWC" localSheetId="42">#REF!</definedName>
    <definedName name="FPSCAJWC" localSheetId="43">#REF!</definedName>
    <definedName name="FPSCAJWC">#REF!</definedName>
    <definedName name="FPSCCWIP" localSheetId="2">#REF!</definedName>
    <definedName name="FPSCCWIP" localSheetId="42">#REF!</definedName>
    <definedName name="FPSCCWIP" localSheetId="43">#REF!</definedName>
    <definedName name="FPSCCWIP">#REF!</definedName>
    <definedName name="FPSCPHFU" localSheetId="2">#REF!</definedName>
    <definedName name="FPSCPHFU" localSheetId="42">#REF!</definedName>
    <definedName name="FPSCPHFU" localSheetId="43">#REF!</definedName>
    <definedName name="FPSCPHFU">#REF!</definedName>
    <definedName name="FUELOVER" localSheetId="2">#REF!</definedName>
    <definedName name="FUELOVER" localSheetId="42">#REF!</definedName>
    <definedName name="FUELOVER" localSheetId="43">#REF!</definedName>
    <definedName name="FUELOVER">#REF!</definedName>
    <definedName name="FUNDEDPROPINS" localSheetId="2">#REF!</definedName>
    <definedName name="FUNDEDPROPINS" localSheetId="42">#REF!</definedName>
    <definedName name="FUNDEDPROPINS" localSheetId="43">#REF!</definedName>
    <definedName name="FUNDEDPROPINS">#REF!</definedName>
    <definedName name="Ground_H20" localSheetId="42">#REF!</definedName>
    <definedName name="Ground_H20" localSheetId="43">#REF!</definedName>
    <definedName name="Ground_H20">'42-8_Project 23'!$A$1:$Q$58</definedName>
    <definedName name="GSUSETTLE" localSheetId="2">#REF!</definedName>
    <definedName name="GSUSETTLE" localSheetId="42">#REF!</definedName>
    <definedName name="GSUSETTLE" localSheetId="43">#REF!</definedName>
    <definedName name="GSUSETTLE">#REF!</definedName>
    <definedName name="GSUSETTLEMENT" localSheetId="2">#REF!</definedName>
    <definedName name="GSUSETTLEMENT" localSheetId="42">#REF!</definedName>
    <definedName name="GSUSETTLEMENT" localSheetId="43">#REF!</definedName>
    <definedName name="GSUSETTLEMENT">#REF!</definedName>
    <definedName name="HOILINVADJ" localSheetId="2">#REF!</definedName>
    <definedName name="HOILINVADJ" localSheetId="42">#REF!</definedName>
    <definedName name="HOILINVADJ" localSheetId="43">#REF!</definedName>
    <definedName name="HOILINVADJ">#REF!</definedName>
    <definedName name="i" localSheetId="2">#REF!</definedName>
    <definedName name="i" localSheetId="42">#REF!</definedName>
    <definedName name="i" localSheetId="43">#REF!</definedName>
    <definedName name="i">#REF!</definedName>
    <definedName name="INCONSEXP" localSheetId="2">#REF!</definedName>
    <definedName name="INCONSEXP" localSheetId="42">#REF!</definedName>
    <definedName name="INCONSEXP" localSheetId="43">#REF!</definedName>
    <definedName name="INCONSEXP">#REF!</definedName>
    <definedName name="INPUTRANGE" localSheetId="2">#REF!</definedName>
    <definedName name="INPUTRANGE" localSheetId="42">#REF!</definedName>
    <definedName name="INPUTRANGE" localSheetId="43">#REF!</definedName>
    <definedName name="INPUTRANGE">#REF!</definedName>
    <definedName name="INPUTS" localSheetId="42">#REF!</definedName>
    <definedName name="INPUTS" localSheetId="43">#REF!</definedName>
    <definedName name="Inter1" localSheetId="43">[12]INVOICE!A$103,[12]INVOICE!A$106,[12]INVOICE!A$109:A$110,[12]INVOICE!XFC$85:XFD$85,[12]INVOICE!XFC$74:XFC$75,[12]INVOICE!A$74:A$75,[12]INVOICE!A$70,[12]INVOICE!XFC$64,[12]INVOICE!A$64,[12]INVOICE!XFD$13:XFD$28,[12]INVOICE!A$15:A$17,[12]INVOICE!XFD$4:A$9,[12]INVOICE!B$8</definedName>
    <definedName name="Inter1">[13]INVOICE!A$103,[13]INVOICE!A$106,[13]INVOICE!A$109:A$110,[13]INVOICE!XFC$85:XFD$85,[13]INVOICE!XFC$74:XFC$75,[13]INVOICE!A$74:A$75,[13]INVOICE!A$70,[13]INVOICE!XFC$64,[13]INVOICE!A$64,[13]INVOICE!XFD$13:XFD$28,[13]INVOICE!A$15:A$17,[13]INVOICE!XFD$4:A$9,[13]INVOICE!B$8</definedName>
    <definedName name="INTERANLYS" localSheetId="2">#REF!</definedName>
    <definedName name="INTERANLYS" localSheetId="42">#REF!</definedName>
    <definedName name="INTERANLYS" localSheetId="43">#REF!</definedName>
    <definedName name="INTERANLYS">#REF!</definedName>
    <definedName name="INVSUMM" localSheetId="42">#REF!</definedName>
    <definedName name="INVSUMM" localSheetId="43">#REF!</definedName>
    <definedName name="INVSUMM">'42-7E'!$A$1:$R$60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13MA" localSheetId="2">#REF!</definedName>
    <definedName name="ITC13MA" localSheetId="42">#REF!</definedName>
    <definedName name="ITC13MA" localSheetId="43">#REF!</definedName>
    <definedName name="ITC13MA">#REF!</definedName>
    <definedName name="ITCF" localSheetId="2">#REF!</definedName>
    <definedName name="ITCF" localSheetId="42">#REF!</definedName>
    <definedName name="ITCF" localSheetId="43">#REF!</definedName>
    <definedName name="ITCF">#REF!</definedName>
    <definedName name="Ivan_Recovery" localSheetId="2">#REF!:#REF!</definedName>
    <definedName name="Ivan_Recovery" localSheetId="42">#REF!:#REF!</definedName>
    <definedName name="Ivan_Recovery" localSheetId="43">#REF!:#REF!</definedName>
    <definedName name="Ivan_Recovery">#REF!:#REF!</definedName>
    <definedName name="janmacro" localSheetId="2">#REF!</definedName>
    <definedName name="janmacro" localSheetId="42">#REF!</definedName>
    <definedName name="janmacro" localSheetId="43">#REF!</definedName>
    <definedName name="janmacro">#REF!</definedName>
    <definedName name="JOURNAL_CATS" localSheetId="2">#REF!</definedName>
    <definedName name="JOURNAL_CATS" localSheetId="42">#REF!</definedName>
    <definedName name="JOURNAL_CATS" localSheetId="43">#REF!</definedName>
    <definedName name="JOURNAL_CATS">#REF!</definedName>
    <definedName name="JournalName" localSheetId="2">#REF!</definedName>
    <definedName name="JournalName" localSheetId="42">#REF!</definedName>
    <definedName name="JournalName" localSheetId="43">#REF!</definedName>
    <definedName name="JournalName">#REF!</definedName>
    <definedName name="JURCOMEQRA" localSheetId="2">#REF!</definedName>
    <definedName name="JURCOMEQRA" localSheetId="42">#REF!</definedName>
    <definedName name="JURCOMEQRA" localSheetId="43">#REF!</definedName>
    <definedName name="JURCOMEQRA">#REF!</definedName>
    <definedName name="JURCWIP" localSheetId="2">#REF!</definedName>
    <definedName name="JURCWIP" localSheetId="42">#REF!</definedName>
    <definedName name="JURCWIP" localSheetId="43">#REF!</definedName>
    <definedName name="JURCWIP">#REF!</definedName>
    <definedName name="JURETURN" localSheetId="2">#REF!</definedName>
    <definedName name="JURETURN" localSheetId="42">#REF!</definedName>
    <definedName name="JURETURN" localSheetId="43">#REF!</definedName>
    <definedName name="JURETURN">#REF!</definedName>
    <definedName name="JUREXP" localSheetId="2">#REF!</definedName>
    <definedName name="JUREXP" localSheetId="42">#REF!</definedName>
    <definedName name="JUREXP" localSheetId="43">#REF!</definedName>
    <definedName name="JUREXP">#REF!</definedName>
    <definedName name="JURNPIS" localSheetId="2">#REF!</definedName>
    <definedName name="JURNPIS" localSheetId="42">#REF!</definedName>
    <definedName name="JURNPIS" localSheetId="43">#REF!</definedName>
    <definedName name="JURNPIS">#REF!</definedName>
    <definedName name="JURPECR" localSheetId="2">#REF!</definedName>
    <definedName name="JURPECR" localSheetId="42">#REF!</definedName>
    <definedName name="JURPECR" localSheetId="43">#REF!</definedName>
    <definedName name="JURPECR">#REF!</definedName>
    <definedName name="JURPHFU" localSheetId="2">#REF!</definedName>
    <definedName name="JURPHFU" localSheetId="42">#REF!</definedName>
    <definedName name="JURPHFU" localSheetId="43">#REF!</definedName>
    <definedName name="JURPHFU">#REF!</definedName>
    <definedName name="JURREV" localSheetId="2">#REF!</definedName>
    <definedName name="JURREV" localSheetId="42">#REF!</definedName>
    <definedName name="JURREV" localSheetId="43">#REF!</definedName>
    <definedName name="JURREV">#REF!</definedName>
    <definedName name="JURROE" localSheetId="2">#REF!</definedName>
    <definedName name="JURROE" localSheetId="42">#REF!</definedName>
    <definedName name="JURROE" localSheetId="43">#REF!</definedName>
    <definedName name="JURROE">#REF!</definedName>
    <definedName name="JURWC" localSheetId="2">#REF!</definedName>
    <definedName name="JURWC" localSheetId="42">#REF!</definedName>
    <definedName name="JURWC" localSheetId="43">#REF!</definedName>
    <definedName name="JURWC">#REF!</definedName>
    <definedName name="LEASEHOLD" localSheetId="2">#REF!</definedName>
    <definedName name="LEASEHOLD" localSheetId="42">#REF!</definedName>
    <definedName name="LEASEHOLD" localSheetId="43">#REF!</definedName>
    <definedName name="LEASEHOLD">#REF!</definedName>
    <definedName name="LineLossMultiplier" localSheetId="0">[14]Inputs!$C$19</definedName>
    <definedName name="LineLossMultiplier" localSheetId="1">[15]Inputs!$C$19</definedName>
    <definedName name="LineLossMultiplier" localSheetId="2">[15]Inputs!$C$19</definedName>
    <definedName name="LineLossMultiplier" localSheetId="3">[15]Inputs!$C$19</definedName>
    <definedName name="LineLossMultiplier" localSheetId="5">[15]Inputs!$C$19</definedName>
    <definedName name="LineLossMultiplier" localSheetId="42">#REF!</definedName>
    <definedName name="LineLossMultiplier" localSheetId="43">#REF!</definedName>
    <definedName name="LineLossMultiplier2">[16]Inputs!$D$34</definedName>
    <definedName name="LOBBYING" localSheetId="2">#REF!</definedName>
    <definedName name="LOBBYING" localSheetId="42">#REF!</definedName>
    <definedName name="LOBBYING" localSheetId="43">#REF!</definedName>
    <definedName name="LOBBYING">#REF!</definedName>
    <definedName name="LOILINVADJ" localSheetId="2">#REF!</definedName>
    <definedName name="LOILINVADJ" localSheetId="42">#REF!</definedName>
    <definedName name="LOILINVADJ" localSheetId="43">#REF!</definedName>
    <definedName name="LOILINVADJ">#REF!</definedName>
    <definedName name="LOWNOX" localSheetId="42">#REF!</definedName>
    <definedName name="LOWNOX" localSheetId="43">#REF!</definedName>
    <definedName name="LOWNOX">'42-8_Project 4'!$A$1:$R$58</definedName>
    <definedName name="LOWNOXDET" localSheetId="42">#REF!</definedName>
    <definedName name="LOWNOXDET" localSheetId="43">#REF!</definedName>
    <definedName name="LOWNOXDET">'42-8_Project 4'!$A$112:$R$260</definedName>
    <definedName name="LTD" localSheetId="2">#REF!</definedName>
    <definedName name="LTD" localSheetId="42">#REF!</definedName>
    <definedName name="LTD" localSheetId="43">#REF!</definedName>
    <definedName name="LTD">#REF!</definedName>
    <definedName name="LTDCSI" localSheetId="2">#REF!</definedName>
    <definedName name="LTDCSI" localSheetId="42">#REF!</definedName>
    <definedName name="LTDCSI" localSheetId="43">#REF!</definedName>
    <definedName name="LTDCSI">#REF!</definedName>
    <definedName name="LTDEBT" localSheetId="2">#REF!</definedName>
    <definedName name="LTDEBT" localSheetId="42">#REF!</definedName>
    <definedName name="LTDEBT" localSheetId="43">#REF!</definedName>
    <definedName name="LTDEBT">#REF!</definedName>
    <definedName name="MACROS" localSheetId="2">#REF!</definedName>
    <definedName name="MACROS" localSheetId="42">#REF!</definedName>
    <definedName name="MACROS" localSheetId="43">#REF!</definedName>
    <definedName name="MACROS">#REF!</definedName>
    <definedName name="MAINMENU" localSheetId="2">'[1]ECCR Expense'!#REF!</definedName>
    <definedName name="MAINMENU" localSheetId="42">'[1]ECCR Expense'!#REF!</definedName>
    <definedName name="MAINMENU" localSheetId="43">'[2]ECCR Expense'!#REF!</definedName>
    <definedName name="MAINMENU">'[1]ECCR Expense'!#REF!</definedName>
    <definedName name="MAPItemSort" localSheetId="2">#REF!</definedName>
    <definedName name="MAPItemSort" localSheetId="42">#REF!</definedName>
    <definedName name="MAPItemSort" localSheetId="43">#REF!</definedName>
    <definedName name="MAPItemSort">#REF!</definedName>
    <definedName name="MEMO" localSheetId="2">#REF!</definedName>
    <definedName name="MEMO" localSheetId="42">#REF!</definedName>
    <definedName name="MEMO" localSheetId="43">#REF!</definedName>
    <definedName name="MEMO">#REF!</definedName>
    <definedName name="MENU" localSheetId="2">'[3]Fuel Sheet'!#REF!</definedName>
    <definedName name="MENU" localSheetId="42">'[3]Fuel Sheet'!#REF!</definedName>
    <definedName name="MENU" localSheetId="43">'[4]Fuel Sheet'!#REF!</definedName>
    <definedName name="MENU">'[3]Fuel Sheet'!#REF!</definedName>
    <definedName name="MenuFormHeight" localSheetId="2">#REF!</definedName>
    <definedName name="MenuFormHeight" localSheetId="42">#REF!</definedName>
    <definedName name="MenuFormHeight" localSheetId="43">#REF!</definedName>
    <definedName name="MenuFormHeight">#REF!</definedName>
    <definedName name="MenuFormWidth" localSheetId="2">#REF!</definedName>
    <definedName name="MenuFormWidth" localSheetId="42">#REF!</definedName>
    <definedName name="MenuFormWidth" localSheetId="43">#REF!</definedName>
    <definedName name="MenuFormWidth">#REF!</definedName>
    <definedName name="Merc_Allow" localSheetId="42">#REF!</definedName>
    <definedName name="Merc_Allow" localSheetId="43">#REF!</definedName>
    <definedName name="MERINVPE" localSheetId="2">#REF!</definedName>
    <definedName name="MERINVPE" localSheetId="42">#REF!</definedName>
    <definedName name="MERINVPE" localSheetId="43">#REF!</definedName>
    <definedName name="MERINVPE">#REF!</definedName>
    <definedName name="MONFUELSAV" localSheetId="2">#REF!</definedName>
    <definedName name="MONFUELSAV" localSheetId="42">#REF!</definedName>
    <definedName name="MONFUELSAV" localSheetId="43">#REF!</definedName>
    <definedName name="MONFUELSAV">#REF!</definedName>
    <definedName name="MONSANTO" localSheetId="2">#REF!</definedName>
    <definedName name="MONSANTO" localSheetId="42">#REF!</definedName>
    <definedName name="MONSANTO" localSheetId="43">#REF!</definedName>
    <definedName name="MONSANTO">#REF!</definedName>
    <definedName name="MonthNumber" localSheetId="2">#REF!</definedName>
    <definedName name="MonthNumber" localSheetId="42">#REF!</definedName>
    <definedName name="MonthNumber" localSheetId="43">#REF!</definedName>
    <definedName name="MonthNumber">#REF!</definedName>
    <definedName name="NBCSTRATE" localSheetId="2">#REF!</definedName>
    <definedName name="NBCSTRATE" localSheetId="42">#REF!</definedName>
    <definedName name="NBCSTRATE" localSheetId="43">#REF!</definedName>
    <definedName name="NBCSTRATE">#REF!</definedName>
    <definedName name="NESB_SODREV" localSheetId="2">#REF!</definedName>
    <definedName name="NESB_SODREV" localSheetId="42">#REF!</definedName>
    <definedName name="NESB_SODREV" localSheetId="43">#REF!</definedName>
    <definedName name="NESB_SODREV">#REF!</definedName>
    <definedName name="NETBONDS" localSheetId="2">#REF!</definedName>
    <definedName name="NETBONDS" localSheetId="42">#REF!</definedName>
    <definedName name="NETBONDS" localSheetId="43">#REF!</definedName>
    <definedName name="NETBONDS">#REF!</definedName>
    <definedName name="NETBONDS13MA" localSheetId="2">#REF!</definedName>
    <definedName name="NETBONDS13MA" localSheetId="42">#REF!</definedName>
    <definedName name="NETBONDS13MA" localSheetId="43">#REF!</definedName>
    <definedName name="NETBONDS13MA">#REF!</definedName>
    <definedName name="NETPRIN" localSheetId="2">#REF!</definedName>
    <definedName name="NETPRIN" localSheetId="42">#REF!</definedName>
    <definedName name="NETPRIN" localSheetId="43">#REF!</definedName>
    <definedName name="NETPRIN">#REF!</definedName>
    <definedName name="new">[17]Inputs!$D$15</definedName>
    <definedName name="NIBPSTK" localSheetId="2">#REF!</definedName>
    <definedName name="NIBPSTK" localSheetId="42">#REF!</definedName>
    <definedName name="NIBPSTK" localSheetId="43">#REF!</definedName>
    <definedName name="NIBPSTK">#REF!</definedName>
    <definedName name="NONCURLIADJ" localSheetId="2">#REF!</definedName>
    <definedName name="NONCURLIADJ" localSheetId="42">#REF!</definedName>
    <definedName name="NONCURLIADJ" localSheetId="43">#REF!</definedName>
    <definedName name="NONCURLIADJ">#REF!</definedName>
    <definedName name="NONUTILADJ" localSheetId="2">#REF!</definedName>
    <definedName name="NONUTILADJ" localSheetId="42">#REF!</definedName>
    <definedName name="NONUTILADJ" localSheetId="43">#REF!</definedName>
    <definedName name="NONUTILADJ">#REF!</definedName>
    <definedName name="NPISRBI" localSheetId="2">#REF!</definedName>
    <definedName name="NPISRBI" localSheetId="42">#REF!</definedName>
    <definedName name="NPISRBI" localSheetId="43">#REF!</definedName>
    <definedName name="NPISRBI">#REF!</definedName>
    <definedName name="NPSITDFE" localSheetId="2">#REF!</definedName>
    <definedName name="NPSITDFE" localSheetId="42">#REF!</definedName>
    <definedName name="NPSITDFE" localSheetId="43">#REF!</definedName>
    <definedName name="NPSITDFE">#REF!</definedName>
    <definedName name="O_T_LIASON" localSheetId="2">#REF!</definedName>
    <definedName name="O_T_LIASON" localSheetId="42">#REF!</definedName>
    <definedName name="O_T_LIASON" localSheetId="43">#REF!</definedName>
    <definedName name="O_T_LIASON">#REF!</definedName>
    <definedName name="OM" localSheetId="2">#REF!</definedName>
    <definedName name="OM" localSheetId="42">#REF!</definedName>
    <definedName name="OM" localSheetId="43">#REF!</definedName>
    <definedName name="OM">#REF!</definedName>
    <definedName name="OMDET" localSheetId="2">#REF!</definedName>
    <definedName name="OMDET" localSheetId="42">#REF!</definedName>
    <definedName name="OMDET" localSheetId="43">#REF!</definedName>
    <definedName name="OMDET">#REF!</definedName>
    <definedName name="OOREV" localSheetId="2">#REF!</definedName>
    <definedName name="OOREV" localSheetId="42">#REF!</definedName>
    <definedName name="OOREV" localSheetId="43">#REF!</definedName>
    <definedName name="OOREV">#REF!</definedName>
    <definedName name="ORRBI" localSheetId="2">#REF!</definedName>
    <definedName name="ORRBI" localSheetId="42">#REF!</definedName>
    <definedName name="ORRBI" localSheetId="43">#REF!</definedName>
    <definedName name="ORRBI">#REF!</definedName>
    <definedName name="OTHER" localSheetId="2">#REF!</definedName>
    <definedName name="OTHER" localSheetId="42">#REF!</definedName>
    <definedName name="OTHER" localSheetId="43">#REF!</definedName>
    <definedName name="OTHER">#REF!</definedName>
    <definedName name="OTHERFDS" localSheetId="2">#REF!</definedName>
    <definedName name="OTHERFDS" localSheetId="42">#REF!</definedName>
    <definedName name="OTHERFDS" localSheetId="43">#REF!</definedName>
    <definedName name="OTHERFDS">#REF!</definedName>
    <definedName name="OTHINVADJ" localSheetId="2">#REF!</definedName>
    <definedName name="OTHINVADJ" localSheetId="42">#REF!</definedName>
    <definedName name="OTHINVADJ" localSheetId="43">#REF!</definedName>
    <definedName name="OTHINVADJ">#REF!</definedName>
    <definedName name="PAGE" localSheetId="2">#REF!</definedName>
    <definedName name="PAGE" localSheetId="42">#REF!</definedName>
    <definedName name="PAGE" localSheetId="43">#REF!</definedName>
    <definedName name="PAGE">#REF!</definedName>
    <definedName name="PAGE1" localSheetId="2">#REF!</definedName>
    <definedName name="PAGE1" localSheetId="42">#REF!</definedName>
    <definedName name="PAGE1" localSheetId="43">#REF!</definedName>
    <definedName name="PAGE1">#REF!</definedName>
    <definedName name="PAGE1_2" localSheetId="2">#REF!</definedName>
    <definedName name="PAGE1_2" localSheetId="42">#REF!</definedName>
    <definedName name="PAGE1_2" localSheetId="43">#REF!</definedName>
    <definedName name="PAGE1_2">#REF!</definedName>
    <definedName name="PAGE1_3" localSheetId="2">#REF!</definedName>
    <definedName name="PAGE1_3" localSheetId="42">#REF!</definedName>
    <definedName name="PAGE1_3" localSheetId="43">#REF!</definedName>
    <definedName name="PAGE1_3">#REF!</definedName>
    <definedName name="PAGE1_4" localSheetId="2">#REF!</definedName>
    <definedName name="PAGE1_4" localSheetId="42">#REF!</definedName>
    <definedName name="PAGE1_4" localSheetId="43">#REF!</definedName>
    <definedName name="PAGE1_4">#REF!</definedName>
    <definedName name="PAGE10" localSheetId="2">#REF!</definedName>
    <definedName name="PAGE10" localSheetId="42">#REF!</definedName>
    <definedName name="PAGE10" localSheetId="43">#REF!</definedName>
    <definedName name="PAGE10">#REF!</definedName>
    <definedName name="PAGE10_2" localSheetId="2">#REF!</definedName>
    <definedName name="PAGE10_2" localSheetId="42">#REF!</definedName>
    <definedName name="PAGE10_2" localSheetId="43">#REF!</definedName>
    <definedName name="PAGE10_2">#REF!</definedName>
    <definedName name="PAGE10_3" localSheetId="2">#REF!</definedName>
    <definedName name="PAGE10_3" localSheetId="42">#REF!</definedName>
    <definedName name="PAGE10_3" localSheetId="43">#REF!</definedName>
    <definedName name="PAGE10_3">#REF!</definedName>
    <definedName name="PAGE100" localSheetId="2">#REF!</definedName>
    <definedName name="PAGE100" localSheetId="42">#REF!</definedName>
    <definedName name="PAGE100" localSheetId="43">#REF!</definedName>
    <definedName name="PAGE100">#REF!</definedName>
    <definedName name="PAGE11" localSheetId="2">#REF!</definedName>
    <definedName name="PAGE11" localSheetId="42">#REF!</definedName>
    <definedName name="PAGE11" localSheetId="43">#REF!</definedName>
    <definedName name="PAGE11">#REF!</definedName>
    <definedName name="PAGE11_2" localSheetId="2">#REF!</definedName>
    <definedName name="PAGE11_2" localSheetId="42">#REF!</definedName>
    <definedName name="PAGE11_2" localSheetId="43">#REF!</definedName>
    <definedName name="PAGE11_2">#REF!</definedName>
    <definedName name="PAGE11_3" localSheetId="2">#REF!</definedName>
    <definedName name="PAGE11_3" localSheetId="42">#REF!</definedName>
    <definedName name="PAGE11_3" localSheetId="43">#REF!</definedName>
    <definedName name="PAGE11_3">#REF!</definedName>
    <definedName name="PAGE12" localSheetId="2">#REF!</definedName>
    <definedName name="PAGE12" localSheetId="42">#REF!</definedName>
    <definedName name="PAGE12" localSheetId="43">#REF!</definedName>
    <definedName name="PAGE12">#REF!</definedName>
    <definedName name="PAGE12_2" localSheetId="2">#REF!</definedName>
    <definedName name="PAGE12_2" localSheetId="42">#REF!</definedName>
    <definedName name="PAGE12_2" localSheetId="43">#REF!</definedName>
    <definedName name="PAGE12_2">#REF!</definedName>
    <definedName name="PAGE12_3" localSheetId="2">#REF!</definedName>
    <definedName name="PAGE12_3" localSheetId="42">#REF!</definedName>
    <definedName name="PAGE12_3" localSheetId="43">#REF!</definedName>
    <definedName name="PAGE12_3">#REF!</definedName>
    <definedName name="PAGE13" localSheetId="2">#REF!</definedName>
    <definedName name="PAGE13" localSheetId="42">#REF!</definedName>
    <definedName name="PAGE13" localSheetId="43">#REF!</definedName>
    <definedName name="PAGE13">#REF!</definedName>
    <definedName name="PAGE13_2" localSheetId="2">#REF!</definedName>
    <definedName name="PAGE13_2" localSheetId="42">#REF!</definedName>
    <definedName name="PAGE13_2" localSheetId="43">#REF!</definedName>
    <definedName name="PAGE13_2">#REF!</definedName>
    <definedName name="PAGE13_3" localSheetId="2">#REF!</definedName>
    <definedName name="PAGE13_3" localSheetId="42">#REF!</definedName>
    <definedName name="PAGE13_3" localSheetId="43">#REF!</definedName>
    <definedName name="PAGE13_3">#REF!</definedName>
    <definedName name="PAGE14" localSheetId="2">#REF!</definedName>
    <definedName name="PAGE14" localSheetId="42">#REF!</definedName>
    <definedName name="PAGE14" localSheetId="43">#REF!</definedName>
    <definedName name="PAGE14">#REF!</definedName>
    <definedName name="PAGE14_3" localSheetId="2">#REF!</definedName>
    <definedName name="PAGE14_3" localSheetId="42">#REF!</definedName>
    <definedName name="PAGE14_3" localSheetId="43">#REF!</definedName>
    <definedName name="PAGE14_3">#REF!</definedName>
    <definedName name="PAGE15" localSheetId="2">#REF!</definedName>
    <definedName name="PAGE15" localSheetId="42">#REF!</definedName>
    <definedName name="PAGE15" localSheetId="43">#REF!</definedName>
    <definedName name="PAGE15">#REF!</definedName>
    <definedName name="PAGE15_3" localSheetId="2">#REF!</definedName>
    <definedName name="PAGE15_3" localSheetId="42">#REF!</definedName>
    <definedName name="PAGE15_3" localSheetId="43">#REF!</definedName>
    <definedName name="PAGE15_3">#REF!</definedName>
    <definedName name="PAGE16" localSheetId="2">#REF!</definedName>
    <definedName name="PAGE16" localSheetId="42">#REF!</definedName>
    <definedName name="PAGE16" localSheetId="43">#REF!</definedName>
    <definedName name="PAGE16">#REF!</definedName>
    <definedName name="PAGE16_3" localSheetId="2">#REF!</definedName>
    <definedName name="PAGE16_3" localSheetId="42">#REF!</definedName>
    <definedName name="PAGE16_3" localSheetId="43">#REF!</definedName>
    <definedName name="PAGE16_3">#REF!</definedName>
    <definedName name="Page16A" localSheetId="2">#REF!</definedName>
    <definedName name="Page16A" localSheetId="42">#REF!</definedName>
    <definedName name="Page16A" localSheetId="43">#REF!</definedName>
    <definedName name="Page16A">#REF!</definedName>
    <definedName name="PAGE17" localSheetId="2">#REF!</definedName>
    <definedName name="PAGE17" localSheetId="42">#REF!</definedName>
    <definedName name="PAGE17" localSheetId="43">#REF!</definedName>
    <definedName name="PAGE17">#REF!</definedName>
    <definedName name="PAGE17_3" localSheetId="2">#REF!</definedName>
    <definedName name="PAGE17_3" localSheetId="42">#REF!</definedName>
    <definedName name="PAGE17_3" localSheetId="43">#REF!</definedName>
    <definedName name="PAGE17_3">#REF!</definedName>
    <definedName name="PAGE18" localSheetId="2">#REF!</definedName>
    <definedName name="PAGE18" localSheetId="42">#REF!</definedName>
    <definedName name="PAGE18" localSheetId="43">#REF!</definedName>
    <definedName name="PAGE18">#REF!</definedName>
    <definedName name="PAGE18A" localSheetId="2">#REF!</definedName>
    <definedName name="PAGE18A" localSheetId="42">#REF!</definedName>
    <definedName name="PAGE18A" localSheetId="43">#REF!</definedName>
    <definedName name="PAGE18A">#REF!</definedName>
    <definedName name="PAGE19" localSheetId="2">#REF!</definedName>
    <definedName name="PAGE19" localSheetId="42">#REF!</definedName>
    <definedName name="PAGE19" localSheetId="43">#REF!</definedName>
    <definedName name="PAGE19">#REF!</definedName>
    <definedName name="PAGE1A" localSheetId="2">#REF!</definedName>
    <definedName name="PAGE1A" localSheetId="42">#REF!</definedName>
    <definedName name="PAGE1A" localSheetId="43">#REF!</definedName>
    <definedName name="PAGE1A">#REF!</definedName>
    <definedName name="PAGE1B" localSheetId="2">#REF!</definedName>
    <definedName name="PAGE1B" localSheetId="42">#REF!</definedName>
    <definedName name="PAGE1B" localSheetId="43">#REF!</definedName>
    <definedName name="PAGE1B">#REF!</definedName>
    <definedName name="PAGE2" localSheetId="2">#REF!</definedName>
    <definedName name="PAGE2" localSheetId="42">#REF!</definedName>
    <definedName name="PAGE2" localSheetId="43">#REF!</definedName>
    <definedName name="PAGE2">#REF!</definedName>
    <definedName name="PAGE2_2" localSheetId="2">#REF!</definedName>
    <definedName name="PAGE2_2" localSheetId="42">#REF!</definedName>
    <definedName name="PAGE2_2" localSheetId="43">#REF!</definedName>
    <definedName name="PAGE2_2">#REF!</definedName>
    <definedName name="PAGE2_3" localSheetId="2">#REF!</definedName>
    <definedName name="PAGE2_3" localSheetId="42">#REF!</definedName>
    <definedName name="PAGE2_3" localSheetId="43">#REF!</definedName>
    <definedName name="PAGE2_3">#REF!</definedName>
    <definedName name="PAGE2_4" localSheetId="2">#REF!</definedName>
    <definedName name="PAGE2_4" localSheetId="42">#REF!</definedName>
    <definedName name="PAGE2_4" localSheetId="43">#REF!</definedName>
    <definedName name="PAGE2_4">#REF!</definedName>
    <definedName name="PAGE20" localSheetId="2">#REF!</definedName>
    <definedName name="PAGE20" localSheetId="42">#REF!</definedName>
    <definedName name="PAGE20" localSheetId="43">#REF!</definedName>
    <definedName name="PAGE20">#REF!</definedName>
    <definedName name="PAGE200" localSheetId="2">#REF!</definedName>
    <definedName name="PAGE200" localSheetId="42">#REF!</definedName>
    <definedName name="PAGE200" localSheetId="43">#REF!</definedName>
    <definedName name="PAGE200">#REF!</definedName>
    <definedName name="PAGE21" localSheetId="2">#REF!</definedName>
    <definedName name="PAGE21" localSheetId="42">#REF!</definedName>
    <definedName name="PAGE21" localSheetId="43">#REF!</definedName>
    <definedName name="PAGE21">#REF!</definedName>
    <definedName name="PAGE22" localSheetId="2">#REF!</definedName>
    <definedName name="PAGE22" localSheetId="42">#REF!</definedName>
    <definedName name="PAGE22" localSheetId="43">#REF!</definedName>
    <definedName name="PAGE22">#REF!</definedName>
    <definedName name="PAGE23" localSheetId="2">#REF!</definedName>
    <definedName name="PAGE23" localSheetId="42">#REF!</definedName>
    <definedName name="PAGE23" localSheetId="43">#REF!</definedName>
    <definedName name="PAGE23">#REF!</definedName>
    <definedName name="PAGE24" localSheetId="2">#REF!</definedName>
    <definedName name="PAGE24" localSheetId="42">#REF!</definedName>
    <definedName name="PAGE24" localSheetId="43">#REF!</definedName>
    <definedName name="PAGE24">#REF!</definedName>
    <definedName name="PAGE25" localSheetId="2">#REF!</definedName>
    <definedName name="PAGE25" localSheetId="42">#REF!</definedName>
    <definedName name="PAGE25" localSheetId="43">#REF!</definedName>
    <definedName name="PAGE25">#REF!</definedName>
    <definedName name="PAGE26" localSheetId="2">#REF!</definedName>
    <definedName name="PAGE26" localSheetId="42">#REF!</definedName>
    <definedName name="PAGE26" localSheetId="43">#REF!</definedName>
    <definedName name="PAGE26">#REF!</definedName>
    <definedName name="PAGE27" localSheetId="2">#REF!</definedName>
    <definedName name="PAGE27" localSheetId="42">#REF!</definedName>
    <definedName name="PAGE27" localSheetId="43">#REF!</definedName>
    <definedName name="PAGE27">#REF!</definedName>
    <definedName name="PAGE27SUP2" localSheetId="2">#REF!</definedName>
    <definedName name="PAGE27SUP2" localSheetId="42">#REF!</definedName>
    <definedName name="PAGE27SUP2" localSheetId="43">#REF!</definedName>
    <definedName name="PAGE27SUP2">#REF!</definedName>
    <definedName name="PAGE27Sup3" localSheetId="2">#REF!</definedName>
    <definedName name="PAGE27Sup3" localSheetId="42">#REF!</definedName>
    <definedName name="PAGE27Sup3" localSheetId="43">#REF!</definedName>
    <definedName name="PAGE27Sup3">#REF!</definedName>
    <definedName name="PAGE27Sup3Sht2" localSheetId="2">#REF!</definedName>
    <definedName name="PAGE27Sup3Sht2" localSheetId="42">#REF!</definedName>
    <definedName name="PAGE27Sup3Sht2" localSheetId="43">#REF!</definedName>
    <definedName name="PAGE27Sup3Sht2">#REF!</definedName>
    <definedName name="PAGE27Sup3Sht3" localSheetId="2">#REF!</definedName>
    <definedName name="PAGE27Sup3Sht3" localSheetId="42">#REF!</definedName>
    <definedName name="PAGE27Sup3Sht3" localSheetId="43">#REF!</definedName>
    <definedName name="PAGE27Sup3Sht3">#REF!</definedName>
    <definedName name="PAGE28" localSheetId="2">#REF!</definedName>
    <definedName name="PAGE28" localSheetId="42">#REF!</definedName>
    <definedName name="PAGE28" localSheetId="43">#REF!</definedName>
    <definedName name="PAGE28">#REF!</definedName>
    <definedName name="PAGE29" localSheetId="2">#REF!</definedName>
    <definedName name="PAGE29" localSheetId="42">#REF!</definedName>
    <definedName name="PAGE29" localSheetId="43">#REF!</definedName>
    <definedName name="PAGE29">#REF!</definedName>
    <definedName name="Page3" localSheetId="2">#REF!</definedName>
    <definedName name="Page3" localSheetId="42">#REF!</definedName>
    <definedName name="Page3" localSheetId="43">#REF!</definedName>
    <definedName name="Page3">#REF!</definedName>
    <definedName name="PAGE3_2" localSheetId="2">#REF!</definedName>
    <definedName name="PAGE3_2" localSheetId="42">#REF!</definedName>
    <definedName name="PAGE3_2" localSheetId="43">#REF!</definedName>
    <definedName name="PAGE3_2">#REF!</definedName>
    <definedName name="PAGE3_3" localSheetId="2">#REF!</definedName>
    <definedName name="PAGE3_3" localSheetId="42">#REF!</definedName>
    <definedName name="PAGE3_3" localSheetId="43">#REF!</definedName>
    <definedName name="PAGE3_3">#REF!</definedName>
    <definedName name="PAGE3_4" localSheetId="2">#REF!</definedName>
    <definedName name="PAGE3_4" localSheetId="42">#REF!</definedName>
    <definedName name="PAGE3_4" localSheetId="43">#REF!</definedName>
    <definedName name="PAGE3_4">#REF!</definedName>
    <definedName name="PAGE30" localSheetId="2">#REF!</definedName>
    <definedName name="PAGE30" localSheetId="42">#REF!</definedName>
    <definedName name="PAGE30" localSheetId="43">#REF!</definedName>
    <definedName name="PAGE30">#REF!</definedName>
    <definedName name="PAGE300" localSheetId="2">#REF!</definedName>
    <definedName name="PAGE300" localSheetId="42">#REF!</definedName>
    <definedName name="PAGE300" localSheetId="43">#REF!</definedName>
    <definedName name="PAGE300">#REF!</definedName>
    <definedName name="PAGE31" localSheetId="2">#REF!</definedName>
    <definedName name="PAGE31" localSheetId="42">#REF!</definedName>
    <definedName name="PAGE31" localSheetId="43">#REF!</definedName>
    <definedName name="PAGE31">#REF!</definedName>
    <definedName name="PAGE32" localSheetId="2">#REF!</definedName>
    <definedName name="PAGE32" localSheetId="42">#REF!</definedName>
    <definedName name="PAGE32" localSheetId="43">#REF!</definedName>
    <definedName name="PAGE32">#REF!</definedName>
    <definedName name="PAGE3A" localSheetId="2">#REF!</definedName>
    <definedName name="PAGE3A" localSheetId="42">#REF!</definedName>
    <definedName name="PAGE3A" localSheetId="43">#REF!</definedName>
    <definedName name="PAGE3A">#REF!</definedName>
    <definedName name="PAGE3SHT1OF2" localSheetId="2">#REF!</definedName>
    <definedName name="PAGE3SHT1OF2" localSheetId="42">#REF!</definedName>
    <definedName name="PAGE3SHT1OF2" localSheetId="43">#REF!</definedName>
    <definedName name="PAGE3SHT1OF2">#REF!</definedName>
    <definedName name="PAGE3SHT2OF2" localSheetId="2">#REF!</definedName>
    <definedName name="PAGE3SHT2OF2" localSheetId="42">#REF!</definedName>
    <definedName name="PAGE3SHT2OF2" localSheetId="43">#REF!</definedName>
    <definedName name="PAGE3SHT2OF2">#REF!</definedName>
    <definedName name="PAGE4" localSheetId="2">#REF!</definedName>
    <definedName name="PAGE4" localSheetId="42">#REF!</definedName>
    <definedName name="PAGE4" localSheetId="43">#REF!</definedName>
    <definedName name="PAGE4">#REF!</definedName>
    <definedName name="PAGE4_2" localSheetId="2">#REF!</definedName>
    <definedName name="PAGE4_2" localSheetId="42">#REF!</definedName>
    <definedName name="PAGE4_2" localSheetId="43">#REF!</definedName>
    <definedName name="PAGE4_2">#REF!</definedName>
    <definedName name="PAGE4_3" localSheetId="2">#REF!</definedName>
    <definedName name="PAGE4_3" localSheetId="42">#REF!</definedName>
    <definedName name="PAGE4_3" localSheetId="43">#REF!</definedName>
    <definedName name="PAGE4_3">#REF!</definedName>
    <definedName name="PAGE4_4" localSheetId="2">#REF!</definedName>
    <definedName name="PAGE4_4" localSheetId="42">#REF!</definedName>
    <definedName name="PAGE4_4" localSheetId="43">#REF!</definedName>
    <definedName name="PAGE4_4">#REF!</definedName>
    <definedName name="PAGE400" localSheetId="2">#REF!</definedName>
    <definedName name="PAGE400" localSheetId="42">#REF!</definedName>
    <definedName name="PAGE400" localSheetId="43">#REF!</definedName>
    <definedName name="PAGE400">#REF!</definedName>
    <definedName name="PAGE5" localSheetId="2">#REF!</definedName>
    <definedName name="PAGE5" localSheetId="42">#REF!</definedName>
    <definedName name="PAGE5" localSheetId="43">#REF!</definedName>
    <definedName name="PAGE5">#REF!</definedName>
    <definedName name="PAGE5_2" localSheetId="2">#REF!</definedName>
    <definedName name="PAGE5_2" localSheetId="42">#REF!</definedName>
    <definedName name="PAGE5_2" localSheetId="43">#REF!</definedName>
    <definedName name="PAGE5_2">#REF!</definedName>
    <definedName name="PAGE5_3" localSheetId="2">#REF!</definedName>
    <definedName name="PAGE5_3" localSheetId="42">#REF!</definedName>
    <definedName name="PAGE5_3" localSheetId="43">#REF!</definedName>
    <definedName name="PAGE5_3">#REF!</definedName>
    <definedName name="PAGE5_4" localSheetId="2">#REF!</definedName>
    <definedName name="PAGE5_4" localSheetId="42">#REF!</definedName>
    <definedName name="PAGE5_4" localSheetId="43">#REF!</definedName>
    <definedName name="PAGE5_4">#REF!</definedName>
    <definedName name="PAGE500" localSheetId="2">#REF!</definedName>
    <definedName name="PAGE500" localSheetId="42">#REF!</definedName>
    <definedName name="PAGE500" localSheetId="43">#REF!</definedName>
    <definedName name="PAGE500">#REF!</definedName>
    <definedName name="PAGE6" localSheetId="2">#REF!</definedName>
    <definedName name="PAGE6" localSheetId="42">#REF!</definedName>
    <definedName name="PAGE6" localSheetId="43">#REF!</definedName>
    <definedName name="PAGE6">#REF!</definedName>
    <definedName name="PAGE6_2" localSheetId="2">#REF!</definedName>
    <definedName name="PAGE6_2" localSheetId="42">#REF!</definedName>
    <definedName name="PAGE6_2" localSheetId="43">#REF!</definedName>
    <definedName name="PAGE6_2">#REF!</definedName>
    <definedName name="PAGE6_3" localSheetId="2">#REF!</definedName>
    <definedName name="PAGE6_3" localSheetId="42">#REF!</definedName>
    <definedName name="PAGE6_3" localSheetId="43">#REF!</definedName>
    <definedName name="PAGE6_3">#REF!</definedName>
    <definedName name="PAGE6_4" localSheetId="2">#REF!</definedName>
    <definedName name="PAGE6_4" localSheetId="42">#REF!</definedName>
    <definedName name="PAGE6_4" localSheetId="43">#REF!</definedName>
    <definedName name="PAGE6_4">#REF!</definedName>
    <definedName name="PAGE600" localSheetId="2">#REF!</definedName>
    <definedName name="PAGE600" localSheetId="42">#REF!</definedName>
    <definedName name="PAGE600" localSheetId="43">#REF!</definedName>
    <definedName name="PAGE600">#REF!</definedName>
    <definedName name="PAGE7" localSheetId="2">#REF!</definedName>
    <definedName name="PAGE7" localSheetId="42">#REF!</definedName>
    <definedName name="PAGE7" localSheetId="43">#REF!</definedName>
    <definedName name="PAGE7">#REF!</definedName>
    <definedName name="PAGE7_2" localSheetId="2">#REF!</definedName>
    <definedName name="PAGE7_2" localSheetId="42">#REF!</definedName>
    <definedName name="PAGE7_2" localSheetId="43">#REF!</definedName>
    <definedName name="PAGE7_2">#REF!</definedName>
    <definedName name="PAGE7_3" localSheetId="2">#REF!</definedName>
    <definedName name="PAGE7_3" localSheetId="42">#REF!</definedName>
    <definedName name="PAGE7_3" localSheetId="43">#REF!</definedName>
    <definedName name="PAGE7_3">#REF!</definedName>
    <definedName name="PAGE700" localSheetId="2">#REF!</definedName>
    <definedName name="PAGE700" localSheetId="42">#REF!</definedName>
    <definedName name="PAGE700" localSheetId="43">#REF!</definedName>
    <definedName name="PAGE700">#REF!</definedName>
    <definedName name="PAGE8" localSheetId="2">#REF!</definedName>
    <definedName name="PAGE8" localSheetId="42">#REF!</definedName>
    <definedName name="PAGE8" localSheetId="43">#REF!</definedName>
    <definedName name="PAGE8">#REF!</definedName>
    <definedName name="PAGE8_2" localSheetId="2">#REF!</definedName>
    <definedName name="PAGE8_2" localSheetId="42">#REF!</definedName>
    <definedName name="PAGE8_2" localSheetId="43">#REF!</definedName>
    <definedName name="PAGE8_2">#REF!</definedName>
    <definedName name="PAGE8_3" localSheetId="2">#REF!</definedName>
    <definedName name="PAGE8_3" localSheetId="42">#REF!</definedName>
    <definedName name="PAGE8_3" localSheetId="43">#REF!</definedName>
    <definedName name="PAGE8_3">#REF!</definedName>
    <definedName name="PAGE800" localSheetId="2">#REF!</definedName>
    <definedName name="PAGE800" localSheetId="42">#REF!</definedName>
    <definedName name="PAGE800" localSheetId="43">#REF!</definedName>
    <definedName name="PAGE800">#REF!</definedName>
    <definedName name="PAGE8AB" localSheetId="2">#REF!</definedName>
    <definedName name="PAGE8AB" localSheetId="42">#REF!</definedName>
    <definedName name="PAGE8AB" localSheetId="43">#REF!</definedName>
    <definedName name="PAGE8AB">#REF!</definedName>
    <definedName name="PAGE8B" localSheetId="2">#REF!</definedName>
    <definedName name="PAGE8B" localSheetId="42">#REF!</definedName>
    <definedName name="PAGE8B" localSheetId="43">#REF!</definedName>
    <definedName name="PAGE8B">#REF!</definedName>
    <definedName name="PAGE9" localSheetId="2">#REF!</definedName>
    <definedName name="PAGE9" localSheetId="42">#REF!</definedName>
    <definedName name="PAGE9" localSheetId="43">#REF!</definedName>
    <definedName name="PAGE9">#REF!</definedName>
    <definedName name="PAGE9_2" localSheetId="2">#REF!</definedName>
    <definedName name="PAGE9_2" localSheetId="42">#REF!</definedName>
    <definedName name="PAGE9_2" localSheetId="43">#REF!</definedName>
    <definedName name="PAGE9_2">#REF!</definedName>
    <definedName name="PAGE9_3" localSheetId="2">#REF!</definedName>
    <definedName name="PAGE9_3" localSheetId="42">#REF!</definedName>
    <definedName name="PAGE9_3" localSheetId="43">#REF!</definedName>
    <definedName name="PAGE9_3">#REF!</definedName>
    <definedName name="PAGE900" localSheetId="2">#REF!</definedName>
    <definedName name="PAGE900" localSheetId="42">#REF!</definedName>
    <definedName name="PAGE900" localSheetId="43">#REF!</definedName>
    <definedName name="PAGE900">#REF!</definedName>
    <definedName name="PAGERET" localSheetId="2">#REF!</definedName>
    <definedName name="PAGERET" localSheetId="42">#REF!</definedName>
    <definedName name="PAGERET" localSheetId="43">#REF!</definedName>
    <definedName name="PAGERET">#REF!</definedName>
    <definedName name="PCCSI" localSheetId="2">#REF!</definedName>
    <definedName name="PCCSI" localSheetId="42">#REF!</definedName>
    <definedName name="PCCSI" localSheetId="43">#REF!</definedName>
    <definedName name="PCCSI">#REF!</definedName>
    <definedName name="PDIV" localSheetId="2">#REF!</definedName>
    <definedName name="PDIV" localSheetId="42">#REF!</definedName>
    <definedName name="PDIV" localSheetId="43">#REF!</definedName>
    <definedName name="PDIV">#REF!</definedName>
    <definedName name="PE_A_D3FL" localSheetId="2">#REF!</definedName>
    <definedName name="PE_A_D3FL" localSheetId="42">#REF!</definedName>
    <definedName name="PE_A_D3FL" localSheetId="43">#REF!</definedName>
    <definedName name="PE_A_D3FL">#REF!</definedName>
    <definedName name="PE3ITC" localSheetId="2">#REF!</definedName>
    <definedName name="PE3ITC" localSheetId="42">#REF!</definedName>
    <definedName name="PE3ITC" localSheetId="43">#REF!</definedName>
    <definedName name="PE3ITC">#REF!</definedName>
    <definedName name="PE4ITC" localSheetId="2">#REF!</definedName>
    <definedName name="PE4ITC" localSheetId="42">#REF!</definedName>
    <definedName name="PE4ITC" localSheetId="43">#REF!</definedName>
    <definedName name="PE4ITC">#REF!</definedName>
    <definedName name="PEABODY" localSheetId="2">#REF!</definedName>
    <definedName name="PEABODY" localSheetId="42">#REF!</definedName>
    <definedName name="PEABODY" localSheetId="43">#REF!</definedName>
    <definedName name="PEABODY">#REF!</definedName>
    <definedName name="PEABODYPRE" localSheetId="2">#REF!</definedName>
    <definedName name="PEABODYPRE" localSheetId="42">#REF!</definedName>
    <definedName name="PEABODYPRE" localSheetId="43">#REF!</definedName>
    <definedName name="PEABODYPRE">#REF!</definedName>
    <definedName name="PEALLUPS" localSheetId="2">#REF!</definedName>
    <definedName name="PEALLUPS" localSheetId="42">#REF!</definedName>
    <definedName name="PEALLUPS" localSheetId="43">#REF!</definedName>
    <definedName name="PEALLUPS">#REF!</definedName>
    <definedName name="PEBUSDV_A_D" localSheetId="2">#REF!</definedName>
    <definedName name="PEBUSDV_A_D" localSheetId="42">#REF!</definedName>
    <definedName name="PEBUSDV_A_D" localSheetId="43">#REF!</definedName>
    <definedName name="PEBUSDV_A_D">#REF!</definedName>
    <definedName name="PEBUSDVINV" localSheetId="2">#REF!</definedName>
    <definedName name="PEBUSDVINV" localSheetId="42">#REF!</definedName>
    <definedName name="PEBUSDVINV" localSheetId="43">#REF!</definedName>
    <definedName name="PEBUSDVINV">#REF!</definedName>
    <definedName name="PECOMEQ" localSheetId="2">#REF!</definedName>
    <definedName name="PECOMEQ" localSheetId="42">#REF!</definedName>
    <definedName name="PECOMEQ" localSheetId="43">#REF!</definedName>
    <definedName name="PECOMEQ">#REF!</definedName>
    <definedName name="PECSBONDS" localSheetId="2">#REF!</definedName>
    <definedName name="PECSBONDS" localSheetId="42">#REF!</definedName>
    <definedName name="PECSBONDS" localSheetId="43">#REF!</definedName>
    <definedName name="PECSBONDS">#REF!</definedName>
    <definedName name="PECSCRB" localSheetId="2">#REF!</definedName>
    <definedName name="PECSCRB" localSheetId="42">#REF!</definedName>
    <definedName name="PECSCRB" localSheetId="43">#REF!</definedName>
    <definedName name="PECSCRB">#REF!</definedName>
    <definedName name="PECSCRPS" localSheetId="2">#REF!</definedName>
    <definedName name="PECSCRPS" localSheetId="42">#REF!</definedName>
    <definedName name="PECSCRPS" localSheetId="43">#REF!</definedName>
    <definedName name="PECSCRPS">#REF!</definedName>
    <definedName name="PECSCUSDEP" localSheetId="2">#REF!</definedName>
    <definedName name="PECSCUSDEP" localSheetId="42">#REF!</definedName>
    <definedName name="PECSCUSDEP" localSheetId="43">#REF!</definedName>
    <definedName name="PECSCUSDEP">#REF!</definedName>
    <definedName name="PECSPRSTK" localSheetId="2">#REF!</definedName>
    <definedName name="PECSPRSTK" localSheetId="42">#REF!</definedName>
    <definedName name="PECSPRSTK" localSheetId="43">#REF!</definedName>
    <definedName name="PECSPRSTK">#REF!</definedName>
    <definedName name="PECSSTD" localSheetId="2">#REF!</definedName>
    <definedName name="PECSSTD" localSheetId="42">#REF!</definedName>
    <definedName name="PECSSTD" localSheetId="43">#REF!</definedName>
    <definedName name="PECSSTD">#REF!</definedName>
    <definedName name="PECWIP" localSheetId="2">#REF!</definedName>
    <definedName name="PECWIP" localSheetId="42">#REF!</definedName>
    <definedName name="PECWIP" localSheetId="43">#REF!</definedName>
    <definedName name="PECWIP">#REF!</definedName>
    <definedName name="PEDANIEL" localSheetId="2">#REF!</definedName>
    <definedName name="PEDANIEL" localSheetId="42">#REF!</definedName>
    <definedName name="PEDANIEL" localSheetId="43">#REF!</definedName>
    <definedName name="PEDANIEL">#REF!</definedName>
    <definedName name="PEDEFTAX" localSheetId="2">#REF!</definedName>
    <definedName name="PEDEFTAX" localSheetId="42">#REF!</definedName>
    <definedName name="PEDEFTAX" localSheetId="43">#REF!</definedName>
    <definedName name="PEDEFTAX">#REF!</definedName>
    <definedName name="PEDEFTX" localSheetId="2">#REF!</definedName>
    <definedName name="PEDEFTX" localSheetId="42">#REF!</definedName>
    <definedName name="PEDEFTX" localSheetId="43">#REF!</definedName>
    <definedName name="PEDEFTX">#REF!</definedName>
    <definedName name="PEDEP" localSheetId="2">#REF!</definedName>
    <definedName name="PEDEP" localSheetId="42">#REF!</definedName>
    <definedName name="PEDEP" localSheetId="43">#REF!</definedName>
    <definedName name="PEDEP">#REF!</definedName>
    <definedName name="PEDEPR" localSheetId="2">#REF!</definedName>
    <definedName name="PEDEPR" localSheetId="42">#REF!</definedName>
    <definedName name="PEDEPR" localSheetId="43">#REF!</definedName>
    <definedName name="PEDEPR">#REF!</definedName>
    <definedName name="PEEXDCCDEPR" localSheetId="2">#REF!</definedName>
    <definedName name="PEEXDCCDEPR" localSheetId="42">#REF!</definedName>
    <definedName name="PEEXDCCDEPR" localSheetId="43">#REF!</definedName>
    <definedName name="PEEXDCCDEPR">#REF!</definedName>
    <definedName name="PEEXDCCINV" localSheetId="2">#REF!</definedName>
    <definedName name="PEEXDCCINV" localSheetId="42">#REF!</definedName>
    <definedName name="PEEXDCCINV" localSheetId="43">#REF!</definedName>
    <definedName name="PEEXDCCINV">#REF!</definedName>
    <definedName name="PEEXINCWIP" localSheetId="2">#REF!</definedName>
    <definedName name="PEEXINCWIP" localSheetId="42">#REF!</definedName>
    <definedName name="PEEXINCWIP" localSheetId="43">#REF!</definedName>
    <definedName name="PEEXINCWIP">#REF!</definedName>
    <definedName name="PEEXLLCWIP" localSheetId="2">#REF!</definedName>
    <definedName name="PEEXLLCWIP" localSheetId="42">#REF!</definedName>
    <definedName name="PEEXLLCWIP" localSheetId="43">#REF!</definedName>
    <definedName name="PEEXLLCWIP">#REF!</definedName>
    <definedName name="PEEXLLDEPR" localSheetId="2">#REF!</definedName>
    <definedName name="PEEXLLDEPR" localSheetId="42">#REF!</definedName>
    <definedName name="PEEXLLDEPR" localSheetId="43">#REF!</definedName>
    <definedName name="PEEXLLDEPR">#REF!</definedName>
    <definedName name="PEEXLLPIS" localSheetId="2">#REF!</definedName>
    <definedName name="PEEXLLPIS" localSheetId="42">#REF!</definedName>
    <definedName name="PEEXLLPIS" localSheetId="43">#REF!</definedName>
    <definedName name="PEEXLLPIS">#REF!</definedName>
    <definedName name="PEEXSSDEPR" localSheetId="2">#REF!</definedName>
    <definedName name="PEEXSSDEPR" localSheetId="42">#REF!</definedName>
    <definedName name="PEEXSSDEPR" localSheetId="43">#REF!</definedName>
    <definedName name="PEEXSSDEPR">#REF!</definedName>
    <definedName name="PEEXSSINV" localSheetId="2">#REF!</definedName>
    <definedName name="PEEXSSINV" localSheetId="42">#REF!</definedName>
    <definedName name="PEEXSSINV" localSheetId="43">#REF!</definedName>
    <definedName name="PEEXSSINV">#REF!</definedName>
    <definedName name="PEFUEL" localSheetId="2">#REF!</definedName>
    <definedName name="PEFUEL" localSheetId="42">#REF!</definedName>
    <definedName name="PEFUEL" localSheetId="43">#REF!</definedName>
    <definedName name="PEFUEL">#REF!</definedName>
    <definedName name="PEGPIS1" localSheetId="2">#REF!</definedName>
    <definedName name="PEGPIS1" localSheetId="42">#REF!</definedName>
    <definedName name="PEGPIS1" localSheetId="43">#REF!</definedName>
    <definedName name="PEGPIS1">#REF!</definedName>
    <definedName name="PEGPIS2" localSheetId="2">#REF!</definedName>
    <definedName name="PEGPIS2" localSheetId="42">#REF!</definedName>
    <definedName name="PEGPIS2" localSheetId="43">#REF!</definedName>
    <definedName name="PEGPIS2">#REF!</definedName>
    <definedName name="PEGPIS3" localSheetId="2">#REF!</definedName>
    <definedName name="PEGPIS3" localSheetId="42">#REF!</definedName>
    <definedName name="PEGPIS3" localSheetId="43">#REF!</definedName>
    <definedName name="PEGPIS3">#REF!</definedName>
    <definedName name="PEINTSYNC" localSheetId="2">#REF!</definedName>
    <definedName name="PEINTSYNC" localSheetId="42">#REF!</definedName>
    <definedName name="PEINTSYNC" localSheetId="43">#REF!</definedName>
    <definedName name="PEINTSYNC">#REF!</definedName>
    <definedName name="PEJURBCR" localSheetId="2">#REF!</definedName>
    <definedName name="PEJURBCR" localSheetId="42">#REF!</definedName>
    <definedName name="PEJURBCR" localSheetId="43">#REF!</definedName>
    <definedName name="PEJURBCR">#REF!</definedName>
    <definedName name="PEJURPSCR" localSheetId="2">#REF!</definedName>
    <definedName name="PEJURPSCR" localSheetId="42">#REF!</definedName>
    <definedName name="PEJURPSCR" localSheetId="43">#REF!</definedName>
    <definedName name="PEJURPSCR">#REF!</definedName>
    <definedName name="PEJURWC" localSheetId="2">#REF!</definedName>
    <definedName name="PEJURWC" localSheetId="42">#REF!</definedName>
    <definedName name="PEJURWC" localSheetId="43">#REF!</definedName>
    <definedName name="PEJURWC">#REF!</definedName>
    <definedName name="PELM" localSheetId="2">#REF!</definedName>
    <definedName name="PELM" localSheetId="42">#REF!</definedName>
    <definedName name="PELM" localSheetId="43">#REF!</definedName>
    <definedName name="PELM">#REF!</definedName>
    <definedName name="PEMS" localSheetId="2">#REF!</definedName>
    <definedName name="PEMS" localSheetId="42">#REF!</definedName>
    <definedName name="PEMS" localSheetId="43">#REF!</definedName>
    <definedName name="PEMS">#REF!</definedName>
    <definedName name="PENETBOND" localSheetId="2">#REF!</definedName>
    <definedName name="PENETBOND" localSheetId="42">#REF!</definedName>
    <definedName name="PENETBOND" localSheetId="43">#REF!</definedName>
    <definedName name="PENETBOND">#REF!</definedName>
    <definedName name="PENTAD" localSheetId="2">#REF!</definedName>
    <definedName name="PENTAD" localSheetId="42">#REF!</definedName>
    <definedName name="PENTAD" localSheetId="43">#REF!</definedName>
    <definedName name="PENTAD">#REF!</definedName>
    <definedName name="PENTPIS" localSheetId="2">#REF!</definedName>
    <definedName name="PENTPIS" localSheetId="42">#REF!</definedName>
    <definedName name="PENTPIS" localSheetId="43">#REF!</definedName>
    <definedName name="PENTPIS">#REF!</definedName>
    <definedName name="PENVYHSA_D" localSheetId="2">#REF!</definedName>
    <definedName name="PENVYHSA_D" localSheetId="42">#REF!</definedName>
    <definedName name="PENVYHSA_D" localSheetId="43">#REF!</definedName>
    <definedName name="PENVYHSA_D">#REF!</definedName>
    <definedName name="PENVYHSINV" localSheetId="2">#REF!</definedName>
    <definedName name="PENVYHSINV" localSheetId="42">#REF!</definedName>
    <definedName name="PENVYHSINV" localSheetId="43">#REF!</definedName>
    <definedName name="PENVYHSINV">#REF!</definedName>
    <definedName name="PEOTWC" localSheetId="2">#REF!</definedName>
    <definedName name="PEOTWC" localSheetId="42">#REF!</definedName>
    <definedName name="PEOTWC" localSheetId="43">#REF!</definedName>
    <definedName name="PEOTWC">#REF!</definedName>
    <definedName name="PEP" localSheetId="2">#REF!</definedName>
    <definedName name="PEP" localSheetId="42">#REF!</definedName>
    <definedName name="PEP" localSheetId="43">#REF!</definedName>
    <definedName name="PEP">#REF!</definedName>
    <definedName name="PEPBCB" localSheetId="2">#REF!</definedName>
    <definedName name="PEPBCB" localSheetId="42">#REF!</definedName>
    <definedName name="PEPBCB" localSheetId="43">#REF!</definedName>
    <definedName name="PEPBCB">#REF!</definedName>
    <definedName name="PEPBEQUITY" localSheetId="2">#REF!</definedName>
    <definedName name="PEPBEQUITY" localSheetId="42">#REF!</definedName>
    <definedName name="PEPBEQUITY" localSheetId="43">#REF!</definedName>
    <definedName name="PEPBEQUITY">#REF!</definedName>
    <definedName name="PEPBSTDT" localSheetId="2">#REF!</definedName>
    <definedName name="PEPBSTDT" localSheetId="42">#REF!</definedName>
    <definedName name="PEPBSTDT" localSheetId="43">#REF!</definedName>
    <definedName name="PEPBSTDT">#REF!</definedName>
    <definedName name="PEPHFU" localSheetId="2">#REF!</definedName>
    <definedName name="PEPHFU" localSheetId="42">#REF!</definedName>
    <definedName name="PEPHFU" localSheetId="43">#REF!</definedName>
    <definedName name="PEPHFU">#REF!</definedName>
    <definedName name="PEPHFUSOD" localSheetId="2">#REF!</definedName>
    <definedName name="PEPHFUSOD" localSheetId="42">#REF!</definedName>
    <definedName name="PEPHFUSOD" localSheetId="43">#REF!</definedName>
    <definedName name="PEPHFUSOD">#REF!</definedName>
    <definedName name="PEPIS" localSheetId="2">#REF!</definedName>
    <definedName name="PEPIS" localSheetId="42">#REF!</definedName>
    <definedName name="PEPIS" localSheetId="43">#REF!</definedName>
    <definedName name="PEPIS">#REF!</definedName>
    <definedName name="PEPIS1" localSheetId="2">#REF!</definedName>
    <definedName name="PEPIS1" localSheetId="42">#REF!</definedName>
    <definedName name="PEPIS1" localSheetId="43">#REF!</definedName>
    <definedName name="PEPIS1">#REF!</definedName>
    <definedName name="PEPIS2" localSheetId="2">#REF!</definedName>
    <definedName name="PEPIS2" localSheetId="42">#REF!</definedName>
    <definedName name="PEPIS2" localSheetId="43">#REF!</definedName>
    <definedName name="PEPIS2">#REF!</definedName>
    <definedName name="PEPIS3" localSheetId="2">#REF!</definedName>
    <definedName name="PEPIS3" localSheetId="42">#REF!</definedName>
    <definedName name="PEPIS3" localSheetId="43">#REF!</definedName>
    <definedName name="PEPIS3">#REF!</definedName>
    <definedName name="PEPIS3FL" localSheetId="2">#REF!</definedName>
    <definedName name="PEPIS3FL" localSheetId="42">#REF!</definedName>
    <definedName name="PEPIS3FL" localSheetId="43">#REF!</definedName>
    <definedName name="PEPIS3FL">#REF!</definedName>
    <definedName name="PEPISTRAN" localSheetId="2">#REF!</definedName>
    <definedName name="PEPISTRAN" localSheetId="42">#REF!</definedName>
    <definedName name="PEPISTRAN" localSheetId="43">#REF!</definedName>
    <definedName name="PEPISTRAN">#REF!</definedName>
    <definedName name="PEPREFR" localSheetId="2">#REF!</definedName>
    <definedName name="PEPREFR" localSheetId="42">#REF!</definedName>
    <definedName name="PEPREFR" localSheetId="43">#REF!</definedName>
    <definedName name="PEPREFR">#REF!</definedName>
    <definedName name="PERETJUR" localSheetId="2">#REF!</definedName>
    <definedName name="PERETJUR" localSheetId="42">#REF!</definedName>
    <definedName name="PERETJUR" localSheetId="43">#REF!</definedName>
    <definedName name="PERETJUR">#REF!</definedName>
    <definedName name="PERROR" localSheetId="2">#REF!</definedName>
    <definedName name="PERROR" localSheetId="42">#REF!</definedName>
    <definedName name="PERROR" localSheetId="43">#REF!</definedName>
    <definedName name="PERROR">#REF!</definedName>
    <definedName name="PESCH_A_D" localSheetId="2">#REF!</definedName>
    <definedName name="PESCH_A_D" localSheetId="42">#REF!</definedName>
    <definedName name="PESCH_A_D" localSheetId="43">#REF!</definedName>
    <definedName name="PESCH_A_D">#REF!</definedName>
    <definedName name="PESCHBUYOUT" localSheetId="2">#REF!</definedName>
    <definedName name="PESCHBUYOUT" localSheetId="42">#REF!</definedName>
    <definedName name="PESCHBUYOUT" localSheetId="43">#REF!</definedName>
    <definedName name="PESCHBUYOUT">#REF!</definedName>
    <definedName name="PESCHINV" localSheetId="2">#REF!</definedName>
    <definedName name="PESCHINV" localSheetId="42">#REF!</definedName>
    <definedName name="PESCHINV" localSheetId="43">#REF!</definedName>
    <definedName name="PESCHINV">#REF!</definedName>
    <definedName name="PESTD" localSheetId="2">#REF!</definedName>
    <definedName name="PESTD" localSheetId="42">#REF!</definedName>
    <definedName name="PESTD" localSheetId="43">#REF!</definedName>
    <definedName name="PESTD">#REF!</definedName>
    <definedName name="PEUNAITC" localSheetId="2">#REF!</definedName>
    <definedName name="PEUNAITC" localSheetId="42">#REF!</definedName>
    <definedName name="PEUNAITC" localSheetId="43">#REF!</definedName>
    <definedName name="PEUNAITC">#REF!</definedName>
    <definedName name="PEUPSBONDS" localSheetId="2">#REF!</definedName>
    <definedName name="PEUPSBONDS" localSheetId="42">#REF!</definedName>
    <definedName name="PEUPSBONDS" localSheetId="43">#REF!</definedName>
    <definedName name="PEUPSBONDS">#REF!</definedName>
    <definedName name="PEUPSCE" localSheetId="2">#REF!</definedName>
    <definedName name="PEUPSCE" localSheetId="42">#REF!</definedName>
    <definedName name="PEUPSCE" localSheetId="43">#REF!</definedName>
    <definedName name="PEUPSCE">#REF!</definedName>
    <definedName name="PEUPSDEPR" localSheetId="2">#REF!</definedName>
    <definedName name="PEUPSDEPR" localSheetId="42">#REF!</definedName>
    <definedName name="PEUPSDEPR" localSheetId="43">#REF!</definedName>
    <definedName name="PEUPSDEPR">#REF!</definedName>
    <definedName name="PEUPSFUEL" localSheetId="2">#REF!</definedName>
    <definedName name="PEUPSFUEL" localSheetId="42">#REF!</definedName>
    <definedName name="PEUPSFUEL" localSheetId="43">#REF!</definedName>
    <definedName name="PEUPSFUEL">#REF!</definedName>
    <definedName name="PEUPSFURV" localSheetId="2">#REF!</definedName>
    <definedName name="PEUPSFURV" localSheetId="42">#REF!</definedName>
    <definedName name="PEUPSFURV" localSheetId="43">#REF!</definedName>
    <definedName name="PEUPSFURV">#REF!</definedName>
    <definedName name="PEUPSPIS" localSheetId="2">#REF!</definedName>
    <definedName name="PEUPSPIS" localSheetId="42">#REF!</definedName>
    <definedName name="PEUPSPIS" localSheetId="43">#REF!</definedName>
    <definedName name="PEUPSPIS">#REF!</definedName>
    <definedName name="PEUPSPRSTK" localSheetId="2">#REF!</definedName>
    <definedName name="PEUPSPRSTK" localSheetId="42">#REF!</definedName>
    <definedName name="PEUPSPRSTK" localSheetId="43">#REF!</definedName>
    <definedName name="PEUPSPRSTK">#REF!</definedName>
    <definedName name="PG4Sht1of2" localSheetId="2">#REF!</definedName>
    <definedName name="PG4Sht1of2" localSheetId="42">#REF!</definedName>
    <definedName name="PG4Sht1of2" localSheetId="43">#REF!</definedName>
    <definedName name="PG4Sht1of2">#REF!</definedName>
    <definedName name="PLANT" localSheetId="42">#REF!</definedName>
    <definedName name="PLANT" localSheetId="43">#REF!</definedName>
    <definedName name="PPCCEXP" localSheetId="2">#REF!</definedName>
    <definedName name="PPCCEXP" localSheetId="42">#REF!</definedName>
    <definedName name="PPCCEXP" localSheetId="43">#REF!</definedName>
    <definedName name="PPCCEXP">#REF!</definedName>
    <definedName name="PRECIP" localSheetId="42">#REF!</definedName>
    <definedName name="PRECIP" localSheetId="43">#REF!</definedName>
    <definedName name="PRECIP">'42-8_Project 2'!$A$1:$R$60</definedName>
    <definedName name="Precip_Up" localSheetId="42">#REF!</definedName>
    <definedName name="Precip_Up" localSheetId="43">#REF!</definedName>
    <definedName name="Precip_Up">'42-8_Project 22'!$A$1:$R$60</definedName>
    <definedName name="PRECIPDET" localSheetId="42">#REF!</definedName>
    <definedName name="PRECIPDET" localSheetId="43">#REF!</definedName>
    <definedName name="PRECIPDET">'42-8_Project 2'!$A$118:$R$266</definedName>
    <definedName name="PRECSTRATE" localSheetId="2">#REF!</definedName>
    <definedName name="PRECSTRATE" localSheetId="42">#REF!</definedName>
    <definedName name="PRECSTRATE" localSheetId="43">#REF!</definedName>
    <definedName name="PRECSTRATE">#REF!</definedName>
    <definedName name="PREF" localSheetId="2">#REF!</definedName>
    <definedName name="PREF" localSheetId="42">#REF!</definedName>
    <definedName name="PREF" localSheetId="43">#REF!</definedName>
    <definedName name="PREF">#REF!</definedName>
    <definedName name="PREFNUPS" localSheetId="2">#REF!</definedName>
    <definedName name="PREFNUPS" localSheetId="42">#REF!</definedName>
    <definedName name="PREFNUPS" localSheetId="43">#REF!</definedName>
    <definedName name="PREFNUPS">#REF!</definedName>
    <definedName name="PRESTK13MA" localSheetId="2">#REF!</definedName>
    <definedName name="PRESTK13MA" localSheetId="42">#REF!</definedName>
    <definedName name="PRESTK13MA" localSheetId="43">#REF!</definedName>
    <definedName name="PRESTK13MA">#REF!</definedName>
    <definedName name="PRFSTK" localSheetId="2">#REF!</definedName>
    <definedName name="PRFSTK" localSheetId="42">#REF!</definedName>
    <definedName name="PRFSTK" localSheetId="43">#REF!</definedName>
    <definedName name="PRFSTK">#REF!</definedName>
    <definedName name="PRIN" localSheetId="2">'[3]Fuel Sheet'!#REF!</definedName>
    <definedName name="PRIN" localSheetId="42">'[3]Fuel Sheet'!#REF!</definedName>
    <definedName name="PRIN" localSheetId="43">'[4]Fuel Sheet'!#REF!</definedName>
    <definedName name="PRIN">'[3]Fuel Sheet'!#REF!</definedName>
    <definedName name="PRINT" localSheetId="2">#REF!</definedName>
    <definedName name="PRINT" localSheetId="42">#REF!</definedName>
    <definedName name="PRINT" localSheetId="43">#REF!</definedName>
    <definedName name="PRINT">#REF!</definedName>
    <definedName name="PRINT_AR01" localSheetId="2">'[1]ECCR Expense'!#REF!</definedName>
    <definedName name="PRINT_AR01" localSheetId="42">'[1]ECCR Expense'!#REF!</definedName>
    <definedName name="PRINT_AR01" localSheetId="43">'[2]ECCR Expense'!#REF!</definedName>
    <definedName name="PRINT_AR01">'[1]ECCR Expense'!#REF!</definedName>
    <definedName name="_xlnm.Print_Area" localSheetId="1">'42-2E'!$A$1:$P$43</definedName>
    <definedName name="_xlnm.Print_Area" localSheetId="2">'42-3E'!$A$1:$P$31</definedName>
    <definedName name="_xlnm.Print_Area" localSheetId="3">'42-4E'!$A$1:$G$42</definedName>
    <definedName name="_xlnm.Print_Area" localSheetId="4">'42-5E'!$A$1:$S$51</definedName>
    <definedName name="_xlnm.Print_Area" localSheetId="5">'42-6E'!$A$1:$K$48</definedName>
    <definedName name="_xlnm.Print_Area" localSheetId="6">'42-7E'!$A$2:$R$64</definedName>
    <definedName name="_xlnm.Print_Area" localSheetId="13">'42-8 Project_7'!$A$1:$Q$60</definedName>
    <definedName name="_xlnm.Print_Area" localSheetId="37">'42-8_Ann_NOx'!$A$1:$Q$56</definedName>
    <definedName name="_xlnm.Print_Area" localSheetId="7">'42-8_Project 1'!$A$1:$Q$60</definedName>
    <definedName name="_xlnm.Print_Area" localSheetId="16">'42-8_Project 10'!$A$1:$Q$61</definedName>
    <definedName name="_xlnm.Print_Area" localSheetId="18">'42-8_Project 12'!$A$1:$Q$60</definedName>
    <definedName name="_xlnm.Print_Area" localSheetId="19">'42-8_Project 13'!$A$1:$Q$62</definedName>
    <definedName name="_xlnm.Print_Area" localSheetId="20">'42-8_Project 14'!$A$1:$Q$60</definedName>
    <definedName name="_xlnm.Print_Area" localSheetId="21">'42-8_Project 15'!$A$1:$Q$62</definedName>
    <definedName name="_xlnm.Print_Area" localSheetId="22">'42-8_Project 16'!$A$1:$Q$61</definedName>
    <definedName name="_xlnm.Print_Area" localSheetId="23">'42-8_Project 17'!$A$1:$Q$62</definedName>
    <definedName name="_xlnm.Print_Area" localSheetId="24">'42-8_Project 18'!$A$1:$Q$60</definedName>
    <definedName name="_xlnm.Print_Area" localSheetId="25">'42-8_Project 19'!$A$1:$Q$62</definedName>
    <definedName name="_xlnm.Print_Area" localSheetId="8">'42-8_Project 2'!$A$1:$Q$62</definedName>
    <definedName name="_xlnm.Print_Area" localSheetId="26">'42-8_Project 20'!$A$1:$Q$60</definedName>
    <definedName name="_xlnm.Print_Area" localSheetId="27">'42-8_Project 21'!$A$1:$Q$61</definedName>
    <definedName name="_xlnm.Print_Area" localSheetId="28">'42-8_Project 22'!$A$1:$Q$62</definedName>
    <definedName name="_xlnm.Print_Area" localSheetId="29">'42-8_Project 23'!$A$1:$Q$60</definedName>
    <definedName name="_xlnm.Print_Area" localSheetId="30">'42-8_Project 24'!$A$1:$Q$63</definedName>
    <definedName name="_xlnm.Print_Area" localSheetId="31">'42-8_Project 25'!$A$1:$Q$62</definedName>
    <definedName name="_xlnm.Print_Area" localSheetId="32">'42-8_Project 26'!$A$1:$Q$63</definedName>
    <definedName name="_xlnm.Print_Area" localSheetId="33">'42-8_Project 27'!$A$1:$Q$61</definedName>
    <definedName name="_xlnm.Print_Area" localSheetId="35">'42-8_Project 29'!$A$1:$Q$62</definedName>
    <definedName name="_xlnm.Print_Area" localSheetId="9">'42-8_Project 3'!$A$1:$Q$60</definedName>
    <definedName name="_xlnm.Print_Area" localSheetId="36">'42-8_Project 30'!$A$1:$Q$60</definedName>
    <definedName name="_xlnm.Print_Area" localSheetId="10">'42-8_Project 4'!$A$1:$Q$60</definedName>
    <definedName name="_xlnm.Print_Area" localSheetId="11">'42-8_Project 5'!$A$1:$Q$61</definedName>
    <definedName name="_xlnm.Print_Area" localSheetId="12">'42-8_Project 6'!$A$1:$Q$61</definedName>
    <definedName name="_xlnm.Print_Area" localSheetId="14">'42-8_Project 8'!$A$1:$Q$60</definedName>
    <definedName name="_xlnm.Print_Area" localSheetId="15">'42-8_Project 9'!$A$1:$Q$60</definedName>
    <definedName name="_xlnm.Print_Area" localSheetId="17">'42-8_Project_11'!$A$1:$Q$62</definedName>
    <definedName name="_xlnm.Print_Area" localSheetId="34">'42-8_Project_28'!$A$1:$Q$63</definedName>
    <definedName name="_xlnm.Print_Area" localSheetId="39">'42-8_Seas_NOx'!$A$1:$Q$56</definedName>
    <definedName name="_xlnm.Print_Area" localSheetId="40">'42-8_Smith Reg Asset'!$A$1:$Q$59</definedName>
    <definedName name="_xlnm.Print_Area" localSheetId="38">'42-8_SO2'!$A$1:$Q$56</definedName>
    <definedName name="_xlnm.Print_Area" localSheetId="41">'42-8E Depr Schedule'!$A$1:$J$82</definedName>
    <definedName name="_xlnm.Print_Area" localSheetId="42">'42-9E'!$A$1:$H$47</definedName>
    <definedName name="_xlnm.Print_Area" localSheetId="43">'42-9E 2'!$A$1:$H$47</definedName>
    <definedName name="PRINT_AREA_MI" localSheetId="2">#REF!</definedName>
    <definedName name="PRINT_AREA_MI" localSheetId="42">#REF!</definedName>
    <definedName name="PRINT_AREA_MI" localSheetId="43">#REF!</definedName>
    <definedName name="PRINT_AREA_MI">#REF!</definedName>
    <definedName name="PRORATA" localSheetId="2">#REF!</definedName>
    <definedName name="PRORATA" localSheetId="42">#REF!</definedName>
    <definedName name="PRORATA" localSheetId="43">#REF!</definedName>
    <definedName name="PRORATA">#REF!</definedName>
    <definedName name="PSPRIN" localSheetId="2">#REF!</definedName>
    <definedName name="PSPRIN" localSheetId="42">#REF!</definedName>
    <definedName name="PSPRIN" localSheetId="43">#REF!</definedName>
    <definedName name="PSPRIN">#REF!</definedName>
    <definedName name="QUIT" localSheetId="2">#REF!</definedName>
    <definedName name="QUIT" localSheetId="42">#REF!</definedName>
    <definedName name="QUIT" localSheetId="43">#REF!</definedName>
    <definedName name="QUIT">#REF!</definedName>
    <definedName name="RATECASE" localSheetId="2">#REF!</definedName>
    <definedName name="RATECASE" localSheetId="42">#REF!</definedName>
    <definedName name="RATECASE" localSheetId="43">#REF!</definedName>
    <definedName name="RATECASE">#REF!</definedName>
    <definedName name="RBADJ" localSheetId="2">#REF!</definedName>
    <definedName name="RBADJ" localSheetId="42">#REF!</definedName>
    <definedName name="RBADJ" localSheetId="43">#REF!</definedName>
    <definedName name="RBADJ">#REF!</definedName>
    <definedName name="RBRR" localSheetId="2">#REF!</definedName>
    <definedName name="RBRR" localSheetId="42">#REF!</definedName>
    <definedName name="RBRR" localSheetId="43">#REF!</definedName>
    <definedName name="RBRR">#REF!</definedName>
    <definedName name="REMSCHER" localSheetId="2">#REF!</definedName>
    <definedName name="REMSCHER" localSheetId="42">#REF!</definedName>
    <definedName name="REMSCHER" localSheetId="43">#REF!</definedName>
    <definedName name="REMSCHER">#REF!</definedName>
    <definedName name="REMSCHRTX" localSheetId="2">#REF!</definedName>
    <definedName name="REMSCHRTX" localSheetId="42">#REF!</definedName>
    <definedName name="REMSCHRTX" localSheetId="43">#REF!</definedName>
    <definedName name="REMSCHRTX">#REF!</definedName>
    <definedName name="REPORT" localSheetId="2">'[18]Sch 10 Sht 1'!#REF!</definedName>
    <definedName name="REPORT" localSheetId="42">'[18]Sch 10 Sht 1'!#REF!</definedName>
    <definedName name="REPORT" localSheetId="43">'[18]Sch 10 Sht 1'!#REF!</definedName>
    <definedName name="REPORT">'[18]Sch 10 Sht 1'!#REF!</definedName>
    <definedName name="RESERVEPREM" localSheetId="2">#REF!</definedName>
    <definedName name="RESERVEPREM" localSheetId="42">#REF!</definedName>
    <definedName name="RESERVEPREM" localSheetId="43">#REF!</definedName>
    <definedName name="RESERVEPREM">#REF!</definedName>
    <definedName name="RETAMT" localSheetId="2">#REF!</definedName>
    <definedName name="RETAMT" localSheetId="42">#REF!</definedName>
    <definedName name="RETAMT" localSheetId="43">#REF!</definedName>
    <definedName name="RETAMT">#REF!</definedName>
    <definedName name="Retirements" localSheetId="42">#REF!</definedName>
    <definedName name="Retirements" localSheetId="43">#REF!</definedName>
    <definedName name="RETLOANS" localSheetId="2">#REF!</definedName>
    <definedName name="RETLOANS" localSheetId="42">#REF!</definedName>
    <definedName name="RETLOANS" localSheetId="43">#REF!</definedName>
    <definedName name="RETLOANS">#REF!</definedName>
    <definedName name="RETURN" localSheetId="2">#REF!</definedName>
    <definedName name="RETURN" localSheetId="42">#REF!</definedName>
    <definedName name="RETURN" localSheetId="43">#REF!</definedName>
    <definedName name="RETURN">#REF!</definedName>
    <definedName name="RETURNS" localSheetId="2">#REF!</definedName>
    <definedName name="RETURNS" localSheetId="42">#REF!</definedName>
    <definedName name="RETURNS" localSheetId="43">#REF!</definedName>
    <definedName name="RETURNS">#REF!</definedName>
    <definedName name="REVEXP" localSheetId="42">#REF!</definedName>
    <definedName name="REVEXP" localSheetId="43">#REF!</definedName>
    <definedName name="REVTX12M" localSheetId="2">#REF!</definedName>
    <definedName name="REVTX12M" localSheetId="42">#REF!</definedName>
    <definedName name="REVTX12M" localSheetId="43">#REF!</definedName>
    <definedName name="REVTX12M">#REF!</definedName>
    <definedName name="RFCR" localSheetId="2">#REF!</definedName>
    <definedName name="RFCR" localSheetId="42">#REF!</definedName>
    <definedName name="RFCR" localSheetId="43">#REF!</definedName>
    <definedName name="RFCR">#REF!</definedName>
    <definedName name="RICH" localSheetId="2">#REF!</definedName>
    <definedName name="RICH" localSheetId="42">#REF!</definedName>
    <definedName name="RICH" localSheetId="43">#REF!</definedName>
    <definedName name="RICH">#REF!</definedName>
    <definedName name="RMIT" localSheetId="2">#REF!</definedName>
    <definedName name="RMIT" localSheetId="42">#REF!</definedName>
    <definedName name="RMIT" localSheetId="43">#REF!</definedName>
    <definedName name="RMIT">#REF!</definedName>
    <definedName name="RMIT2" localSheetId="2">#REF!</definedName>
    <definedName name="RMIT2" localSheetId="42">#REF!</definedName>
    <definedName name="RMIT2" localSheetId="43">#REF!</definedName>
    <definedName name="RMIT2">#REF!</definedName>
    <definedName name="RMIT3" localSheetId="2">#REF!</definedName>
    <definedName name="RMIT3" localSheetId="42">#REF!</definedName>
    <definedName name="RMIT3" localSheetId="43">#REF!</definedName>
    <definedName name="RMIT3">#REF!</definedName>
    <definedName name="RMITTRAN" localSheetId="2">#REF!</definedName>
    <definedName name="RMITTRAN" localSheetId="42">#REF!</definedName>
    <definedName name="RMITTRAN" localSheetId="43">#REF!</definedName>
    <definedName name="RMITTRAN">#REF!</definedName>
    <definedName name="ROE" localSheetId="2">#REF!</definedName>
    <definedName name="ROE" localSheetId="42">#REF!</definedName>
    <definedName name="ROE" localSheetId="43">#REF!</definedName>
    <definedName name="ROE">#REF!</definedName>
    <definedName name="ROR" localSheetId="42">#REF!</definedName>
    <definedName name="ROR" localSheetId="43">#REF!</definedName>
    <definedName name="ROREC" localSheetId="2">#REF!</definedName>
    <definedName name="ROREC" localSheetId="42">#REF!</definedName>
    <definedName name="ROREC" localSheetId="43">#REF!</definedName>
    <definedName name="ROREC">#REF!</definedName>
    <definedName name="RoundDigits">[19]Global_Setting!$C$6</definedName>
    <definedName name="RRCAA" localSheetId="2">#REF!</definedName>
    <definedName name="RRCAA" localSheetId="42">#REF!</definedName>
    <definedName name="RRCAA" localSheetId="43">#REF!</definedName>
    <definedName name="RRCAA">#REF!</definedName>
    <definedName name="RRDEM" localSheetId="2">#REF!</definedName>
    <definedName name="RRDEM" localSheetId="42">#REF!</definedName>
    <definedName name="RRDEM" localSheetId="43">#REF!</definedName>
    <definedName name="RRDEM">#REF!</definedName>
    <definedName name="RRENER" localSheetId="2">#REF!</definedName>
    <definedName name="RRENER" localSheetId="42">#REF!</definedName>
    <definedName name="RRENER" localSheetId="43">#REF!</definedName>
    <definedName name="RRENER">#REF!</definedName>
    <definedName name="RRTOTAL" localSheetId="2">#REF!</definedName>
    <definedName name="RRTOTAL" localSheetId="42">#REF!</definedName>
    <definedName name="RRTOTAL" localSheetId="43">#REF!</definedName>
    <definedName name="RRTOTAL">#REF!</definedName>
    <definedName name="RRTOTENER" localSheetId="2">#REF!</definedName>
    <definedName name="RRTOTENER" localSheetId="42">#REF!</definedName>
    <definedName name="RRTOTENER" localSheetId="43">#REF!</definedName>
    <definedName name="RRTOTENER">#REF!</definedName>
    <definedName name="SALE_RC_CP" localSheetId="2">#REF!</definedName>
    <definedName name="SALE_RC_CP" localSheetId="42">#REF!</definedName>
    <definedName name="SALE_RC_CP" localSheetId="43">#REF!</definedName>
    <definedName name="SALE_RC_CP">#REF!</definedName>
    <definedName name="Salvage" localSheetId="42">#REF!</definedName>
    <definedName name="Salvage" localSheetId="43">#REF!</definedName>
    <definedName name="SAPBEXhrIndnt" hidden="1">"Wide"</definedName>
    <definedName name="SAPsysID" hidden="1">"708C5W7SBKP804JT78WJ0JNKI"</definedName>
    <definedName name="SAPwbID" hidden="1">"ARS"</definedName>
    <definedName name="SCBTU" localSheetId="2">[11]Jan02!#REF!</definedName>
    <definedName name="SCBTU" localSheetId="42">[11]Jan02!#REF!</definedName>
    <definedName name="SCBTU" localSheetId="43">[11]Jan02!#REF!</definedName>
    <definedName name="SCBTU">[11]Jan02!#REF!</definedName>
    <definedName name="SCCADJ" localSheetId="2">[11]Jan02!#REF!</definedName>
    <definedName name="SCCADJ" localSheetId="42">[11]Jan02!#REF!</definedName>
    <definedName name="SCCADJ" localSheetId="43">[11]Jan02!#REF!</definedName>
    <definedName name="SCCADJ">[11]Jan02!#REF!</definedName>
    <definedName name="SCCADJT" localSheetId="2">[11]Jan02!#REF!</definedName>
    <definedName name="SCCADJT" localSheetId="42">[11]Jan02!#REF!</definedName>
    <definedName name="SCCADJT" localSheetId="43">[11]Jan02!#REF!</definedName>
    <definedName name="SCCADJT">[11]Jan02!#REF!</definedName>
    <definedName name="SCCOST" localSheetId="2">[11]Jan02!#REF!</definedName>
    <definedName name="SCCOST" localSheetId="42">[11]Jan02!#REF!</definedName>
    <definedName name="SCCOST" localSheetId="43">[11]Jan02!#REF!</definedName>
    <definedName name="SCCOST">[11]Jan02!#REF!</definedName>
    <definedName name="SCHALCO_M" localSheetId="2">#REF!</definedName>
    <definedName name="SCHALCO_M" localSheetId="42">#REF!</definedName>
    <definedName name="SCHALCO_M" localSheetId="43">#REF!</definedName>
    <definedName name="SCHALCO_M">#REF!</definedName>
    <definedName name="SCHAMORTPROP" localSheetId="2">#REF!</definedName>
    <definedName name="SCHAMORTPROP" localSheetId="42">#REF!</definedName>
    <definedName name="SCHAMORTPROP" localSheetId="43">#REF!</definedName>
    <definedName name="SCHAMORTPROP">#REF!</definedName>
    <definedName name="SCHCAPEQLADJ" localSheetId="2">#REF!</definedName>
    <definedName name="SCHCAPEQLADJ" localSheetId="42">#REF!</definedName>
    <definedName name="SCHCAPEQLADJ" localSheetId="43">#REF!</definedName>
    <definedName name="SCHCAPEQLADJ">#REF!</definedName>
    <definedName name="SCHDEFCREDIT" localSheetId="2">#REF!</definedName>
    <definedName name="SCHDEFCREDIT" localSheetId="42">#REF!</definedName>
    <definedName name="SCHDEFCREDIT" localSheetId="43">#REF!</definedName>
    <definedName name="SCHDEFCREDIT">#REF!</definedName>
    <definedName name="SCHDEFDEBIT" localSheetId="2">#REF!</definedName>
    <definedName name="SCHDEFDEBIT" localSheetId="42">#REF!</definedName>
    <definedName name="SCHDEFDEBIT" localSheetId="43">#REF!</definedName>
    <definedName name="SCHDEFDEBIT">#REF!</definedName>
    <definedName name="SCHDEFDR_CR" localSheetId="2">#REF!</definedName>
    <definedName name="SCHDEFDR_CR" localSheetId="42">#REF!</definedName>
    <definedName name="SCHDEFDR_CR" localSheetId="43">#REF!</definedName>
    <definedName name="SCHDEFDR_CR">#REF!</definedName>
    <definedName name="SCHERERREV" localSheetId="2">#REF!</definedName>
    <definedName name="SCHERERREV" localSheetId="42">#REF!</definedName>
    <definedName name="SCHERERREV" localSheetId="43">#REF!</definedName>
    <definedName name="SCHERERREV">#REF!</definedName>
    <definedName name="SCHOTHRTX" localSheetId="2">#REF!</definedName>
    <definedName name="SCHOTHRTX" localSheetId="42">#REF!</definedName>
    <definedName name="SCHOTHRTX" localSheetId="43">#REF!</definedName>
    <definedName name="SCHOTHRTX">#REF!</definedName>
    <definedName name="SCHPROPINS" localSheetId="2">#REF!</definedName>
    <definedName name="SCHPROPINS" localSheetId="42">#REF!</definedName>
    <definedName name="SCHPROPINS" localSheetId="43">#REF!</definedName>
    <definedName name="SCHPROPINS">#REF!</definedName>
    <definedName name="SCHRADIT" localSheetId="2">#REF!</definedName>
    <definedName name="SCHRADIT" localSheetId="42">#REF!</definedName>
    <definedName name="SCHRADIT" localSheetId="43">#REF!</definedName>
    <definedName name="SCHRADIT">#REF!</definedName>
    <definedName name="SCHTRANSRNTL" localSheetId="2">#REF!</definedName>
    <definedName name="SCHTRANSRNTL" localSheetId="42">#REF!</definedName>
    <definedName name="SCHTRANSRNTL" localSheetId="43">#REF!</definedName>
    <definedName name="SCHTRANSRNTL">#REF!</definedName>
    <definedName name="SCKWH" localSheetId="2">[11]Jan02!#REF!</definedName>
    <definedName name="SCKWH" localSheetId="42">[11]Jan02!#REF!</definedName>
    <definedName name="SCKWH" localSheetId="43">[11]Jan02!#REF!</definedName>
    <definedName name="SCKWH">[11]Jan02!#REF!</definedName>
    <definedName name="SCOADJ" localSheetId="2">[11]Jan02!#REF!</definedName>
    <definedName name="SCOADJ" localSheetId="42">[11]Jan02!#REF!</definedName>
    <definedName name="SCOADJ" localSheetId="43">[11]Jan02!#REF!</definedName>
    <definedName name="SCOADJ">[11]Jan02!#REF!</definedName>
    <definedName name="SCOADJG" localSheetId="2">[11]Jan02!#REF!</definedName>
    <definedName name="SCOADJG" localSheetId="42">[11]Jan02!#REF!</definedName>
    <definedName name="SCOADJG" localSheetId="43">[11]Jan02!#REF!</definedName>
    <definedName name="SCOADJG">[11]Jan02!#REF!</definedName>
    <definedName name="SCQTY" localSheetId="2">[11]Jan02!#REF!</definedName>
    <definedName name="SCQTY" localSheetId="42">[11]Jan02!#REF!</definedName>
    <definedName name="SCQTY" localSheetId="43">[11]Jan02!#REF!</definedName>
    <definedName name="SCQTY">[11]Jan02!#REF!</definedName>
    <definedName name="Seas_NOx" localSheetId="42">#REF!</definedName>
    <definedName name="Seas_NOx" localSheetId="43">#REF!</definedName>
    <definedName name="Seas_NOx">'42-8_Seas_NOx'!$A$63:$Q$118</definedName>
    <definedName name="SEEF" localSheetId="2">#REF!</definedName>
    <definedName name="SEEF" localSheetId="42">#REF!</definedName>
    <definedName name="SEEF" localSheetId="43">#REF!</definedName>
    <definedName name="SEEF">#REF!</definedName>
    <definedName name="SEEOE_C" localSheetId="2">#REF!</definedName>
    <definedName name="SEEOE_C" localSheetId="42">#REF!</definedName>
    <definedName name="SEEOE_C" localSheetId="43">#REF!</definedName>
    <definedName name="SEEOE_C">#REF!</definedName>
    <definedName name="SHEET2" localSheetId="2">'[1]ECCR Expense'!#REF!</definedName>
    <definedName name="SHEET2" localSheetId="42">'[1]ECCR Expense'!#REF!</definedName>
    <definedName name="SHEET2" localSheetId="43">'[2]ECCR Expense'!#REF!</definedName>
    <definedName name="SHEET2">'[1]ECCR Expense'!#REF!</definedName>
    <definedName name="SHEET4" localSheetId="2">'[1]ECCR Expense'!#REF!</definedName>
    <definedName name="SHEET4" localSheetId="42">'[1]ECCR Expense'!#REF!</definedName>
    <definedName name="SHEET4" localSheetId="43">'[2]ECCR Expense'!#REF!</definedName>
    <definedName name="SHEET4">'[1]ECCR Expense'!#REF!</definedName>
    <definedName name="SHEET5" localSheetId="2">'[1]ECCR Expense'!#REF!</definedName>
    <definedName name="SHEET5" localSheetId="42">'[1]ECCR Expense'!#REF!</definedName>
    <definedName name="SHEET5" localSheetId="43">'[2]ECCR Expense'!#REF!</definedName>
    <definedName name="SHEET5">'[1]ECCR Expense'!#REF!</definedName>
    <definedName name="SHEET6" localSheetId="2">'[1]ECCR Expense'!#REF!</definedName>
    <definedName name="SHEET6" localSheetId="42">'[1]ECCR Expense'!#REF!</definedName>
    <definedName name="SHEET6" localSheetId="43">'[2]ECCR Expense'!#REF!</definedName>
    <definedName name="SHEET6">'[1]ECCR Expense'!#REF!</definedName>
    <definedName name="SHEET8" localSheetId="2">'[1]ECCR Expense'!#REF!</definedName>
    <definedName name="SHEET8" localSheetId="42">'[1]ECCR Expense'!#REF!</definedName>
    <definedName name="SHEET8" localSheetId="43">'[2]ECCR Expense'!#REF!</definedName>
    <definedName name="SHEET8">'[1]ECCR Expense'!#REF!</definedName>
    <definedName name="SHEET9" localSheetId="2">'[1]ECCR Expense'!#REF!</definedName>
    <definedName name="SHEET9" localSheetId="42">'[1]ECCR Expense'!#REF!</definedName>
    <definedName name="SHEET9" localSheetId="43">'[2]ECCR Expense'!#REF!</definedName>
    <definedName name="SHEET9">'[1]ECCR Expense'!#REF!</definedName>
    <definedName name="SMBTU" localSheetId="2">#REF!</definedName>
    <definedName name="SMBTU" localSheetId="42">#REF!</definedName>
    <definedName name="SMBTU" localSheetId="43">#REF!</definedName>
    <definedName name="SMBTU">#REF!</definedName>
    <definedName name="SMCOST" localSheetId="2">#REF!</definedName>
    <definedName name="SMCOST" localSheetId="42">#REF!</definedName>
    <definedName name="SMCOST" localSheetId="43">#REF!</definedName>
    <definedName name="SMCOST">#REF!</definedName>
    <definedName name="Smith_Waste" localSheetId="42">#REF!</definedName>
    <definedName name="Smith_Waste" localSheetId="43">#REF!</definedName>
    <definedName name="Smith_Waste">'42-8_Project 15'!$A$1:$Q$60</definedName>
    <definedName name="Smith_Water" localSheetId="42">#REF!</definedName>
    <definedName name="Smith_Water" localSheetId="43">#REF!</definedName>
    <definedName name="Smith_Water">'42-8_Project 17'!$A$1:$Q$59</definedName>
    <definedName name="SMKWH" localSheetId="2">#REF!</definedName>
    <definedName name="SMKWH" localSheetId="42">#REF!</definedName>
    <definedName name="SMKWH" localSheetId="43">#REF!</definedName>
    <definedName name="SMKWH">#REF!</definedName>
    <definedName name="SMQTY" localSheetId="2">#REF!</definedName>
    <definedName name="SMQTY" localSheetId="42">#REF!</definedName>
    <definedName name="SMQTY" localSheetId="43">#REF!</definedName>
    <definedName name="SMQTY">#REF!</definedName>
    <definedName name="Sodium_Inj" localSheetId="42">#REF!</definedName>
    <definedName name="Sodium_Inj" localSheetId="43">#REF!</definedName>
    <definedName name="Sodium_Inj">'42-8_Project 13'!$A$1:$R$60</definedName>
    <definedName name="START" localSheetId="2">#REF!</definedName>
    <definedName name="START" localSheetId="42">#REF!</definedName>
    <definedName name="START" localSheetId="43">#REF!</definedName>
    <definedName name="START">#REF!</definedName>
    <definedName name="STAT" localSheetId="2">#REF!</definedName>
    <definedName name="STAT" localSheetId="42">#REF!</definedName>
    <definedName name="STAT" localSheetId="43">#REF!</definedName>
    <definedName name="STAT">#REF!</definedName>
    <definedName name="STATION" localSheetId="2">#REF!</definedName>
    <definedName name="STATION" localSheetId="42">#REF!</definedName>
    <definedName name="STATION" localSheetId="43">#REF!</definedName>
    <definedName name="STATION">#REF!</definedName>
    <definedName name="STD" localSheetId="2">#REF!</definedName>
    <definedName name="STD" localSheetId="42">#REF!</definedName>
    <definedName name="STD" localSheetId="43">#REF!</definedName>
    <definedName name="STD">#REF!</definedName>
    <definedName name="Storm_Reserve" localSheetId="2">#REF!</definedName>
    <definedName name="Storm_Reserve" localSheetId="42">#REF!</definedName>
    <definedName name="Storm_Reserve" localSheetId="43">#REF!</definedName>
    <definedName name="Storm_Reserve">#REF!</definedName>
    <definedName name="SUB">[8]Detail!$C$1:$C$2000</definedName>
    <definedName name="SubstCont" localSheetId="13">'42-8 Project_7'!$A$1:$R$56</definedName>
    <definedName name="SubstCont" localSheetId="42">#REF!</definedName>
    <definedName name="SubstCont" localSheetId="43">#REF!</definedName>
    <definedName name="SubstCont">'42-8_Project 6'!$A$1:$R$57</definedName>
    <definedName name="SubstContAll" localSheetId="42">#REF!</definedName>
    <definedName name="SubstContAll" localSheetId="43">#REF!</definedName>
    <definedName name="SubstContAll">'42-8_Project 6'!$A$1:$Q$59</definedName>
    <definedName name="SUBSUMM" localSheetId="43">[9]Totals!$C$1:$C$263</definedName>
    <definedName name="SUBSUMM">[10]Totals!$C$1:$C$263</definedName>
    <definedName name="SUM" localSheetId="2">#REF!</definedName>
    <definedName name="SUM" localSheetId="42">#REF!</definedName>
    <definedName name="SUM" localSheetId="43">#REF!</definedName>
    <definedName name="SUM">#REF!</definedName>
    <definedName name="SUMM" localSheetId="2">#REF!</definedName>
    <definedName name="SUMM" localSheetId="42">#REF!</definedName>
    <definedName name="SUMM" localSheetId="43">#REF!</definedName>
    <definedName name="SUMM">#REF!</definedName>
    <definedName name="SUMMARY" localSheetId="2">#REF!</definedName>
    <definedName name="SUMMARY" localSheetId="42">#REF!</definedName>
    <definedName name="SUMMARY" localSheetId="43">#REF!</definedName>
    <definedName name="SUMMARY">#REF!</definedName>
    <definedName name="SUMMINT" localSheetId="2">#REF!</definedName>
    <definedName name="SUMMINT" localSheetId="42">#REF!</definedName>
    <definedName name="SUMMINT" localSheetId="43">#REF!</definedName>
    <definedName name="SUMMINT">#REF!</definedName>
    <definedName name="SYSADJCON" localSheetId="2">#REF!</definedName>
    <definedName name="SYSADJCON" localSheetId="42">#REF!</definedName>
    <definedName name="SYSADJCON" localSheetId="43">#REF!</definedName>
    <definedName name="SYSADJCON">#REF!</definedName>
    <definedName name="SZBTU" localSheetId="2">#REF!</definedName>
    <definedName name="SZBTU" localSheetId="42">#REF!</definedName>
    <definedName name="SZBTU" localSheetId="43">#REF!</definedName>
    <definedName name="SZBTU">#REF!</definedName>
    <definedName name="SZCOST" localSheetId="2">#REF!</definedName>
    <definedName name="SZCOST" localSheetId="42">#REF!</definedName>
    <definedName name="SZCOST" localSheetId="43">#REF!</definedName>
    <definedName name="SZCOST">#REF!</definedName>
    <definedName name="SZKWH" localSheetId="2">#REF!</definedName>
    <definedName name="SZKWH" localSheetId="42">#REF!</definedName>
    <definedName name="SZKWH" localSheetId="43">#REF!</definedName>
    <definedName name="SZKWH">#REF!</definedName>
    <definedName name="SZQTY" localSheetId="2">#REF!</definedName>
    <definedName name="SZQTY" localSheetId="42">#REF!</definedName>
    <definedName name="SZQTY" localSheetId="43">#REF!</definedName>
    <definedName name="SZQTY">#REF!</definedName>
    <definedName name="TAXFACT" localSheetId="2">#REF!</definedName>
    <definedName name="TAXFACT" localSheetId="42">#REF!</definedName>
    <definedName name="TAXFACT" localSheetId="43">#REF!</definedName>
    <definedName name="TAXFACT">#REF!</definedName>
    <definedName name="TCPECR" localSheetId="2">#REF!</definedName>
    <definedName name="TCPECR" localSheetId="42">#REF!</definedName>
    <definedName name="TCPECR" localSheetId="43">#REF!</definedName>
    <definedName name="TCPECR">#REF!</definedName>
    <definedName name="TE" localSheetId="2">#REF!</definedName>
    <definedName name="TE" localSheetId="42">#REF!</definedName>
    <definedName name="TE" localSheetId="43">#REF!</definedName>
    <definedName name="TE">#REF!</definedName>
    <definedName name="TEST" localSheetId="2">#REF!</definedName>
    <definedName name="TEST" localSheetId="42">#REF!</definedName>
    <definedName name="TEST" localSheetId="43">#REF!</definedName>
    <definedName name="TEST">#REF!</definedName>
    <definedName name="TopRow" localSheetId="2">#REF!</definedName>
    <definedName name="TopRow" localSheetId="42">#REF!</definedName>
    <definedName name="TopRow" localSheetId="43">#REF!</definedName>
    <definedName name="TopRow">#REF!</definedName>
    <definedName name="TOTAL" localSheetId="2">#REF!</definedName>
    <definedName name="TOTAL" localSheetId="42">#REF!</definedName>
    <definedName name="TOTAL" localSheetId="43">#REF!</definedName>
    <definedName name="TOTAL">#REF!</definedName>
    <definedName name="Total_All" localSheetId="2">#REF!</definedName>
    <definedName name="Total_All" localSheetId="42">#REF!</definedName>
    <definedName name="Total_All" localSheetId="43">#REF!</definedName>
    <definedName name="Total_All">#REF!</definedName>
    <definedName name="TOTALA" localSheetId="2">'[1]ECCR Expense'!#REF!</definedName>
    <definedName name="TOTALA" localSheetId="42">'[1]ECCR Expense'!#REF!</definedName>
    <definedName name="TOTALA" localSheetId="43">'[2]ECCR Expense'!#REF!</definedName>
    <definedName name="TOTALA">'[1]ECCR Expense'!#REF!</definedName>
    <definedName name="TOTALB" localSheetId="2">'[1]ECCR Expense'!#REF!</definedName>
    <definedName name="TOTALB" localSheetId="42">'[1]ECCR Expense'!#REF!</definedName>
    <definedName name="TOTALB" localSheetId="43">'[2]ECCR Expense'!#REF!</definedName>
    <definedName name="TOTALB">'[1]ECCR Expense'!#REF!</definedName>
    <definedName name="TOTALC" localSheetId="2">'[1]ECCR Expense'!#REF!</definedName>
    <definedName name="TOTALC" localSheetId="42">'[1]ECCR Expense'!#REF!</definedName>
    <definedName name="TOTALC" localSheetId="43">'[2]ECCR Expense'!#REF!</definedName>
    <definedName name="TOTALC">'[1]ECCR Expense'!#REF!</definedName>
    <definedName name="TOTALD" localSheetId="2">'[1]ECCR Expense'!#REF!</definedName>
    <definedName name="TOTALD" localSheetId="42">'[1]ECCR Expense'!#REF!</definedName>
    <definedName name="TOTALD" localSheetId="43">'[2]ECCR Expense'!#REF!</definedName>
    <definedName name="TOTALD">'[1]ECCR Expense'!#REF!</definedName>
    <definedName name="TOTALE" localSheetId="2">'[1]ECCR Expense'!#REF!</definedName>
    <definedName name="TOTALE" localSheetId="43">'[2]ECCR Expense'!#REF!</definedName>
    <definedName name="TOTALE">'[1]ECCR Expense'!#REF!</definedName>
    <definedName name="TOTALF" localSheetId="2">'[1]ECCR Expense'!#REF!</definedName>
    <definedName name="TOTALF" localSheetId="43">'[2]ECCR Expense'!#REF!</definedName>
    <definedName name="TOTALF">'[1]ECCR Expense'!#REF!</definedName>
    <definedName name="TOTALH" localSheetId="2">'[1]ECCR Expense'!#REF!</definedName>
    <definedName name="TOTALH" localSheetId="43">'[2]ECCR Expense'!#REF!</definedName>
    <definedName name="TOTALH">'[1]ECCR Expense'!#REF!</definedName>
    <definedName name="TOTALI" localSheetId="2">'[1]ECCR Expense'!#REF!</definedName>
    <definedName name="TOTALI" localSheetId="43">'[2]ECCR Expense'!#REF!</definedName>
    <definedName name="TOTALI">'[1]ECCR Expense'!#REF!</definedName>
    <definedName name="TOTALJ" localSheetId="2">'[1]ECCR Expense'!#REF!</definedName>
    <definedName name="TOTALJ" localSheetId="43">'[2]ECCR Expense'!#REF!</definedName>
    <definedName name="TOTALJ">'[1]ECCR Expense'!#REF!</definedName>
    <definedName name="TOTALK" localSheetId="2">'[1]ECCR Expense'!#REF!</definedName>
    <definedName name="TOTALK" localSheetId="43">'[2]ECCR Expense'!#REF!</definedName>
    <definedName name="TOTALK">'[1]ECCR Expense'!#REF!</definedName>
    <definedName name="TOTALL" localSheetId="2">'[1]ECCR Expense'!#REF!</definedName>
    <definedName name="TOTALL" localSheetId="43">'[2]ECCR Expense'!#REF!</definedName>
    <definedName name="TOTALL">'[1]ECCR Expense'!#REF!</definedName>
    <definedName name="TOTALM" localSheetId="2">'[1]ECCR Expense'!#REF!</definedName>
    <definedName name="TOTALM" localSheetId="43">'[2]ECCR Expense'!#REF!</definedName>
    <definedName name="TOTALM">'[1]ECCR Expense'!#REF!</definedName>
    <definedName name="TOTALN" localSheetId="2">'[1]ECCR Expense'!#REF!</definedName>
    <definedName name="TOTALN" localSheetId="43">'[2]ECCR Expense'!#REF!</definedName>
    <definedName name="TOTALN">'[1]ECCR Expense'!#REF!</definedName>
    <definedName name="TOTALO" localSheetId="2">'[1]ECCR Expense'!#REF!</definedName>
    <definedName name="TOTALO" localSheetId="43">'[2]ECCR Expense'!#REF!</definedName>
    <definedName name="TOTALO">'[1]ECCR Expense'!#REF!</definedName>
    <definedName name="TOTCOMWC" localSheetId="2">#REF!</definedName>
    <definedName name="TOTCOMWC" localSheetId="42">#REF!</definedName>
    <definedName name="TOTCOMWC" localSheetId="43">#REF!</definedName>
    <definedName name="TOTCOMWC">#REF!</definedName>
    <definedName name="TOTRETWC" localSheetId="2">#REF!</definedName>
    <definedName name="TOTRETWC" localSheetId="42">#REF!</definedName>
    <definedName name="TOTRETWC" localSheetId="43">#REF!</definedName>
    <definedName name="TOTRETWC">#REF!</definedName>
    <definedName name="TRANSDEFTX" localSheetId="2">#REF!</definedName>
    <definedName name="TRANSDEFTX" localSheetId="42">#REF!</definedName>
    <definedName name="TRANSDEFTX" localSheetId="43">#REF!</definedName>
    <definedName name="TRANSDEFTX">#REF!</definedName>
    <definedName name="TRANSINV" localSheetId="2">#REF!</definedName>
    <definedName name="TRANSINV" localSheetId="42">#REF!</definedName>
    <definedName name="TRANSINV" localSheetId="43">#REF!</definedName>
    <definedName name="TRANSINV">#REF!</definedName>
    <definedName name="TRANSMISSION" localSheetId="2">#REF!</definedName>
    <definedName name="TRANSMISSION" localSheetId="42">#REF!</definedName>
    <definedName name="TRANSMISSION" localSheetId="43">#REF!</definedName>
    <definedName name="TRANSMISSION">#REF!</definedName>
    <definedName name="TRANSRB" localSheetId="2">#REF!</definedName>
    <definedName name="TRANSRB" localSheetId="42">#REF!</definedName>
    <definedName name="TRANSRB" localSheetId="43">#REF!</definedName>
    <definedName name="TRANSRB">#REF!</definedName>
    <definedName name="TRANSWC" localSheetId="2">#REF!</definedName>
    <definedName name="TRANSWC" localSheetId="42">#REF!</definedName>
    <definedName name="TRANSWC" localSheetId="43">#REF!</definedName>
    <definedName name="TRANSWC">#REF!</definedName>
    <definedName name="UNAMITC" localSheetId="2">#REF!</definedName>
    <definedName name="UNAMITC" localSheetId="42">#REF!</definedName>
    <definedName name="UNAMITC" localSheetId="43">#REF!</definedName>
    <definedName name="UNAMITC">#REF!</definedName>
    <definedName name="UNCOLSSPE" localSheetId="2">#REF!</definedName>
    <definedName name="UNCOLSSPE" localSheetId="42">#REF!</definedName>
    <definedName name="UNCOLSSPE" localSheetId="43">#REF!</definedName>
    <definedName name="UNCOLSSPE">#REF!</definedName>
    <definedName name="Untitled" localSheetId="2">#REF!</definedName>
    <definedName name="Untitled" localSheetId="42">#REF!</definedName>
    <definedName name="Untitled" localSheetId="43">#REF!</definedName>
    <definedName name="Untitled">#REF!</definedName>
    <definedName name="UPDATE" localSheetId="2">'[18]Sch 10 Sht 1'!#REF!</definedName>
    <definedName name="UPDATE" localSheetId="42">'[18]Sch 10 Sht 1'!#REF!</definedName>
    <definedName name="UPDATE" localSheetId="43">'[18]Sch 10 Sht 1'!#REF!</definedName>
    <definedName name="UPDATE">'[18]Sch 10 Sht 1'!#REF!</definedName>
    <definedName name="UPS1WC" localSheetId="2">#REF!</definedName>
    <definedName name="UPS1WC" localSheetId="42">#REF!</definedName>
    <definedName name="UPS1WC" localSheetId="43">#REF!</definedName>
    <definedName name="UPS1WC">#REF!</definedName>
    <definedName name="UPS2WC" localSheetId="2">#REF!</definedName>
    <definedName name="UPS2WC" localSheetId="42">#REF!</definedName>
    <definedName name="UPS2WC" localSheetId="43">#REF!</definedName>
    <definedName name="UPS2WC">#REF!</definedName>
    <definedName name="UPS3WC" localSheetId="2">#REF!</definedName>
    <definedName name="UPS3WC" localSheetId="42">#REF!</definedName>
    <definedName name="UPS3WC" localSheetId="43">#REF!</definedName>
    <definedName name="UPS3WC">#REF!</definedName>
    <definedName name="UPSA_G" localSheetId="2">#REF!</definedName>
    <definedName name="UPSA_G" localSheetId="42">#REF!</definedName>
    <definedName name="UPSA_G" localSheetId="43">#REF!</definedName>
    <definedName name="UPSA_G">#REF!</definedName>
    <definedName name="UPSADA" localSheetId="2">#REF!</definedName>
    <definedName name="UPSADA" localSheetId="42">#REF!</definedName>
    <definedName name="UPSADA" localSheetId="43">#REF!</definedName>
    <definedName name="UPSADA">#REF!</definedName>
    <definedName name="UPSAMRTITC" localSheetId="2">#REF!</definedName>
    <definedName name="UPSAMRTITC" localSheetId="42">#REF!</definedName>
    <definedName name="UPSAMRTITC" localSheetId="43">#REF!</definedName>
    <definedName name="UPSAMRTITC">#REF!</definedName>
    <definedName name="UPSBONDS" localSheetId="2">#REF!</definedName>
    <definedName name="UPSBONDS" localSheetId="42">#REF!</definedName>
    <definedName name="UPSBONDS" localSheetId="43">#REF!</definedName>
    <definedName name="UPSBONDS">#REF!</definedName>
    <definedName name="UPSBONDSCS" localSheetId="2">#REF!</definedName>
    <definedName name="UPSBONDSCS" localSheetId="42">#REF!</definedName>
    <definedName name="UPSBONDSCS" localSheetId="43">#REF!</definedName>
    <definedName name="UPSBONDSCS">#REF!</definedName>
    <definedName name="UPSCAPACITY" localSheetId="2">#REF!</definedName>
    <definedName name="UPSCAPACITY" localSheetId="42">#REF!</definedName>
    <definedName name="UPSCAPACITY" localSheetId="43">#REF!</definedName>
    <definedName name="UPSCAPACITY">#REF!</definedName>
    <definedName name="UPSCOMEQ" localSheetId="2">#REF!</definedName>
    <definedName name="UPSCOMEQ" localSheetId="42">#REF!</definedName>
    <definedName name="UPSCOMEQ" localSheetId="43">#REF!</definedName>
    <definedName name="UPSCOMEQ">#REF!</definedName>
    <definedName name="UPSCOMSK" localSheetId="2">#REF!</definedName>
    <definedName name="UPSCOMSK" localSheetId="42">#REF!</definedName>
    <definedName name="UPSCOMSK" localSheetId="43">#REF!</definedName>
    <definedName name="UPSCOMSK">#REF!</definedName>
    <definedName name="UPSCOST" localSheetId="2">#REF!</definedName>
    <definedName name="UPSCOST" localSheetId="42">#REF!</definedName>
    <definedName name="UPSCOST" localSheetId="43">#REF!</definedName>
    <definedName name="UPSCOST">#REF!</definedName>
    <definedName name="UPSDEFTX" localSheetId="2">#REF!</definedName>
    <definedName name="UPSDEFTX" localSheetId="42">#REF!</definedName>
    <definedName name="UPSDEFTX" localSheetId="43">#REF!</definedName>
    <definedName name="UPSDEFTX">#REF!</definedName>
    <definedName name="UPSDEFTX1" localSheetId="2">#REF!</definedName>
    <definedName name="UPSDEFTX1" localSheetId="42">#REF!</definedName>
    <definedName name="UPSDEFTX1" localSheetId="43">#REF!</definedName>
    <definedName name="UPSDEFTX1">#REF!</definedName>
    <definedName name="UPSDEFTX2" localSheetId="2">#REF!</definedName>
    <definedName name="UPSDEFTX2" localSheetId="42">#REF!</definedName>
    <definedName name="UPSDEFTX2" localSheetId="43">#REF!</definedName>
    <definedName name="UPSDEFTX2">#REF!</definedName>
    <definedName name="UPSDEFTX3" localSheetId="2">#REF!</definedName>
    <definedName name="UPSDEFTX3" localSheetId="42">#REF!</definedName>
    <definedName name="UPSDEFTX3" localSheetId="43">#REF!</definedName>
    <definedName name="UPSDEFTX3">#REF!</definedName>
    <definedName name="UPSDEPR" localSheetId="2">#REF!</definedName>
    <definedName name="UPSDEPR" localSheetId="42">#REF!</definedName>
    <definedName name="UPSDEPR" localSheetId="43">#REF!</definedName>
    <definedName name="UPSDEPR">#REF!</definedName>
    <definedName name="UPSENERGY">'[20]July Energy'!$B$2:$F$58</definedName>
    <definedName name="UPSFUEL" localSheetId="2">#REF!</definedName>
    <definedName name="UPSFUEL" localSheetId="42">#REF!</definedName>
    <definedName name="UPSFUEL" localSheetId="43">#REF!</definedName>
    <definedName name="UPSFUEL">#REF!</definedName>
    <definedName name="UPSINTEREST" localSheetId="2">#REF!</definedName>
    <definedName name="UPSINTEREST" localSheetId="42">#REF!</definedName>
    <definedName name="UPSINTEREST" localSheetId="43">#REF!</definedName>
    <definedName name="UPSINTEREST">#REF!</definedName>
    <definedName name="UPSINVT1" localSheetId="2">#REF!</definedName>
    <definedName name="UPSINVT1" localSheetId="42">#REF!</definedName>
    <definedName name="UPSINVT1" localSheetId="43">#REF!</definedName>
    <definedName name="UPSINVT1">#REF!</definedName>
    <definedName name="UPSINVT2" localSheetId="2">#REF!</definedName>
    <definedName name="UPSINVT2" localSheetId="42">#REF!</definedName>
    <definedName name="UPSINVT2" localSheetId="43">#REF!</definedName>
    <definedName name="UPSINVT2">#REF!</definedName>
    <definedName name="UPSINVT3" localSheetId="2">#REF!</definedName>
    <definedName name="UPSINVT3" localSheetId="42">#REF!</definedName>
    <definedName name="UPSINVT3" localSheetId="43">#REF!</definedName>
    <definedName name="UPSINVT3">#REF!</definedName>
    <definedName name="UPSMOCOST" localSheetId="2">#REF!</definedName>
    <definedName name="UPSMOCOST" localSheetId="42">#REF!</definedName>
    <definedName name="UPSMOCOST" localSheetId="43">#REF!</definedName>
    <definedName name="UPSMOCOST">#REF!</definedName>
    <definedName name="UPSNOI" localSheetId="2">#REF!</definedName>
    <definedName name="UPSNOI" localSheetId="42">#REF!</definedName>
    <definedName name="UPSNOI" localSheetId="43">#REF!</definedName>
    <definedName name="UPSNOI">#REF!</definedName>
    <definedName name="UPSNOI1" localSheetId="2">#REF!</definedName>
    <definedName name="UPSNOI1" localSheetId="42">#REF!</definedName>
    <definedName name="UPSNOI1" localSheetId="43">#REF!</definedName>
    <definedName name="UPSNOI1">#REF!</definedName>
    <definedName name="UPSNOITEST" localSheetId="2">#REF!</definedName>
    <definedName name="UPSNOITEST" localSheetId="42">#REF!</definedName>
    <definedName name="UPSNOITEST" localSheetId="43">#REF!</definedName>
    <definedName name="UPSNOITEST">#REF!</definedName>
    <definedName name="UPSOE_C" localSheetId="2">#REF!</definedName>
    <definedName name="UPSOE_C" localSheetId="42">#REF!</definedName>
    <definedName name="UPSOE_C" localSheetId="43">#REF!</definedName>
    <definedName name="UPSOE_C">#REF!</definedName>
    <definedName name="UPSOT" localSheetId="2">#REF!</definedName>
    <definedName name="UPSOT" localSheetId="42">#REF!</definedName>
    <definedName name="UPSOT" localSheetId="43">#REF!</definedName>
    <definedName name="UPSOT">#REF!</definedName>
    <definedName name="UPSPLIS" localSheetId="2">#REF!</definedName>
    <definedName name="UPSPLIS" localSheetId="42">#REF!</definedName>
    <definedName name="UPSPLIS" localSheetId="43">#REF!</definedName>
    <definedName name="UPSPLIS">#REF!</definedName>
    <definedName name="UPSPRESTK" localSheetId="2">#REF!</definedName>
    <definedName name="UPSPRESTK" localSheetId="42">#REF!</definedName>
    <definedName name="UPSPRESTK" localSheetId="43">#REF!</definedName>
    <definedName name="UPSPRESTK">#REF!</definedName>
    <definedName name="UPSPRFSK" localSheetId="2">#REF!</definedName>
    <definedName name="UPSPRFSK" localSheetId="42">#REF!</definedName>
    <definedName name="UPSPRFSK" localSheetId="43">#REF!</definedName>
    <definedName name="UPSPRFSK">#REF!</definedName>
    <definedName name="UPSPRODNOF" localSheetId="2">#REF!</definedName>
    <definedName name="UPSPRODNOF" localSheetId="42">#REF!</definedName>
    <definedName name="UPSPRODNOF" localSheetId="43">#REF!</definedName>
    <definedName name="UPSPRODNOF">#REF!</definedName>
    <definedName name="UPSTAXADJ" localSheetId="2">#REF!</definedName>
    <definedName name="UPSTAXADJ" localSheetId="42">#REF!</definedName>
    <definedName name="UPSTAXADJ" localSheetId="43">#REF!</definedName>
    <definedName name="UPSTAXADJ">#REF!</definedName>
    <definedName name="UPSTRANS" localSheetId="2">#REF!</definedName>
    <definedName name="UPSTRANS" localSheetId="42">#REF!</definedName>
    <definedName name="UPSTRANS" localSheetId="43">#REF!</definedName>
    <definedName name="UPSTRANS">#REF!</definedName>
    <definedName name="UPSUNITC1" localSheetId="2">#REF!</definedName>
    <definedName name="UPSUNITC1" localSheetId="42">#REF!</definedName>
    <definedName name="UPSUNITC1" localSheetId="43">#REF!</definedName>
    <definedName name="UPSUNITC1">#REF!</definedName>
    <definedName name="UPSUNITC2" localSheetId="2">#REF!</definedName>
    <definedName name="UPSUNITC2" localSheetId="42">#REF!</definedName>
    <definedName name="UPSUNITC2" localSheetId="43">#REF!</definedName>
    <definedName name="UPSUNITC2">#REF!</definedName>
    <definedName name="UPSUNITC3" localSheetId="2">#REF!</definedName>
    <definedName name="UPSUNITC3" localSheetId="42">#REF!</definedName>
    <definedName name="UPSUNITC3" localSheetId="43">#REF!</definedName>
    <definedName name="UPSUNITC3">#REF!</definedName>
    <definedName name="VARO_M" localSheetId="2">#REF!</definedName>
    <definedName name="VARO_M" localSheetId="42">#REF!</definedName>
    <definedName name="VARO_M" localSheetId="43">#REF!</definedName>
    <definedName name="VARO_M">#REF!</definedName>
    <definedName name="Version" localSheetId="2">#REF!</definedName>
    <definedName name="Version" localSheetId="42">#REF!</definedName>
    <definedName name="Version" localSheetId="43">#REF!</definedName>
    <definedName name="Version">#REF!</definedName>
    <definedName name="VISIONACCTS" localSheetId="2">#REF!</definedName>
    <definedName name="VISIONACCTS" localSheetId="42">#REF!</definedName>
    <definedName name="VISIONACCTS" localSheetId="43">#REF!</definedName>
    <definedName name="VISIONACCTS">#REF!</definedName>
    <definedName name="WORKING_CAPITAL_ALLOWANCE" localSheetId="2">#REF!</definedName>
    <definedName name="WORKING_CAPITAL_ALLOWANCE" localSheetId="42">#REF!</definedName>
    <definedName name="WORKING_CAPITAL_ALLOWANCE" localSheetId="43">#REF!</definedName>
    <definedName name="WORKING_CAPITAL_ALLOWANCE">#REF!</definedName>
    <definedName name="XMMAIN" localSheetId="2">#REF!</definedName>
    <definedName name="XMMAIN" localSheetId="42">#REF!</definedName>
    <definedName name="XMMAIN" localSheetId="43">#REF!</definedName>
    <definedName name="XMMAIN">#REF!</definedName>
    <definedName name="YRPG7" localSheetId="2">#REF!</definedName>
    <definedName name="YRPG7" localSheetId="42">#REF!</definedName>
    <definedName name="YRPG7" localSheetId="43">#REF!</definedName>
    <definedName name="YRPG7">#REF!</definedName>
    <definedName name="YRPG8" localSheetId="2">#REF!</definedName>
    <definedName name="YRPG8" localSheetId="42">#REF!</definedName>
    <definedName name="YRPG8" localSheetId="43">#REF!</definedName>
    <definedName name="YRPG8">#REF!</definedName>
    <definedName name="ytdmacro" localSheetId="2">#REF!</definedName>
    <definedName name="ytdmacro" localSheetId="42">#REF!</definedName>
    <definedName name="ytdmacro" localSheetId="43">#REF!</definedName>
    <definedName name="ytdmacro">#REF!</definedName>
    <definedName name="Z" localSheetId="2">#REF!</definedName>
    <definedName name="Z" localSheetId="42">#REF!</definedName>
    <definedName name="Z" localSheetId="43">#REF!</definedName>
    <definedName name="Z">#REF!</definedName>
    <definedName name="Z_E31DC50B_E1D0_41C6_8747_9E8AA930C208_.wvu.PrintArea" localSheetId="1" hidden="1">'42-2E'!$A$1:$P$41,'42-2E'!$A$53:$P$91</definedName>
    <definedName name="Z_E31DC50B_E1D0_41C6_8747_9E8AA930C208_.wvu.PrintArea" localSheetId="2" hidden="1">'42-3E'!$A$1:$P$6,'42-3E'!$A$7:$P$27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44" l="1"/>
  <c r="G51" i="44"/>
  <c r="A34" i="44"/>
  <c r="E30" i="44"/>
  <c r="C30" i="44"/>
  <c r="E29" i="44"/>
  <c r="C29" i="44"/>
  <c r="E28" i="44"/>
  <c r="C28" i="44"/>
  <c r="C25" i="44"/>
  <c r="D18" i="44" s="1"/>
  <c r="F18" i="44" s="1"/>
  <c r="G18" i="44" s="1"/>
  <c r="D21" i="44"/>
  <c r="F21" i="44" s="1"/>
  <c r="G21" i="44" s="1"/>
  <c r="L20" i="44"/>
  <c r="G54" i="43"/>
  <c r="G52" i="43"/>
  <c r="C49" i="43"/>
  <c r="A34" i="43"/>
  <c r="E30" i="43"/>
  <c r="E29" i="43"/>
  <c r="C29" i="43"/>
  <c r="E28" i="43"/>
  <c r="I22" i="43"/>
  <c r="I21" i="43"/>
  <c r="J20" i="43"/>
  <c r="J19" i="43"/>
  <c r="J18" i="43"/>
  <c r="J17" i="43"/>
  <c r="C17" i="43"/>
  <c r="C28" i="43" s="1"/>
  <c r="F69" i="42"/>
  <c r="E69" i="42"/>
  <c r="E82" i="42" s="1"/>
  <c r="G69" i="42"/>
  <c r="G82" i="42" s="1"/>
  <c r="H32" i="42"/>
  <c r="H82" i="42" s="1"/>
  <c r="G14" i="42"/>
  <c r="F14" i="42"/>
  <c r="Q36" i="41"/>
  <c r="I21" i="41"/>
  <c r="Q33" i="41"/>
  <c r="E33" i="41"/>
  <c r="D23" i="41"/>
  <c r="P21" i="41"/>
  <c r="O21" i="41"/>
  <c r="N21" i="41"/>
  <c r="M21" i="41"/>
  <c r="L21" i="41"/>
  <c r="K21" i="41"/>
  <c r="J21" i="41"/>
  <c r="H21" i="41"/>
  <c r="G21" i="41"/>
  <c r="F21" i="41"/>
  <c r="E21" i="41"/>
  <c r="E20" i="41"/>
  <c r="A10" i="41"/>
  <c r="J59" i="40"/>
  <c r="G58" i="40"/>
  <c r="P57" i="40"/>
  <c r="O36" i="40"/>
  <c r="O57" i="40" s="1"/>
  <c r="O58" i="40" s="1"/>
  <c r="I36" i="40"/>
  <c r="I57" i="40" s="1"/>
  <c r="G36" i="40"/>
  <c r="G57" i="40" s="1"/>
  <c r="G59" i="40" s="1"/>
  <c r="L36" i="40"/>
  <c r="L57" i="40" s="1"/>
  <c r="Q35" i="40"/>
  <c r="P34" i="40"/>
  <c r="O34" i="40"/>
  <c r="N34" i="40"/>
  <c r="M34" i="40"/>
  <c r="L34" i="40"/>
  <c r="K34" i="40"/>
  <c r="K36" i="40" s="1"/>
  <c r="K57" i="40" s="1"/>
  <c r="J34" i="40"/>
  <c r="I34" i="40"/>
  <c r="Q34" i="40" s="1"/>
  <c r="H34" i="40"/>
  <c r="G34" i="40"/>
  <c r="F34" i="40"/>
  <c r="E34" i="40"/>
  <c r="P33" i="40"/>
  <c r="P36" i="40" s="1"/>
  <c r="O33" i="40"/>
  <c r="N33" i="40"/>
  <c r="M33" i="40"/>
  <c r="M36" i="40" s="1"/>
  <c r="M57" i="40" s="1"/>
  <c r="L33" i="40"/>
  <c r="K33" i="40"/>
  <c r="J33" i="40"/>
  <c r="J36" i="40" s="1"/>
  <c r="J57" i="40" s="1"/>
  <c r="J58" i="40" s="1"/>
  <c r="I33" i="40"/>
  <c r="H33" i="40"/>
  <c r="H36" i="40" s="1"/>
  <c r="H57" i="40" s="1"/>
  <c r="G33" i="40"/>
  <c r="F33" i="40"/>
  <c r="E33" i="40"/>
  <c r="E36" i="40" s="1"/>
  <c r="E57" i="40" s="1"/>
  <c r="F22" i="40"/>
  <c r="G22" i="40" s="1"/>
  <c r="H22" i="40" s="1"/>
  <c r="D22" i="40"/>
  <c r="E22" i="40" s="1"/>
  <c r="D21" i="40"/>
  <c r="D20" i="40"/>
  <c r="P17" i="40"/>
  <c r="O17" i="40"/>
  <c r="N17" i="40"/>
  <c r="M17" i="40"/>
  <c r="L17" i="40"/>
  <c r="K17" i="40"/>
  <c r="J17" i="40"/>
  <c r="I17" i="40"/>
  <c r="Q17" i="40" s="1"/>
  <c r="H17" i="40"/>
  <c r="G17" i="40"/>
  <c r="F17" i="40"/>
  <c r="E17" i="40"/>
  <c r="P16" i="40"/>
  <c r="O16" i="40"/>
  <c r="N16" i="40"/>
  <c r="M16" i="40"/>
  <c r="L16" i="40"/>
  <c r="K16" i="40"/>
  <c r="J16" i="40"/>
  <c r="I16" i="40"/>
  <c r="H16" i="40"/>
  <c r="G16" i="40"/>
  <c r="F16" i="40"/>
  <c r="Q16" i="40" s="1"/>
  <c r="E16" i="40"/>
  <c r="P15" i="40"/>
  <c r="N15" i="40"/>
  <c r="M15" i="40"/>
  <c r="L15" i="40"/>
  <c r="K15" i="40"/>
  <c r="J15" i="40"/>
  <c r="I15" i="40"/>
  <c r="H15" i="40"/>
  <c r="G15" i="40"/>
  <c r="F15" i="40"/>
  <c r="E15" i="40"/>
  <c r="A9" i="40"/>
  <c r="B169" i="39"/>
  <c r="B168" i="39"/>
  <c r="B114" i="39"/>
  <c r="B113" i="39"/>
  <c r="J59" i="39"/>
  <c r="G58" i="39"/>
  <c r="O36" i="39"/>
  <c r="O57" i="39" s="1"/>
  <c r="G36" i="39"/>
  <c r="G57" i="39" s="1"/>
  <c r="G59" i="39" s="1"/>
  <c r="L36" i="39"/>
  <c r="L57" i="39" s="1"/>
  <c r="Q35" i="39"/>
  <c r="P34" i="39"/>
  <c r="O34" i="39"/>
  <c r="N34" i="39"/>
  <c r="M34" i="39"/>
  <c r="L34" i="39"/>
  <c r="K34" i="39"/>
  <c r="J34" i="39"/>
  <c r="I34" i="39"/>
  <c r="I36" i="39" s="1"/>
  <c r="I57" i="39" s="1"/>
  <c r="H34" i="39"/>
  <c r="G34" i="39"/>
  <c r="F34" i="39"/>
  <c r="E34" i="39"/>
  <c r="Q34" i="39" s="1"/>
  <c r="P36" i="39"/>
  <c r="P57" i="39" s="1"/>
  <c r="J36" i="39"/>
  <c r="J57" i="39" s="1"/>
  <c r="J58" i="39" s="1"/>
  <c r="H36" i="39"/>
  <c r="H57" i="39" s="1"/>
  <c r="D23" i="39"/>
  <c r="E22" i="39"/>
  <c r="F22" i="39" s="1"/>
  <c r="G22" i="39" s="1"/>
  <c r="H22" i="39" s="1"/>
  <c r="I22" i="39" s="1"/>
  <c r="J22" i="39" s="1"/>
  <c r="K22" i="39" s="1"/>
  <c r="L22" i="39" s="1"/>
  <c r="M22" i="39" s="1"/>
  <c r="N22" i="39" s="1"/>
  <c r="O22" i="39" s="1"/>
  <c r="P22" i="39" s="1"/>
  <c r="D21" i="39"/>
  <c r="D20" i="39"/>
  <c r="E19" i="39"/>
  <c r="P17" i="39"/>
  <c r="O17" i="39"/>
  <c r="N17" i="39"/>
  <c r="M17" i="39"/>
  <c r="L17" i="39"/>
  <c r="K17" i="39"/>
  <c r="J17" i="39"/>
  <c r="I17" i="39"/>
  <c r="G17" i="39"/>
  <c r="F17" i="39"/>
  <c r="E17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A9" i="39"/>
  <c r="H36" i="38"/>
  <c r="Q35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Q34" i="38" s="1"/>
  <c r="P33" i="38"/>
  <c r="P36" i="38" s="1"/>
  <c r="O33" i="38"/>
  <c r="O36" i="38" s="1"/>
  <c r="N33" i="38"/>
  <c r="N36" i="38" s="1"/>
  <c r="M33" i="38"/>
  <c r="M36" i="38" s="1"/>
  <c r="L33" i="38"/>
  <c r="L36" i="38" s="1"/>
  <c r="K33" i="38"/>
  <c r="K36" i="38" s="1"/>
  <c r="J33" i="38"/>
  <c r="J36" i="38" s="1"/>
  <c r="I33" i="38"/>
  <c r="I36" i="38" s="1"/>
  <c r="H33" i="38"/>
  <c r="Q33" i="38" s="1"/>
  <c r="G33" i="38"/>
  <c r="G36" i="38" s="1"/>
  <c r="F33" i="38"/>
  <c r="F36" i="38" s="1"/>
  <c r="E33" i="38"/>
  <c r="E36" i="38" s="1"/>
  <c r="D22" i="38"/>
  <c r="E22" i="38" s="1"/>
  <c r="F22" i="38" s="1"/>
  <c r="G22" i="38" s="1"/>
  <c r="H22" i="38" s="1"/>
  <c r="I22" i="38" s="1"/>
  <c r="J22" i="38" s="1"/>
  <c r="K22" i="38" s="1"/>
  <c r="L22" i="38" s="1"/>
  <c r="M22" i="38" s="1"/>
  <c r="N22" i="38" s="1"/>
  <c r="O22" i="38" s="1"/>
  <c r="P22" i="38" s="1"/>
  <c r="D21" i="38"/>
  <c r="D20" i="38"/>
  <c r="P17" i="38"/>
  <c r="O17" i="38"/>
  <c r="N17" i="38"/>
  <c r="M17" i="38"/>
  <c r="L17" i="38"/>
  <c r="K17" i="38"/>
  <c r="J17" i="38"/>
  <c r="I17" i="38"/>
  <c r="Q17" i="38" s="1"/>
  <c r="H17" i="38"/>
  <c r="G17" i="38"/>
  <c r="F17" i="38"/>
  <c r="E17" i="38"/>
  <c r="P16" i="38"/>
  <c r="O16" i="38"/>
  <c r="N16" i="38"/>
  <c r="M16" i="38"/>
  <c r="L16" i="38"/>
  <c r="K16" i="38"/>
  <c r="J16" i="38"/>
  <c r="I16" i="38"/>
  <c r="H16" i="38"/>
  <c r="G16" i="38"/>
  <c r="F16" i="38"/>
  <c r="Q16" i="38" s="1"/>
  <c r="E16" i="38"/>
  <c r="P15" i="38"/>
  <c r="O15" i="38"/>
  <c r="N15" i="38"/>
  <c r="M15" i="38"/>
  <c r="L15" i="38"/>
  <c r="K15" i="38"/>
  <c r="J15" i="38"/>
  <c r="I15" i="38"/>
  <c r="H15" i="38"/>
  <c r="G15" i="38"/>
  <c r="F15" i="38"/>
  <c r="E15" i="38"/>
  <c r="Q36" i="37"/>
  <c r="E21" i="37"/>
  <c r="D23" i="37"/>
  <c r="Q19" i="37"/>
  <c r="Q18" i="37"/>
  <c r="A10" i="37"/>
  <c r="Q37" i="36"/>
  <c r="Q36" i="36"/>
  <c r="Q35" i="36"/>
  <c r="Q34" i="36"/>
  <c r="D24" i="36"/>
  <c r="I20" i="36"/>
  <c r="E20" i="36"/>
  <c r="I19" i="36"/>
  <c r="Q18" i="36"/>
  <c r="E21" i="36"/>
  <c r="E23" i="36"/>
  <c r="A10" i="36"/>
  <c r="AD38" i="35"/>
  <c r="I38" i="35"/>
  <c r="H38" i="35"/>
  <c r="G38" i="35"/>
  <c r="F38" i="35"/>
  <c r="E38" i="35"/>
  <c r="Q38" i="35" s="1"/>
  <c r="AD37" i="35"/>
  <c r="Q37" i="35"/>
  <c r="AD36" i="35"/>
  <c r="AE35" i="35"/>
  <c r="AD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AD34" i="35"/>
  <c r="Q34" i="35"/>
  <c r="AD33" i="35"/>
  <c r="AD32" i="35"/>
  <c r="AD31" i="35"/>
  <c r="E24" i="35"/>
  <c r="F24" i="35" s="1"/>
  <c r="E22" i="35"/>
  <c r="I20" i="35"/>
  <c r="E20" i="35"/>
  <c r="Q20" i="35" s="1"/>
  <c r="I19" i="35"/>
  <c r="Q18" i="35"/>
  <c r="Q16" i="35"/>
  <c r="A10" i="35"/>
  <c r="I37" i="34"/>
  <c r="H37" i="34"/>
  <c r="G37" i="34"/>
  <c r="F37" i="34"/>
  <c r="Q37" i="34" s="1"/>
  <c r="Q35" i="34"/>
  <c r="P34" i="34"/>
  <c r="O34" i="34"/>
  <c r="N34" i="34"/>
  <c r="M34" i="34"/>
  <c r="L34" i="34"/>
  <c r="K34" i="34"/>
  <c r="J34" i="34"/>
  <c r="I34" i="34"/>
  <c r="Q34" i="34" s="1"/>
  <c r="H34" i="34"/>
  <c r="G34" i="34"/>
  <c r="F34" i="34"/>
  <c r="E34" i="34"/>
  <c r="M23" i="34"/>
  <c r="N23" i="34" s="1"/>
  <c r="O23" i="34" s="1"/>
  <c r="P23" i="34" s="1"/>
  <c r="E23" i="34"/>
  <c r="F23" i="34" s="1"/>
  <c r="G23" i="34" s="1"/>
  <c r="H23" i="34" s="1"/>
  <c r="I23" i="34" s="1"/>
  <c r="J23" i="34" s="1"/>
  <c r="K23" i="34" s="1"/>
  <c r="L23" i="34" s="1"/>
  <c r="E22" i="34"/>
  <c r="D24" i="34"/>
  <c r="Q18" i="34"/>
  <c r="Q17" i="34"/>
  <c r="E20" i="34"/>
  <c r="Q15" i="34"/>
  <c r="A10" i="34"/>
  <c r="Q38" i="33"/>
  <c r="O23" i="33"/>
  <c r="P23" i="33" s="1"/>
  <c r="Q20" i="33"/>
  <c r="I20" i="33"/>
  <c r="F20" i="33"/>
  <c r="E20" i="33"/>
  <c r="I19" i="33"/>
  <c r="H19" i="33"/>
  <c r="G19" i="33"/>
  <c r="F19" i="33"/>
  <c r="E19" i="33"/>
  <c r="Q18" i="33"/>
  <c r="Q17" i="33"/>
  <c r="E21" i="33"/>
  <c r="E24" i="33"/>
  <c r="A10" i="33"/>
  <c r="Q37" i="32"/>
  <c r="Q36" i="32"/>
  <c r="Q34" i="32"/>
  <c r="Q20" i="32"/>
  <c r="I19" i="32"/>
  <c r="G19" i="32"/>
  <c r="F19" i="32"/>
  <c r="E19" i="32"/>
  <c r="Q18" i="32"/>
  <c r="Q16" i="32"/>
  <c r="Q15" i="32"/>
  <c r="A10" i="32"/>
  <c r="Q38" i="31"/>
  <c r="Q37" i="31"/>
  <c r="Q36" i="31"/>
  <c r="P23" i="31"/>
  <c r="E21" i="31"/>
  <c r="Q20" i="31"/>
  <c r="F19" i="31"/>
  <c r="N18" i="31"/>
  <c r="Q16" i="31"/>
  <c r="Q15" i="31"/>
  <c r="A10" i="31"/>
  <c r="Q36" i="30"/>
  <c r="Q34" i="30"/>
  <c r="Q33" i="30"/>
  <c r="D23" i="30"/>
  <c r="Q18" i="30"/>
  <c r="Q17" i="30"/>
  <c r="Q15" i="30"/>
  <c r="E22" i="30"/>
  <c r="A10" i="30"/>
  <c r="Q38" i="29"/>
  <c r="Q37" i="29"/>
  <c r="Q36" i="29"/>
  <c r="E24" i="29"/>
  <c r="O23" i="29"/>
  <c r="P23" i="29" s="1"/>
  <c r="Q20" i="29"/>
  <c r="Q19" i="29"/>
  <c r="N18" i="29"/>
  <c r="Q15" i="29"/>
  <c r="A10" i="29"/>
  <c r="Q37" i="28"/>
  <c r="Q36" i="28"/>
  <c r="Q33" i="28"/>
  <c r="E22" i="28"/>
  <c r="E21" i="28"/>
  <c r="D24" i="28"/>
  <c r="I20" i="28"/>
  <c r="Q20" i="28" s="1"/>
  <c r="Q19" i="28"/>
  <c r="Q18" i="28"/>
  <c r="Q16" i="28"/>
  <c r="Q15" i="28"/>
  <c r="A10" i="28"/>
  <c r="Q36" i="27"/>
  <c r="D23" i="27"/>
  <c r="F22" i="27"/>
  <c r="E22" i="27"/>
  <c r="Q19" i="27"/>
  <c r="N18" i="27"/>
  <c r="Q17" i="27"/>
  <c r="A10" i="27"/>
  <c r="Q38" i="26"/>
  <c r="Q37" i="26"/>
  <c r="Q36" i="26"/>
  <c r="P23" i="26"/>
  <c r="O23" i="26"/>
  <c r="E22" i="26"/>
  <c r="E21" i="26"/>
  <c r="Q20" i="26"/>
  <c r="J20" i="26"/>
  <c r="E20" i="26"/>
  <c r="Q18" i="26"/>
  <c r="N18" i="26"/>
  <c r="Q17" i="26"/>
  <c r="E24" i="26"/>
  <c r="Q15" i="26"/>
  <c r="A10" i="26"/>
  <c r="Q36" i="25"/>
  <c r="Q35" i="25"/>
  <c r="E21" i="25"/>
  <c r="Q19" i="25"/>
  <c r="Q18" i="25"/>
  <c r="E20" i="25"/>
  <c r="Q15" i="25"/>
  <c r="E22" i="25"/>
  <c r="F22" i="25" s="1"/>
  <c r="A10" i="25"/>
  <c r="Q37" i="24"/>
  <c r="E23" i="24"/>
  <c r="E21" i="24"/>
  <c r="D24" i="24"/>
  <c r="Q20" i="24"/>
  <c r="I19" i="24"/>
  <c r="Q16" i="24"/>
  <c r="Q15" i="24"/>
  <c r="A10" i="24"/>
  <c r="Q37" i="23"/>
  <c r="Q36" i="23"/>
  <c r="Q20" i="23"/>
  <c r="Q16" i="23"/>
  <c r="A10" i="23"/>
  <c r="Q37" i="22"/>
  <c r="Q36" i="22"/>
  <c r="Q35" i="22"/>
  <c r="D24" i="22"/>
  <c r="E20" i="22"/>
  <c r="Q20" i="22" s="1"/>
  <c r="I19" i="22"/>
  <c r="Q19" i="22" s="1"/>
  <c r="Q16" i="22"/>
  <c r="A10" i="22"/>
  <c r="Q36" i="21"/>
  <c r="Q34" i="21"/>
  <c r="D23" i="21"/>
  <c r="E22" i="21"/>
  <c r="Q19" i="21"/>
  <c r="Q17" i="21"/>
  <c r="E20" i="21"/>
  <c r="A10" i="21"/>
  <c r="Q38" i="20"/>
  <c r="Q37" i="20"/>
  <c r="Q36" i="20"/>
  <c r="O23" i="20"/>
  <c r="P23" i="20" s="1"/>
  <c r="Q20" i="20"/>
  <c r="Q19" i="20"/>
  <c r="N18" i="20"/>
  <c r="Q18" i="20"/>
  <c r="Q16" i="20"/>
  <c r="Q15" i="20"/>
  <c r="A10" i="20"/>
  <c r="Q36" i="19"/>
  <c r="Q35" i="19"/>
  <c r="Q34" i="19"/>
  <c r="D23" i="19"/>
  <c r="F22" i="19"/>
  <c r="E22" i="19"/>
  <c r="E20" i="19"/>
  <c r="Q16" i="19"/>
  <c r="A10" i="19"/>
  <c r="Q38" i="18"/>
  <c r="Q37" i="18"/>
  <c r="Q36" i="18"/>
  <c r="Q34" i="18"/>
  <c r="P23" i="18"/>
  <c r="O23" i="18"/>
  <c r="D25" i="18"/>
  <c r="Q20" i="18"/>
  <c r="Q19" i="18"/>
  <c r="Q18" i="18"/>
  <c r="E22" i="18"/>
  <c r="N18" i="18"/>
  <c r="Q17" i="18"/>
  <c r="A10" i="18"/>
  <c r="Q37" i="17"/>
  <c r="Q35" i="17"/>
  <c r="D24" i="17"/>
  <c r="E23" i="17"/>
  <c r="E22" i="17"/>
  <c r="E21" i="17"/>
  <c r="I20" i="17"/>
  <c r="Q20" i="17" s="1"/>
  <c r="Q19" i="17"/>
  <c r="Q18" i="17"/>
  <c r="Q16" i="17"/>
  <c r="Q15" i="17"/>
  <c r="A10" i="17"/>
  <c r="Q36" i="16"/>
  <c r="Q34" i="16"/>
  <c r="D23" i="16"/>
  <c r="Q19" i="16"/>
  <c r="Q18" i="16"/>
  <c r="Q17" i="16"/>
  <c r="E20" i="16"/>
  <c r="I12" i="16"/>
  <c r="A10" i="16"/>
  <c r="Q36" i="15"/>
  <c r="Q35" i="15"/>
  <c r="D23" i="15"/>
  <c r="Q19" i="15"/>
  <c r="Q17" i="15"/>
  <c r="A10" i="15"/>
  <c r="Q36" i="14"/>
  <c r="Q35" i="14"/>
  <c r="Q34" i="14"/>
  <c r="E21" i="14"/>
  <c r="D23" i="14"/>
  <c r="Q19" i="14"/>
  <c r="Q17" i="14"/>
  <c r="A10" i="14"/>
  <c r="Q37" i="13"/>
  <c r="Q36" i="13"/>
  <c r="F23" i="13"/>
  <c r="E22" i="13"/>
  <c r="Q20" i="13"/>
  <c r="E20" i="13"/>
  <c r="Q19" i="13"/>
  <c r="Q18" i="13"/>
  <c r="Q17" i="13"/>
  <c r="Q15" i="13"/>
  <c r="E23" i="13"/>
  <c r="A10" i="13"/>
  <c r="Q37" i="12"/>
  <c r="Q36" i="12"/>
  <c r="Q35" i="12"/>
  <c r="E23" i="12"/>
  <c r="E22" i="12"/>
  <c r="E21" i="12"/>
  <c r="D24" i="12"/>
  <c r="Q20" i="12"/>
  <c r="Q18" i="12"/>
  <c r="Q17" i="12"/>
  <c r="A10" i="12"/>
  <c r="Q36" i="11"/>
  <c r="Q34" i="11"/>
  <c r="E22" i="11"/>
  <c r="E20" i="11"/>
  <c r="D23" i="11"/>
  <c r="Q18" i="11"/>
  <c r="Q17" i="11"/>
  <c r="Q16" i="11"/>
  <c r="A10" i="11"/>
  <c r="Q36" i="10"/>
  <c r="Q35" i="10"/>
  <c r="Q34" i="10"/>
  <c r="D23" i="10"/>
  <c r="Q19" i="10"/>
  <c r="Q18" i="10"/>
  <c r="Q17" i="10"/>
  <c r="Q16" i="10"/>
  <c r="E22" i="10"/>
  <c r="M12" i="10"/>
  <c r="A10" i="10"/>
  <c r="Q38" i="9"/>
  <c r="Q36" i="9"/>
  <c r="Q34" i="9"/>
  <c r="E24" i="9"/>
  <c r="O23" i="9"/>
  <c r="P23" i="9" s="1"/>
  <c r="AF21" i="9"/>
  <c r="E21" i="9"/>
  <c r="D25" i="9"/>
  <c r="Q20" i="9"/>
  <c r="Q19" i="9"/>
  <c r="Q18" i="9"/>
  <c r="N18" i="9"/>
  <c r="E22" i="9"/>
  <c r="Q16" i="9"/>
  <c r="Q15" i="9"/>
  <c r="A10" i="9"/>
  <c r="Q36" i="8"/>
  <c r="Q34" i="8"/>
  <c r="AF22" i="8"/>
  <c r="E22" i="8"/>
  <c r="AF21" i="8"/>
  <c r="AF20" i="8"/>
  <c r="E20" i="8"/>
  <c r="Q19" i="8"/>
  <c r="Q17" i="8"/>
  <c r="Q16" i="8"/>
  <c r="Q15" i="8"/>
  <c r="P12" i="10"/>
  <c r="I12" i="10"/>
  <c r="H12" i="10"/>
  <c r="A10" i="8"/>
  <c r="A45" i="7"/>
  <c r="A47" i="7" s="1"/>
  <c r="A48" i="7" s="1"/>
  <c r="A50" i="7" s="1"/>
  <c r="A51" i="7" s="1"/>
  <c r="A53" i="7" s="1"/>
  <c r="A54" i="7" s="1"/>
  <c r="A56" i="7" s="1"/>
  <c r="B37" i="7"/>
  <c r="B38" i="7" s="1"/>
  <c r="B39" i="7" s="1"/>
  <c r="B40" i="7" s="1"/>
  <c r="B41" i="7" s="1"/>
  <c r="K175" i="6"/>
  <c r="C43" i="6"/>
  <c r="C56" i="6" s="1"/>
  <c r="E41" i="6"/>
  <c r="E40" i="6"/>
  <c r="E36" i="6"/>
  <c r="E28" i="6"/>
  <c r="E23" i="6"/>
  <c r="A36" i="5"/>
  <c r="A38" i="5" s="1"/>
  <c r="A39" i="5" s="1"/>
  <c r="A41" i="5" s="1"/>
  <c r="A42" i="5" s="1"/>
  <c r="A44" i="5" s="1"/>
  <c r="A45" i="5" s="1"/>
  <c r="A47" i="5" s="1"/>
  <c r="P35" i="5"/>
  <c r="O35" i="5"/>
  <c r="L35" i="5"/>
  <c r="J35" i="5"/>
  <c r="I35" i="5"/>
  <c r="H35" i="5"/>
  <c r="G35" i="5"/>
  <c r="P34" i="5"/>
  <c r="O34" i="5"/>
  <c r="M34" i="5"/>
  <c r="L34" i="5"/>
  <c r="K34" i="5"/>
  <c r="J34" i="5"/>
  <c r="I34" i="5"/>
  <c r="H34" i="5"/>
  <c r="G34" i="5"/>
  <c r="E34" i="5"/>
  <c r="P33" i="5"/>
  <c r="O33" i="5"/>
  <c r="N33" i="5"/>
  <c r="M33" i="5"/>
  <c r="L33" i="5"/>
  <c r="K33" i="5"/>
  <c r="J33" i="5"/>
  <c r="I33" i="5"/>
  <c r="H33" i="5"/>
  <c r="G33" i="5"/>
  <c r="F33" i="5"/>
  <c r="Q33" i="5" s="1"/>
  <c r="E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P39" i="5"/>
  <c r="P45" i="5" s="1"/>
  <c r="O39" i="5"/>
  <c r="O45" i="5" s="1"/>
  <c r="N39" i="5"/>
  <c r="N45" i="5" s="1"/>
  <c r="M39" i="5"/>
  <c r="M45" i="5" s="1"/>
  <c r="L39" i="5"/>
  <c r="L45" i="5" s="1"/>
  <c r="K39" i="5"/>
  <c r="K45" i="5" s="1"/>
  <c r="J39" i="5"/>
  <c r="J45" i="5" s="1"/>
  <c r="I39" i="5"/>
  <c r="I45" i="5" s="1"/>
  <c r="H39" i="5"/>
  <c r="H45" i="5" s="1"/>
  <c r="G39" i="5"/>
  <c r="G45" i="5" s="1"/>
  <c r="F39" i="5"/>
  <c r="F45" i="5" s="1"/>
  <c r="E39" i="5"/>
  <c r="E45" i="5" s="1"/>
  <c r="Q10" i="5"/>
  <c r="Q9" i="5"/>
  <c r="P38" i="5"/>
  <c r="P48" i="5" s="1"/>
  <c r="O20" i="2" s="1"/>
  <c r="O38" i="5"/>
  <c r="O48" i="5" s="1"/>
  <c r="N20" i="2" s="1"/>
  <c r="L36" i="5"/>
  <c r="J38" i="5"/>
  <c r="I38" i="5"/>
  <c r="H38" i="5"/>
  <c r="H48" i="5" s="1"/>
  <c r="G20" i="2" s="1"/>
  <c r="G38" i="5"/>
  <c r="G48" i="5" s="1"/>
  <c r="F20" i="2" s="1"/>
  <c r="Q8" i="5"/>
  <c r="C37" i="4"/>
  <c r="E36" i="4"/>
  <c r="E32" i="4"/>
  <c r="E28" i="4"/>
  <c r="E25" i="4"/>
  <c r="E24" i="4"/>
  <c r="E23" i="4"/>
  <c r="E22" i="4"/>
  <c r="E21" i="4"/>
  <c r="E20" i="4"/>
  <c r="E16" i="4"/>
  <c r="E8" i="4"/>
  <c r="F23" i="3"/>
  <c r="F25" i="3" s="1"/>
  <c r="E23" i="3"/>
  <c r="E25" i="3" s="1"/>
  <c r="I21" i="3"/>
  <c r="I23" i="3" s="1"/>
  <c r="I25" i="3" s="1"/>
  <c r="F21" i="3"/>
  <c r="E21" i="3"/>
  <c r="D21" i="3"/>
  <c r="D23" i="3" s="1"/>
  <c r="D25" i="3" s="1"/>
  <c r="I19" i="3"/>
  <c r="J19" i="3" s="1"/>
  <c r="J17" i="3"/>
  <c r="K17" i="3" s="1"/>
  <c r="I17" i="3"/>
  <c r="H17" i="3"/>
  <c r="H21" i="3" s="1"/>
  <c r="H23" i="3" s="1"/>
  <c r="H25" i="3" s="1"/>
  <c r="G17" i="3"/>
  <c r="G21" i="3" s="1"/>
  <c r="G23" i="3" s="1"/>
  <c r="G25" i="3" s="1"/>
  <c r="F17" i="3"/>
  <c r="E17" i="3"/>
  <c r="P37" i="2"/>
  <c r="F37" i="2"/>
  <c r="O33" i="2"/>
  <c r="N33" i="2"/>
  <c r="M33" i="2"/>
  <c r="L33" i="2"/>
  <c r="K33" i="2"/>
  <c r="J33" i="2"/>
  <c r="I33" i="2"/>
  <c r="H33" i="2"/>
  <c r="P33" i="2" s="1"/>
  <c r="G33" i="2"/>
  <c r="F33" i="2"/>
  <c r="E33" i="2"/>
  <c r="D33" i="2"/>
  <c r="E29" i="2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D28" i="2"/>
  <c r="D9" i="3" s="1"/>
  <c r="M17" i="2"/>
  <c r="L17" i="2"/>
  <c r="I17" i="2"/>
  <c r="E17" i="2"/>
  <c r="D17" i="2"/>
  <c r="P16" i="2"/>
  <c r="O17" i="2"/>
  <c r="N17" i="2"/>
  <c r="K17" i="2"/>
  <c r="J17" i="2"/>
  <c r="H17" i="2"/>
  <c r="G17" i="2"/>
  <c r="F17" i="2"/>
  <c r="P15" i="2"/>
  <c r="P17" i="2" s="1"/>
  <c r="F10" i="1"/>
  <c r="B10" i="4" l="1"/>
  <c r="D10" i="4" s="1"/>
  <c r="E10" i="4" s="1"/>
  <c r="S10" i="5"/>
  <c r="S28" i="5"/>
  <c r="B28" i="4"/>
  <c r="D28" i="4" s="1"/>
  <c r="B26" i="4"/>
  <c r="D26" i="4" s="1"/>
  <c r="E26" i="4" s="1"/>
  <c r="S26" i="5"/>
  <c r="B16" i="4"/>
  <c r="D16" i="4" s="1"/>
  <c r="R16" i="5"/>
  <c r="S20" i="5"/>
  <c r="B20" i="4"/>
  <c r="D20" i="4" s="1"/>
  <c r="L17" i="3"/>
  <c r="I48" i="5"/>
  <c r="H20" i="2" s="1"/>
  <c r="S9" i="5"/>
  <c r="B9" i="4"/>
  <c r="D9" i="4" s="1"/>
  <c r="E9" i="4" s="1"/>
  <c r="Q45" i="5"/>
  <c r="B13" i="4"/>
  <c r="D13" i="4" s="1"/>
  <c r="E13" i="4" s="1"/>
  <c r="R13" i="5"/>
  <c r="R17" i="5"/>
  <c r="B17" i="4"/>
  <c r="D17" i="4" s="1"/>
  <c r="E17" i="4" s="1"/>
  <c r="B21" i="4"/>
  <c r="D21" i="4" s="1"/>
  <c r="S21" i="5"/>
  <c r="R25" i="5"/>
  <c r="B25" i="4"/>
  <c r="D25" i="4" s="1"/>
  <c r="B29" i="4"/>
  <c r="D29" i="4" s="1"/>
  <c r="E29" i="4" s="1"/>
  <c r="R29" i="5"/>
  <c r="R31" i="5"/>
  <c r="B31" i="4"/>
  <c r="D31" i="4" s="1"/>
  <c r="E31" i="4" s="1"/>
  <c r="R14" i="5"/>
  <c r="B14" i="4"/>
  <c r="D14" i="4" s="1"/>
  <c r="E14" i="4" s="1"/>
  <c r="B24" i="4"/>
  <c r="D24" i="4" s="1"/>
  <c r="S24" i="5"/>
  <c r="J48" i="5"/>
  <c r="I20" i="2" s="1"/>
  <c r="S33" i="5"/>
  <c r="B33" i="4"/>
  <c r="D33" i="4" s="1"/>
  <c r="E33" i="4" s="1"/>
  <c r="R15" i="5"/>
  <c r="B15" i="4"/>
  <c r="D15" i="4" s="1"/>
  <c r="E15" i="4" s="1"/>
  <c r="B19" i="4"/>
  <c r="D19" i="4" s="1"/>
  <c r="E19" i="4" s="1"/>
  <c r="R19" i="5"/>
  <c r="S12" i="5"/>
  <c r="B12" i="4"/>
  <c r="D12" i="4" s="1"/>
  <c r="E12" i="4" s="1"/>
  <c r="S23" i="5"/>
  <c r="B23" i="4"/>
  <c r="D23" i="4" s="1"/>
  <c r="B8" i="4"/>
  <c r="S8" i="5"/>
  <c r="J21" i="3"/>
  <c r="J23" i="3" s="1"/>
  <c r="J25" i="3" s="1"/>
  <c r="K19" i="3"/>
  <c r="L19" i="3" s="1"/>
  <c r="M19" i="3" s="1"/>
  <c r="N19" i="3" s="1"/>
  <c r="O19" i="3" s="1"/>
  <c r="B18" i="4"/>
  <c r="D18" i="4" s="1"/>
  <c r="E18" i="4" s="1"/>
  <c r="R18" i="5"/>
  <c r="S22" i="5"/>
  <c r="B22" i="4"/>
  <c r="D22" i="4" s="1"/>
  <c r="B27" i="4"/>
  <c r="D27" i="4" s="1"/>
  <c r="E27" i="4" s="1"/>
  <c r="S27" i="5"/>
  <c r="R30" i="5"/>
  <c r="B30" i="4"/>
  <c r="D30" i="4" s="1"/>
  <c r="E30" i="4" s="1"/>
  <c r="B32" i="4"/>
  <c r="D32" i="4" s="1"/>
  <c r="S32" i="5"/>
  <c r="Q11" i="5"/>
  <c r="L38" i="5"/>
  <c r="L48" i="5" s="1"/>
  <c r="K20" i="2" s="1"/>
  <c r="J12" i="40"/>
  <c r="J12" i="41"/>
  <c r="J12" i="39"/>
  <c r="J12" i="38"/>
  <c r="J12" i="37"/>
  <c r="J12" i="36"/>
  <c r="J12" i="34"/>
  <c r="J12" i="35"/>
  <c r="J12" i="33"/>
  <c r="J12" i="30"/>
  <c r="J12" i="29"/>
  <c r="J12" i="32"/>
  <c r="J12" i="31"/>
  <c r="J12" i="27"/>
  <c r="J12" i="28"/>
  <c r="J12" i="25"/>
  <c r="J12" i="26"/>
  <c r="J12" i="21"/>
  <c r="J12" i="22"/>
  <c r="J12" i="20"/>
  <c r="J12" i="24"/>
  <c r="J12" i="19"/>
  <c r="J12" i="14"/>
  <c r="J12" i="16"/>
  <c r="J12" i="23"/>
  <c r="J12" i="18"/>
  <c r="J12" i="17"/>
  <c r="J12" i="11"/>
  <c r="J12" i="13"/>
  <c r="J12" i="12"/>
  <c r="J12" i="15"/>
  <c r="J12" i="9"/>
  <c r="J12" i="10"/>
  <c r="E25" i="9"/>
  <c r="F21" i="9"/>
  <c r="F22" i="12"/>
  <c r="P28" i="2"/>
  <c r="K12" i="40"/>
  <c r="K12" i="41"/>
  <c r="K12" i="39"/>
  <c r="K12" i="38"/>
  <c r="K12" i="37"/>
  <c r="K12" i="36"/>
  <c r="K12" i="34"/>
  <c r="K12" i="35"/>
  <c r="K12" i="33"/>
  <c r="K12" i="29"/>
  <c r="K12" i="32"/>
  <c r="K12" i="31"/>
  <c r="K12" i="28"/>
  <c r="K12" i="30"/>
  <c r="K12" i="25"/>
  <c r="K12" i="27"/>
  <c r="K12" i="26"/>
  <c r="K12" i="24"/>
  <c r="K12" i="21"/>
  <c r="K12" i="22"/>
  <c r="K12" i="19"/>
  <c r="K12" i="20"/>
  <c r="K12" i="23"/>
  <c r="K12" i="18"/>
  <c r="K12" i="15"/>
  <c r="K12" i="16"/>
  <c r="K12" i="17"/>
  <c r="K12" i="14"/>
  <c r="K12" i="13"/>
  <c r="K12" i="12"/>
  <c r="K12" i="10"/>
  <c r="K12" i="9"/>
  <c r="G36" i="5"/>
  <c r="O36" i="5"/>
  <c r="L12" i="41"/>
  <c r="L12" i="39"/>
  <c r="L12" i="38"/>
  <c r="L12" i="40"/>
  <c r="L12" i="37"/>
  <c r="L12" i="36"/>
  <c r="L12" i="34"/>
  <c r="L12" i="35"/>
  <c r="L12" i="33"/>
  <c r="L12" i="32"/>
  <c r="L12" i="29"/>
  <c r="L12" i="31"/>
  <c r="L12" i="30"/>
  <c r="L12" i="28"/>
  <c r="L12" i="27"/>
  <c r="L12" i="26"/>
  <c r="L12" i="24"/>
  <c r="L12" i="23"/>
  <c r="L12" i="21"/>
  <c r="L12" i="22"/>
  <c r="L12" i="19"/>
  <c r="L12" i="25"/>
  <c r="L12" i="20"/>
  <c r="L12" i="14"/>
  <c r="L12" i="16"/>
  <c r="L12" i="17"/>
  <c r="L12" i="18"/>
  <c r="L12" i="15"/>
  <c r="L12" i="10"/>
  <c r="L12" i="12"/>
  <c r="L12" i="13"/>
  <c r="L12" i="11"/>
  <c r="L12" i="9"/>
  <c r="F22" i="8"/>
  <c r="G22" i="8" s="1"/>
  <c r="Q28" i="2"/>
  <c r="H36" i="5"/>
  <c r="P36" i="5"/>
  <c r="Q18" i="8"/>
  <c r="F20" i="8"/>
  <c r="Q32" i="8"/>
  <c r="F24" i="9"/>
  <c r="K12" i="11"/>
  <c r="I36" i="5"/>
  <c r="Q35" i="8"/>
  <c r="J36" i="5"/>
  <c r="G12" i="41"/>
  <c r="G12" i="40"/>
  <c r="G12" i="39"/>
  <c r="G12" i="37"/>
  <c r="G12" i="38"/>
  <c r="G12" i="35"/>
  <c r="G12" i="36"/>
  <c r="G12" i="34"/>
  <c r="G12" i="33"/>
  <c r="G12" i="32"/>
  <c r="G12" i="31"/>
  <c r="G12" i="30"/>
  <c r="G12" i="27"/>
  <c r="G12" i="29"/>
  <c r="G12" i="28"/>
  <c r="G12" i="24"/>
  <c r="G12" i="23"/>
  <c r="G12" i="25"/>
  <c r="G12" i="26"/>
  <c r="G12" i="22"/>
  <c r="G12" i="19"/>
  <c r="G12" i="20"/>
  <c r="G12" i="18"/>
  <c r="G12" i="16"/>
  <c r="G12" i="17"/>
  <c r="G12" i="21"/>
  <c r="G12" i="14"/>
  <c r="G12" i="10"/>
  <c r="G12" i="11"/>
  <c r="G12" i="15"/>
  <c r="G12" i="13"/>
  <c r="G12" i="12"/>
  <c r="G12" i="9"/>
  <c r="O12" i="41"/>
  <c r="O12" i="40"/>
  <c r="O12" i="39"/>
  <c r="O12" i="37"/>
  <c r="O12" i="38"/>
  <c r="O12" i="35"/>
  <c r="O12" i="36"/>
  <c r="O12" i="34"/>
  <c r="O12" i="33"/>
  <c r="O12" i="32"/>
  <c r="O12" i="31"/>
  <c r="O12" i="30"/>
  <c r="O12" i="27"/>
  <c r="O12" i="28"/>
  <c r="O12" i="29"/>
  <c r="O12" i="24"/>
  <c r="O12" i="23"/>
  <c r="O12" i="25"/>
  <c r="O12" i="26"/>
  <c r="O12" i="22"/>
  <c r="O12" i="19"/>
  <c r="O12" i="20"/>
  <c r="O12" i="18"/>
  <c r="O12" i="16"/>
  <c r="O12" i="17"/>
  <c r="O12" i="21"/>
  <c r="O12" i="10"/>
  <c r="O12" i="11"/>
  <c r="O12" i="13"/>
  <c r="O12" i="12"/>
  <c r="O12" i="14"/>
  <c r="O12" i="15"/>
  <c r="O12" i="9"/>
  <c r="F22" i="9"/>
  <c r="E21" i="8"/>
  <c r="E27" i="9"/>
  <c r="F21" i="14"/>
  <c r="Q35" i="9"/>
  <c r="Q33" i="10"/>
  <c r="D24" i="13"/>
  <c r="E21" i="13"/>
  <c r="G23" i="13"/>
  <c r="E12" i="40"/>
  <c r="E12" i="39"/>
  <c r="E12" i="38"/>
  <c r="E12" i="41"/>
  <c r="E12" i="37"/>
  <c r="E12" i="36"/>
  <c r="E12" i="34"/>
  <c r="E12" i="35"/>
  <c r="E12" i="33"/>
  <c r="E12" i="32"/>
  <c r="E12" i="31"/>
  <c r="E12" i="30"/>
  <c r="E12" i="27"/>
  <c r="E12" i="29"/>
  <c r="E12" i="28"/>
  <c r="E12" i="24"/>
  <c r="E12" i="23"/>
  <c r="E12" i="25"/>
  <c r="E12" i="26"/>
  <c r="E12" i="21"/>
  <c r="E12" i="22"/>
  <c r="E12" i="19"/>
  <c r="E12" i="20"/>
  <c r="E12" i="18"/>
  <c r="E12" i="15"/>
  <c r="E12" i="16"/>
  <c r="E12" i="17"/>
  <c r="E12" i="14"/>
  <c r="E12" i="11"/>
  <c r="E12" i="13"/>
  <c r="E12" i="12"/>
  <c r="M12" i="40"/>
  <c r="M12" i="39"/>
  <c r="M12" i="38"/>
  <c r="M12" i="37"/>
  <c r="M12" i="41"/>
  <c r="M12" i="34"/>
  <c r="M12" i="35"/>
  <c r="M12" i="36"/>
  <c r="M12" i="33"/>
  <c r="M12" i="32"/>
  <c r="M12" i="31"/>
  <c r="M12" i="30"/>
  <c r="M12" i="27"/>
  <c r="M12" i="28"/>
  <c r="M12" i="29"/>
  <c r="M12" i="24"/>
  <c r="M12" i="23"/>
  <c r="M12" i="25"/>
  <c r="M12" i="26"/>
  <c r="M12" i="21"/>
  <c r="M12" i="22"/>
  <c r="M12" i="19"/>
  <c r="M12" i="20"/>
  <c r="M12" i="18"/>
  <c r="M12" i="15"/>
  <c r="M12" i="16"/>
  <c r="M12" i="17"/>
  <c r="M12" i="11"/>
  <c r="M12" i="13"/>
  <c r="M12" i="12"/>
  <c r="D23" i="8"/>
  <c r="M12" i="9"/>
  <c r="F22" i="10"/>
  <c r="E20" i="10"/>
  <c r="Q15" i="11"/>
  <c r="Q32" i="11"/>
  <c r="Q33" i="11"/>
  <c r="Q16" i="12"/>
  <c r="Q33" i="13"/>
  <c r="M12" i="14"/>
  <c r="F12" i="41"/>
  <c r="F12" i="38"/>
  <c r="F12" i="40"/>
  <c r="F12" i="37"/>
  <c r="F12" i="36"/>
  <c r="F12" i="39"/>
  <c r="F12" i="35"/>
  <c r="F12" i="33"/>
  <c r="F12" i="32"/>
  <c r="F12" i="34"/>
  <c r="F12" i="31"/>
  <c r="F12" i="30"/>
  <c r="F12" i="27"/>
  <c r="F12" i="29"/>
  <c r="F12" i="28"/>
  <c r="F12" i="24"/>
  <c r="F12" i="23"/>
  <c r="F12" i="25"/>
  <c r="F12" i="26"/>
  <c r="F12" i="21"/>
  <c r="F12" i="22"/>
  <c r="F12" i="19"/>
  <c r="F12" i="20"/>
  <c r="F12" i="16"/>
  <c r="F12" i="17"/>
  <c r="F12" i="18"/>
  <c r="F12" i="14"/>
  <c r="F12" i="10"/>
  <c r="F12" i="11"/>
  <c r="F12" i="15"/>
  <c r="F12" i="13"/>
  <c r="F12" i="12"/>
  <c r="N12" i="41"/>
  <c r="N12" i="38"/>
  <c r="N12" i="40"/>
  <c r="N12" i="37"/>
  <c r="N12" i="36"/>
  <c r="N12" i="39"/>
  <c r="N12" i="35"/>
  <c r="N12" i="33"/>
  <c r="N12" i="32"/>
  <c r="N12" i="34"/>
  <c r="N12" i="31"/>
  <c r="N12" i="30"/>
  <c r="N12" i="27"/>
  <c r="N12" i="28"/>
  <c r="N12" i="29"/>
  <c r="N12" i="24"/>
  <c r="N12" i="23"/>
  <c r="N12" i="25"/>
  <c r="N12" i="26"/>
  <c r="N12" i="21"/>
  <c r="N12" i="22"/>
  <c r="N12" i="19"/>
  <c r="N12" i="20"/>
  <c r="N12" i="16"/>
  <c r="N12" i="17"/>
  <c r="N12" i="18"/>
  <c r="N12" i="15"/>
  <c r="N12" i="10"/>
  <c r="N12" i="11"/>
  <c r="N12" i="13"/>
  <c r="N12" i="12"/>
  <c r="N12" i="14"/>
  <c r="Q33" i="8"/>
  <c r="E12" i="9"/>
  <c r="N12" i="9"/>
  <c r="Q17" i="9"/>
  <c r="E12" i="10"/>
  <c r="Q19" i="11"/>
  <c r="E21" i="11"/>
  <c r="Q34" i="13"/>
  <c r="Q15" i="14"/>
  <c r="F12" i="9"/>
  <c r="Q32" i="10"/>
  <c r="E21" i="10"/>
  <c r="E24" i="12"/>
  <c r="E26" i="12" s="1"/>
  <c r="F21" i="12"/>
  <c r="F23" i="12"/>
  <c r="Q34" i="17"/>
  <c r="H12" i="40"/>
  <c r="H12" i="41"/>
  <c r="H12" i="39"/>
  <c r="H12" i="38"/>
  <c r="H12" i="36"/>
  <c r="H12" i="37"/>
  <c r="H12" i="35"/>
  <c r="H12" i="34"/>
  <c r="H12" i="33"/>
  <c r="H12" i="32"/>
  <c r="H12" i="31"/>
  <c r="H12" i="30"/>
  <c r="H12" i="29"/>
  <c r="H12" i="28"/>
  <c r="H12" i="24"/>
  <c r="H12" i="23"/>
  <c r="H12" i="27"/>
  <c r="H12" i="25"/>
  <c r="H12" i="26"/>
  <c r="H12" i="20"/>
  <c r="H12" i="18"/>
  <c r="H12" i="21"/>
  <c r="H12" i="17"/>
  <c r="H12" i="19"/>
  <c r="H12" i="14"/>
  <c r="H12" i="16"/>
  <c r="H12" i="11"/>
  <c r="H12" i="15"/>
  <c r="H12" i="13"/>
  <c r="H12" i="12"/>
  <c r="H12" i="9"/>
  <c r="H12" i="22"/>
  <c r="P12" i="40"/>
  <c r="P12" i="39"/>
  <c r="P12" i="41"/>
  <c r="P12" i="38"/>
  <c r="P12" i="36"/>
  <c r="P12" i="37"/>
  <c r="P12" i="35"/>
  <c r="P12" i="34"/>
  <c r="P12" i="33"/>
  <c r="P12" i="32"/>
  <c r="P12" i="31"/>
  <c r="P12" i="30"/>
  <c r="P12" i="28"/>
  <c r="P12" i="29"/>
  <c r="P12" i="24"/>
  <c r="P12" i="23"/>
  <c r="P12" i="25"/>
  <c r="P12" i="26"/>
  <c r="P12" i="27"/>
  <c r="P12" i="20"/>
  <c r="P12" i="18"/>
  <c r="P12" i="21"/>
  <c r="P12" i="17"/>
  <c r="P12" i="14"/>
  <c r="P12" i="22"/>
  <c r="P12" i="19"/>
  <c r="P12" i="11"/>
  <c r="P12" i="13"/>
  <c r="P12" i="12"/>
  <c r="P12" i="9"/>
  <c r="P12" i="16"/>
  <c r="P12" i="15"/>
  <c r="Q34" i="12"/>
  <c r="F22" i="13"/>
  <c r="I12" i="41"/>
  <c r="I12" i="40"/>
  <c r="I12" i="39"/>
  <c r="I12" i="38"/>
  <c r="I12" i="37"/>
  <c r="I12" i="34"/>
  <c r="I12" i="36"/>
  <c r="I12" i="35"/>
  <c r="I12" i="33"/>
  <c r="I12" i="32"/>
  <c r="I12" i="30"/>
  <c r="I12" i="31"/>
  <c r="I12" i="27"/>
  <c r="I12" i="29"/>
  <c r="I12" i="24"/>
  <c r="I12" i="25"/>
  <c r="I12" i="26"/>
  <c r="I12" i="28"/>
  <c r="I12" i="23"/>
  <c r="I12" i="18"/>
  <c r="I12" i="21"/>
  <c r="I12" i="22"/>
  <c r="I12" i="19"/>
  <c r="I12" i="20"/>
  <c r="I12" i="15"/>
  <c r="I12" i="14"/>
  <c r="I12" i="11"/>
  <c r="I12" i="13"/>
  <c r="I12" i="12"/>
  <c r="I12" i="17"/>
  <c r="I12" i="9"/>
  <c r="Q15" i="10"/>
  <c r="Q19" i="12"/>
  <c r="Q33" i="12"/>
  <c r="Q32" i="14"/>
  <c r="Q37" i="9"/>
  <c r="E23" i="11"/>
  <c r="E25" i="11" s="1"/>
  <c r="F20" i="11"/>
  <c r="F22" i="11"/>
  <c r="Q35" i="11"/>
  <c r="Q15" i="12"/>
  <c r="Q16" i="13"/>
  <c r="Q16" i="14"/>
  <c r="E20" i="14"/>
  <c r="Q18" i="14"/>
  <c r="Q33" i="15"/>
  <c r="Q32" i="15"/>
  <c r="Q35" i="13"/>
  <c r="Q15" i="15"/>
  <c r="E22" i="16"/>
  <c r="Q15" i="16"/>
  <c r="F20" i="16"/>
  <c r="F21" i="17"/>
  <c r="E24" i="17"/>
  <c r="Q16" i="18"/>
  <c r="E21" i="18"/>
  <c r="F23" i="17"/>
  <c r="E22" i="14"/>
  <c r="Q33" i="14"/>
  <c r="Q34" i="15"/>
  <c r="Q17" i="17"/>
  <c r="Q16" i="15"/>
  <c r="E22" i="15"/>
  <c r="Q16" i="16"/>
  <c r="Q33" i="16"/>
  <c r="Q35" i="16"/>
  <c r="F22" i="17"/>
  <c r="Q33" i="17"/>
  <c r="Q18" i="15"/>
  <c r="E20" i="15"/>
  <c r="E26" i="17"/>
  <c r="F20" i="21"/>
  <c r="F22" i="18"/>
  <c r="Q18" i="21"/>
  <c r="Q15" i="19"/>
  <c r="Q19" i="19"/>
  <c r="E21" i="19"/>
  <c r="E23" i="19" s="1"/>
  <c r="F22" i="21"/>
  <c r="Q15" i="22"/>
  <c r="Q33" i="22"/>
  <c r="Q35" i="23"/>
  <c r="Q17" i="19"/>
  <c r="E24" i="20"/>
  <c r="Q15" i="21"/>
  <c r="Q33" i="21"/>
  <c r="Q35" i="21"/>
  <c r="Q15" i="18"/>
  <c r="Q17" i="20"/>
  <c r="Q35" i="20"/>
  <c r="Q36" i="17"/>
  <c r="Q18" i="19"/>
  <c r="F20" i="19"/>
  <c r="Q18" i="22"/>
  <c r="E24" i="18"/>
  <c r="Q35" i="18"/>
  <c r="G22" i="19"/>
  <c r="Q33" i="19"/>
  <c r="Q32" i="19"/>
  <c r="D24" i="23"/>
  <c r="E21" i="23"/>
  <c r="E23" i="25"/>
  <c r="F20" i="25"/>
  <c r="Q33" i="24"/>
  <c r="Q34" i="24"/>
  <c r="D23" i="25"/>
  <c r="Q34" i="26"/>
  <c r="D25" i="20"/>
  <c r="E23" i="22"/>
  <c r="E23" i="23"/>
  <c r="Q15" i="23"/>
  <c r="Q17" i="24"/>
  <c r="Q19" i="24"/>
  <c r="E22" i="24"/>
  <c r="F24" i="26"/>
  <c r="E21" i="20"/>
  <c r="Q16" i="21"/>
  <c r="Q17" i="22"/>
  <c r="E21" i="22"/>
  <c r="Q17" i="23"/>
  <c r="Q32" i="25"/>
  <c r="G22" i="25"/>
  <c r="Q16" i="25"/>
  <c r="Q17" i="25"/>
  <c r="E25" i="26"/>
  <c r="F21" i="26"/>
  <c r="Q34" i="20"/>
  <c r="Q34" i="22"/>
  <c r="F21" i="25"/>
  <c r="F22" i="26"/>
  <c r="E22" i="22"/>
  <c r="Q18" i="24"/>
  <c r="E24" i="24"/>
  <c r="E26" i="24" s="1"/>
  <c r="F21" i="24"/>
  <c r="F23" i="24"/>
  <c r="Q35" i="24"/>
  <c r="Q36" i="24"/>
  <c r="Q33" i="25"/>
  <c r="Q18" i="23"/>
  <c r="Q19" i="23"/>
  <c r="Q34" i="23"/>
  <c r="Q34" i="25"/>
  <c r="Q15" i="27"/>
  <c r="Q33" i="23"/>
  <c r="E23" i="28"/>
  <c r="D25" i="26"/>
  <c r="E27" i="26" s="1"/>
  <c r="G22" i="27"/>
  <c r="Q17" i="28"/>
  <c r="Q16" i="26"/>
  <c r="Q35" i="26"/>
  <c r="Q18" i="27"/>
  <c r="E20" i="27"/>
  <c r="Q34" i="27"/>
  <c r="Q33" i="27"/>
  <c r="Q35" i="27"/>
  <c r="Q19" i="26"/>
  <c r="Q16" i="27"/>
  <c r="Q32" i="27"/>
  <c r="F22" i="28"/>
  <c r="Q17" i="29"/>
  <c r="E21" i="29"/>
  <c r="Q16" i="29"/>
  <c r="Q18" i="29"/>
  <c r="D25" i="29"/>
  <c r="F22" i="30"/>
  <c r="Q19" i="30"/>
  <c r="F21" i="31"/>
  <c r="E24" i="28"/>
  <c r="E26" i="28" s="1"/>
  <c r="Q34" i="28"/>
  <c r="E21" i="30"/>
  <c r="F21" i="28"/>
  <c r="Q35" i="28"/>
  <c r="F24" i="29"/>
  <c r="Q32" i="30"/>
  <c r="Q35" i="29"/>
  <c r="E22" i="29"/>
  <c r="Q34" i="29"/>
  <c r="Q16" i="30"/>
  <c r="E20" i="30"/>
  <c r="Q18" i="31"/>
  <c r="Q17" i="31"/>
  <c r="Q19" i="31"/>
  <c r="E22" i="31"/>
  <c r="D25" i="31"/>
  <c r="Q35" i="31"/>
  <c r="E21" i="32"/>
  <c r="D24" i="32"/>
  <c r="Q34" i="31"/>
  <c r="Q35" i="32"/>
  <c r="F24" i="33"/>
  <c r="Q17" i="32"/>
  <c r="Q19" i="32"/>
  <c r="Q35" i="30"/>
  <c r="E24" i="31"/>
  <c r="F21" i="33"/>
  <c r="E23" i="32"/>
  <c r="Q37" i="33"/>
  <c r="Q36" i="35"/>
  <c r="Q36" i="33"/>
  <c r="Q33" i="36"/>
  <c r="F21" i="37"/>
  <c r="Q16" i="33"/>
  <c r="F20" i="34"/>
  <c r="Q19" i="33"/>
  <c r="D25" i="33"/>
  <c r="F22" i="34"/>
  <c r="Q36" i="34"/>
  <c r="Q15" i="33"/>
  <c r="Q35" i="33"/>
  <c r="E23" i="35"/>
  <c r="Q15" i="35"/>
  <c r="Q19" i="35"/>
  <c r="Q17" i="35"/>
  <c r="F22" i="35"/>
  <c r="G24" i="35"/>
  <c r="H24" i="35" s="1"/>
  <c r="I24" i="35" s="1"/>
  <c r="J24" i="35" s="1"/>
  <c r="K24" i="35" s="1"/>
  <c r="L24" i="35" s="1"/>
  <c r="M24" i="35" s="1"/>
  <c r="N24" i="35" s="1"/>
  <c r="O24" i="35" s="1"/>
  <c r="P24" i="35" s="1"/>
  <c r="AE36" i="35"/>
  <c r="F23" i="36"/>
  <c r="Q19" i="34"/>
  <c r="E21" i="34"/>
  <c r="E24" i="34" s="1"/>
  <c r="F21" i="36"/>
  <c r="Q17" i="36"/>
  <c r="Q16" i="37"/>
  <c r="Q16" i="34"/>
  <c r="Q33" i="34"/>
  <c r="D25" i="35"/>
  <c r="Q35" i="35"/>
  <c r="Q15" i="36"/>
  <c r="Q19" i="36"/>
  <c r="Q15" i="37"/>
  <c r="Q17" i="37"/>
  <c r="E21" i="35"/>
  <c r="E22" i="36"/>
  <c r="Q20" i="36"/>
  <c r="Q33" i="37"/>
  <c r="I58" i="39"/>
  <c r="I59" i="39" s="1"/>
  <c r="H59" i="40"/>
  <c r="H58" i="40"/>
  <c r="Q16" i="36"/>
  <c r="Q32" i="37"/>
  <c r="Q34" i="37"/>
  <c r="E23" i="39"/>
  <c r="F19" i="39"/>
  <c r="Q15" i="38"/>
  <c r="I59" i="40"/>
  <c r="I58" i="40"/>
  <c r="E20" i="37"/>
  <c r="H59" i="39"/>
  <c r="H58" i="39"/>
  <c r="P59" i="39"/>
  <c r="P58" i="39"/>
  <c r="L58" i="40"/>
  <c r="L59" i="40"/>
  <c r="Q35" i="37"/>
  <c r="Q36" i="38"/>
  <c r="O58" i="39"/>
  <c r="O59" i="39" s="1"/>
  <c r="E22" i="37"/>
  <c r="S35" i="38"/>
  <c r="K36" i="39"/>
  <c r="D23" i="38"/>
  <c r="L58" i="39"/>
  <c r="L59" i="39" s="1"/>
  <c r="Q15" i="40"/>
  <c r="I22" i="40"/>
  <c r="J22" i="40" s="1"/>
  <c r="K22" i="40" s="1"/>
  <c r="L22" i="40" s="1"/>
  <c r="M22" i="40" s="1"/>
  <c r="N22" i="40" s="1"/>
  <c r="O22" i="40" s="1"/>
  <c r="P22" i="40" s="1"/>
  <c r="K59" i="40"/>
  <c r="K58" i="40"/>
  <c r="D23" i="40"/>
  <c r="E58" i="40"/>
  <c r="E59" i="40" s="1"/>
  <c r="M58" i="40"/>
  <c r="M59" i="40"/>
  <c r="P58" i="40"/>
  <c r="P59" i="40" s="1"/>
  <c r="J21" i="43"/>
  <c r="C20" i="43"/>
  <c r="J22" i="43"/>
  <c r="E19" i="38"/>
  <c r="E19" i="40"/>
  <c r="F36" i="40"/>
  <c r="N36" i="40"/>
  <c r="E23" i="41"/>
  <c r="I82" i="42"/>
  <c r="E25" i="41"/>
  <c r="F82" i="42"/>
  <c r="D28" i="44"/>
  <c r="E36" i="39"/>
  <c r="M36" i="39"/>
  <c r="O59" i="40"/>
  <c r="F36" i="39"/>
  <c r="N36" i="39"/>
  <c r="C31" i="44"/>
  <c r="D30" i="44" s="1"/>
  <c r="F30" i="44" s="1"/>
  <c r="D29" i="44"/>
  <c r="F29" i="44" s="1"/>
  <c r="G29" i="44" s="1"/>
  <c r="D19" i="44"/>
  <c r="F19" i="44" s="1"/>
  <c r="G19" i="44" s="1"/>
  <c r="Q33" i="39"/>
  <c r="Q33" i="40"/>
  <c r="D17" i="44"/>
  <c r="D22" i="44"/>
  <c r="D20" i="44"/>
  <c r="F20" i="44" s="1"/>
  <c r="G20" i="44" s="1"/>
  <c r="D23" i="44"/>
  <c r="E26" i="34" l="1"/>
  <c r="E25" i="19"/>
  <c r="N57" i="39"/>
  <c r="N35" i="5"/>
  <c r="F57" i="40"/>
  <c r="F34" i="5"/>
  <c r="F22" i="36"/>
  <c r="G24" i="29"/>
  <c r="F22" i="24"/>
  <c r="E25" i="25"/>
  <c r="G20" i="21"/>
  <c r="Q32" i="16"/>
  <c r="E21" i="16"/>
  <c r="F21" i="8"/>
  <c r="G21" i="8" s="1"/>
  <c r="F57" i="39"/>
  <c r="F35" i="5"/>
  <c r="F19" i="40"/>
  <c r="E23" i="40"/>
  <c r="E23" i="37"/>
  <c r="F20" i="37"/>
  <c r="AE37" i="35"/>
  <c r="E24" i="36"/>
  <c r="G22" i="35"/>
  <c r="G20" i="34"/>
  <c r="F22" i="29"/>
  <c r="E21" i="27"/>
  <c r="G22" i="26"/>
  <c r="E22" i="20"/>
  <c r="F17" i="44"/>
  <c r="D25" i="44"/>
  <c r="Q36" i="40"/>
  <c r="E23" i="38"/>
  <c r="E25" i="38" s="1"/>
  <c r="F19" i="38"/>
  <c r="E25" i="35"/>
  <c r="F21" i="35"/>
  <c r="G21" i="36"/>
  <c r="F24" i="36"/>
  <c r="F23" i="32"/>
  <c r="G24" i="33"/>
  <c r="F22" i="31"/>
  <c r="G21" i="28"/>
  <c r="G22" i="28"/>
  <c r="F20" i="27"/>
  <c r="E22" i="23"/>
  <c r="G23" i="24"/>
  <c r="G21" i="25"/>
  <c r="E24" i="22"/>
  <c r="F21" i="22"/>
  <c r="F20" i="15"/>
  <c r="F22" i="14"/>
  <c r="G21" i="17"/>
  <c r="F24" i="17"/>
  <c r="F26" i="17" s="1"/>
  <c r="G22" i="9"/>
  <c r="G24" i="9"/>
  <c r="Q34" i="33"/>
  <c r="E22" i="33"/>
  <c r="AE38" i="35"/>
  <c r="F21" i="34"/>
  <c r="G22" i="34"/>
  <c r="F21" i="30"/>
  <c r="G22" i="30"/>
  <c r="F23" i="28"/>
  <c r="F24" i="24"/>
  <c r="G21" i="24"/>
  <c r="G22" i="21"/>
  <c r="F22" i="15"/>
  <c r="G22" i="11"/>
  <c r="G23" i="12"/>
  <c r="F20" i="10"/>
  <c r="E23" i="10"/>
  <c r="M17" i="3"/>
  <c r="L21" i="3"/>
  <c r="L23" i="3" s="1"/>
  <c r="L25" i="3" s="1"/>
  <c r="M57" i="39"/>
  <c r="M35" i="5"/>
  <c r="C25" i="43"/>
  <c r="D20" i="43" s="1"/>
  <c r="F20" i="43" s="1"/>
  <c r="G20" i="43" s="1"/>
  <c r="C30" i="43"/>
  <c r="L20" i="43"/>
  <c r="E25" i="40"/>
  <c r="K57" i="39"/>
  <c r="K35" i="5"/>
  <c r="G21" i="33"/>
  <c r="E27" i="29"/>
  <c r="F23" i="23"/>
  <c r="F23" i="25"/>
  <c r="G20" i="25"/>
  <c r="H22" i="19"/>
  <c r="E21" i="15"/>
  <c r="G23" i="17"/>
  <c r="G20" i="11"/>
  <c r="F24" i="12"/>
  <c r="G21" i="12"/>
  <c r="H22" i="8"/>
  <c r="I22" i="8" s="1"/>
  <c r="K21" i="3"/>
  <c r="K23" i="3" s="1"/>
  <c r="K25" i="3" s="1"/>
  <c r="E57" i="39"/>
  <c r="Q36" i="39"/>
  <c r="E35" i="5"/>
  <c r="F20" i="41"/>
  <c r="F23" i="41" s="1"/>
  <c r="F25" i="41"/>
  <c r="F23" i="39"/>
  <c r="G19" i="39"/>
  <c r="G23" i="36"/>
  <c r="G21" i="37"/>
  <c r="F26" i="24"/>
  <c r="H22" i="25"/>
  <c r="F21" i="20"/>
  <c r="E25" i="20"/>
  <c r="F23" i="22"/>
  <c r="G20" i="19"/>
  <c r="G22" i="18"/>
  <c r="G20" i="16"/>
  <c r="F20" i="14"/>
  <c r="E23" i="14"/>
  <c r="G22" i="13"/>
  <c r="F21" i="11"/>
  <c r="F23" i="11" s="1"/>
  <c r="G22" i="10"/>
  <c r="G21" i="14"/>
  <c r="E23" i="8"/>
  <c r="G22" i="12"/>
  <c r="F28" i="44"/>
  <c r="D31" i="44"/>
  <c r="F22" i="37"/>
  <c r="F25" i="39"/>
  <c r="E25" i="39"/>
  <c r="F23" i="35"/>
  <c r="E22" i="32"/>
  <c r="Q33" i="32"/>
  <c r="F24" i="31"/>
  <c r="E23" i="30"/>
  <c r="F20" i="30"/>
  <c r="E25" i="31"/>
  <c r="E21" i="21"/>
  <c r="Q32" i="21"/>
  <c r="G24" i="26"/>
  <c r="E27" i="20"/>
  <c r="F25" i="25"/>
  <c r="F24" i="20"/>
  <c r="F21" i="19"/>
  <c r="G22" i="17"/>
  <c r="F21" i="18"/>
  <c r="E25" i="18"/>
  <c r="F26" i="12"/>
  <c r="H23" i="13"/>
  <c r="F23" i="8"/>
  <c r="G20" i="8"/>
  <c r="B11" i="4"/>
  <c r="D11" i="4" s="1"/>
  <c r="E11" i="4" s="1"/>
  <c r="R11" i="5"/>
  <c r="R36" i="5" s="1"/>
  <c r="Q39" i="5"/>
  <c r="D8" i="4"/>
  <c r="G30" i="44"/>
  <c r="G35" i="44" s="1"/>
  <c r="H35" i="44" s="1"/>
  <c r="N57" i="40"/>
  <c r="N34" i="5"/>
  <c r="F21" i="32"/>
  <c r="E24" i="32"/>
  <c r="F25" i="31"/>
  <c r="G21" i="31"/>
  <c r="E25" i="29"/>
  <c r="F21" i="29"/>
  <c r="H22" i="27"/>
  <c r="F22" i="22"/>
  <c r="F25" i="26"/>
  <c r="F27" i="26" s="1"/>
  <c r="G21" i="26"/>
  <c r="F21" i="23"/>
  <c r="E24" i="23"/>
  <c r="F24" i="18"/>
  <c r="F22" i="16"/>
  <c r="F21" i="10"/>
  <c r="E25" i="8"/>
  <c r="E24" i="13"/>
  <c r="F21" i="13"/>
  <c r="F25" i="9"/>
  <c r="G21" i="9"/>
  <c r="F25" i="11" l="1"/>
  <c r="F24" i="13"/>
  <c r="G21" i="13"/>
  <c r="H21" i="31"/>
  <c r="N38" i="5"/>
  <c r="N48" i="5" s="1"/>
  <c r="M20" i="2" s="1"/>
  <c r="N36" i="5"/>
  <c r="G24" i="31"/>
  <c r="F25" i="8"/>
  <c r="H22" i="13"/>
  <c r="H20" i="16"/>
  <c r="J22" i="8"/>
  <c r="K22" i="8" s="1"/>
  <c r="G23" i="25"/>
  <c r="H20" i="25"/>
  <c r="H21" i="33"/>
  <c r="G22" i="15"/>
  <c r="G23" i="28"/>
  <c r="G20" i="15"/>
  <c r="F22" i="23"/>
  <c r="G23" i="32"/>
  <c r="F21" i="27"/>
  <c r="G19" i="40"/>
  <c r="F23" i="40"/>
  <c r="F21" i="16"/>
  <c r="E23" i="16"/>
  <c r="G24" i="18"/>
  <c r="N58" i="40"/>
  <c r="N59" i="40"/>
  <c r="G23" i="22"/>
  <c r="G20" i="41"/>
  <c r="G23" i="41" s="1"/>
  <c r="G25" i="41"/>
  <c r="H23" i="17"/>
  <c r="C31" i="43"/>
  <c r="D30" i="43" s="1"/>
  <c r="F30" i="43" s="1"/>
  <c r="G30" i="43" s="1"/>
  <c r="E25" i="10"/>
  <c r="G21" i="22"/>
  <c r="F24" i="22"/>
  <c r="F24" i="28"/>
  <c r="F23" i="38"/>
  <c r="F25" i="38" s="1"/>
  <c r="G19" i="38"/>
  <c r="G22" i="29"/>
  <c r="F26" i="36"/>
  <c r="E26" i="36"/>
  <c r="G22" i="36"/>
  <c r="G24" i="36" s="1"/>
  <c r="F26" i="13"/>
  <c r="G22" i="22"/>
  <c r="G21" i="19"/>
  <c r="F21" i="21"/>
  <c r="E23" i="21"/>
  <c r="G22" i="37"/>
  <c r="H21" i="14"/>
  <c r="Q35" i="5"/>
  <c r="E36" i="5"/>
  <c r="E38" i="5"/>
  <c r="G25" i="25"/>
  <c r="D18" i="43"/>
  <c r="F18" i="43" s="1"/>
  <c r="G18" i="43" s="1"/>
  <c r="D23" i="43"/>
  <c r="D21" i="43"/>
  <c r="F21" i="43" s="1"/>
  <c r="G21" i="43" s="1"/>
  <c r="D22" i="43"/>
  <c r="D19" i="43"/>
  <c r="F19" i="43" s="1"/>
  <c r="G19" i="43" s="1"/>
  <c r="D17" i="43"/>
  <c r="G20" i="10"/>
  <c r="F23" i="10"/>
  <c r="H22" i="21"/>
  <c r="H22" i="34"/>
  <c r="H21" i="28"/>
  <c r="G24" i="28"/>
  <c r="E27" i="35"/>
  <c r="F58" i="39"/>
  <c r="F59" i="39" s="1"/>
  <c r="F38" i="5"/>
  <c r="F48" i="5" s="1"/>
  <c r="E20" i="2" s="1"/>
  <c r="F36" i="5"/>
  <c r="Q34" i="5"/>
  <c r="G21" i="23"/>
  <c r="F24" i="23"/>
  <c r="F26" i="23" s="1"/>
  <c r="I22" i="27"/>
  <c r="G23" i="8"/>
  <c r="H20" i="8"/>
  <c r="E27" i="18"/>
  <c r="G24" i="20"/>
  <c r="F27" i="31"/>
  <c r="F22" i="32"/>
  <c r="H22" i="10"/>
  <c r="E25" i="14"/>
  <c r="H21" i="37"/>
  <c r="H21" i="12"/>
  <c r="G24" i="12"/>
  <c r="F21" i="15"/>
  <c r="M38" i="5"/>
  <c r="M48" i="5" s="1"/>
  <c r="L20" i="2" s="1"/>
  <c r="M36" i="5"/>
  <c r="H21" i="17"/>
  <c r="G24" i="17"/>
  <c r="G26" i="17" s="1"/>
  <c r="F26" i="22"/>
  <c r="E26" i="22"/>
  <c r="F22" i="20"/>
  <c r="E27" i="31"/>
  <c r="F58" i="40"/>
  <c r="F59" i="40"/>
  <c r="Q59" i="40" s="1"/>
  <c r="Q57" i="40"/>
  <c r="Q58" i="40" s="1"/>
  <c r="G25" i="9"/>
  <c r="G27" i="9" s="1"/>
  <c r="H21" i="9"/>
  <c r="G21" i="18"/>
  <c r="F25" i="18"/>
  <c r="F23" i="30"/>
  <c r="G20" i="30"/>
  <c r="G23" i="35"/>
  <c r="F31" i="44"/>
  <c r="E23" i="44" s="1"/>
  <c r="F23" i="44" s="1"/>
  <c r="F25" i="44" s="1"/>
  <c r="G28" i="44"/>
  <c r="G31" i="44" s="1"/>
  <c r="G23" i="44" s="1"/>
  <c r="H22" i="18"/>
  <c r="H23" i="36"/>
  <c r="E58" i="39"/>
  <c r="E59" i="39"/>
  <c r="Q57" i="39"/>
  <c r="Q58" i="39" s="1"/>
  <c r="G23" i="23"/>
  <c r="K38" i="5"/>
  <c r="K48" i="5" s="1"/>
  <c r="J20" i="2" s="1"/>
  <c r="K36" i="5"/>
  <c r="M58" i="39"/>
  <c r="M59" i="39" s="1"/>
  <c r="H22" i="30"/>
  <c r="H24" i="9"/>
  <c r="G22" i="14"/>
  <c r="H21" i="25"/>
  <c r="E23" i="27"/>
  <c r="H21" i="8"/>
  <c r="I21" i="8" s="1"/>
  <c r="H20" i="21"/>
  <c r="G21" i="10"/>
  <c r="G21" i="29"/>
  <c r="F25" i="29"/>
  <c r="G21" i="11"/>
  <c r="F23" i="14"/>
  <c r="G20" i="14"/>
  <c r="G21" i="20"/>
  <c r="F25" i="20"/>
  <c r="G26" i="12"/>
  <c r="K58" i="39"/>
  <c r="K59" i="39" s="1"/>
  <c r="H23" i="12"/>
  <c r="H21" i="24"/>
  <c r="G21" i="30"/>
  <c r="G21" i="34"/>
  <c r="G20" i="27"/>
  <c r="F23" i="27"/>
  <c r="G22" i="31"/>
  <c r="G25" i="31" s="1"/>
  <c r="H21" i="36"/>
  <c r="G17" i="44"/>
  <c r="H20" i="34"/>
  <c r="G24" i="34"/>
  <c r="F23" i="37"/>
  <c r="F25" i="37" s="1"/>
  <c r="G20" i="37"/>
  <c r="E26" i="23"/>
  <c r="G22" i="16"/>
  <c r="H21" i="26"/>
  <c r="G25" i="26"/>
  <c r="G21" i="32"/>
  <c r="F24" i="32"/>
  <c r="I23" i="13"/>
  <c r="F25" i="30"/>
  <c r="E25" i="30"/>
  <c r="F23" i="19"/>
  <c r="G23" i="39"/>
  <c r="H19" i="39"/>
  <c r="H20" i="11"/>
  <c r="G23" i="11"/>
  <c r="G25" i="11" s="1"/>
  <c r="I22" i="19"/>
  <c r="M21" i="3"/>
  <c r="M23" i="3" s="1"/>
  <c r="M25" i="3" s="1"/>
  <c r="N17" i="3"/>
  <c r="H22" i="9"/>
  <c r="H22" i="28"/>
  <c r="H24" i="33"/>
  <c r="F27" i="9"/>
  <c r="H22" i="26"/>
  <c r="F24" i="34"/>
  <c r="E25" i="37"/>
  <c r="E26" i="13"/>
  <c r="H24" i="29"/>
  <c r="H22" i="17"/>
  <c r="H22" i="12"/>
  <c r="G27" i="26"/>
  <c r="F27" i="29"/>
  <c r="H24" i="26"/>
  <c r="E26" i="32"/>
  <c r="H20" i="19"/>
  <c r="G23" i="19"/>
  <c r="I22" i="25"/>
  <c r="G25" i="39"/>
  <c r="H22" i="11"/>
  <c r="F22" i="33"/>
  <c r="E25" i="33"/>
  <c r="E23" i="15"/>
  <c r="H23" i="24"/>
  <c r="G21" i="35"/>
  <c r="F25" i="35"/>
  <c r="H22" i="35"/>
  <c r="F25" i="40"/>
  <c r="G22" i="24"/>
  <c r="N58" i="39"/>
  <c r="N59" i="39"/>
  <c r="G27" i="31" l="1"/>
  <c r="G26" i="36"/>
  <c r="G25" i="19"/>
  <c r="F25" i="19"/>
  <c r="I22" i="35"/>
  <c r="G22" i="33"/>
  <c r="F25" i="33"/>
  <c r="J22" i="25"/>
  <c r="G26" i="34"/>
  <c r="F26" i="34"/>
  <c r="H23" i="39"/>
  <c r="I19" i="39"/>
  <c r="I21" i="26"/>
  <c r="H25" i="26"/>
  <c r="G23" i="37"/>
  <c r="G25" i="37" s="1"/>
  <c r="H20" i="37"/>
  <c r="H21" i="10"/>
  <c r="I24" i="9"/>
  <c r="H23" i="23"/>
  <c r="H24" i="17"/>
  <c r="I21" i="17"/>
  <c r="H26" i="12"/>
  <c r="H23" i="8"/>
  <c r="I20" i="8"/>
  <c r="I22" i="21"/>
  <c r="I21" i="14"/>
  <c r="H21" i="19"/>
  <c r="G21" i="27"/>
  <c r="H20" i="15"/>
  <c r="I20" i="25"/>
  <c r="H23" i="25"/>
  <c r="G27" i="35"/>
  <c r="I24" i="29"/>
  <c r="H25" i="39"/>
  <c r="J23" i="13"/>
  <c r="H22" i="16"/>
  <c r="I21" i="36"/>
  <c r="H21" i="34"/>
  <c r="I23" i="12"/>
  <c r="G23" i="14"/>
  <c r="H20" i="14"/>
  <c r="I22" i="18"/>
  <c r="I21" i="9"/>
  <c r="H25" i="9"/>
  <c r="I21" i="12"/>
  <c r="H24" i="12"/>
  <c r="G26" i="22"/>
  <c r="I23" i="17"/>
  <c r="F27" i="35"/>
  <c r="H24" i="31"/>
  <c r="F25" i="27"/>
  <c r="E25" i="27"/>
  <c r="G22" i="32"/>
  <c r="G24" i="32" s="1"/>
  <c r="H25" i="8"/>
  <c r="B34" i="4"/>
  <c r="S34" i="5"/>
  <c r="Q38" i="5"/>
  <c r="Q36" i="5"/>
  <c r="H22" i="37"/>
  <c r="H22" i="29"/>
  <c r="H21" i="22"/>
  <c r="G24" i="22"/>
  <c r="E25" i="16"/>
  <c r="H23" i="32"/>
  <c r="H23" i="28"/>
  <c r="H25" i="25"/>
  <c r="I22" i="9"/>
  <c r="J22" i="19"/>
  <c r="H22" i="31"/>
  <c r="G25" i="14"/>
  <c r="F26" i="32"/>
  <c r="I22" i="30"/>
  <c r="Q59" i="39"/>
  <c r="H27" i="9"/>
  <c r="G22" i="20"/>
  <c r="I21" i="37"/>
  <c r="J22" i="27"/>
  <c r="I21" i="28"/>
  <c r="H24" i="28"/>
  <c r="H22" i="22"/>
  <c r="H22" i="15"/>
  <c r="I20" i="16"/>
  <c r="G24" i="13"/>
  <c r="H21" i="13"/>
  <c r="H26" i="34"/>
  <c r="H21" i="35"/>
  <c r="G25" i="35"/>
  <c r="I20" i="19"/>
  <c r="H23" i="19"/>
  <c r="I22" i="11"/>
  <c r="I20" i="34"/>
  <c r="H24" i="34"/>
  <c r="H21" i="30"/>
  <c r="I20" i="21"/>
  <c r="I21" i="25"/>
  <c r="H23" i="35"/>
  <c r="H21" i="18"/>
  <c r="G25" i="18"/>
  <c r="H24" i="20"/>
  <c r="H20" i="10"/>
  <c r="G23" i="10"/>
  <c r="G25" i="10" s="1"/>
  <c r="E48" i="5"/>
  <c r="D20" i="2" s="1"/>
  <c r="Q44" i="5"/>
  <c r="Q48" i="5" s="1"/>
  <c r="F25" i="21"/>
  <c r="E25" i="21"/>
  <c r="H19" i="38"/>
  <c r="G23" i="38"/>
  <c r="H20" i="41"/>
  <c r="H23" i="41" s="1"/>
  <c r="H25" i="41" s="1"/>
  <c r="G21" i="16"/>
  <c r="F23" i="16"/>
  <c r="F25" i="16" s="1"/>
  <c r="L22" i="8"/>
  <c r="M22" i="8" s="1"/>
  <c r="I22" i="13"/>
  <c r="G26" i="13"/>
  <c r="H25" i="19"/>
  <c r="I22" i="26"/>
  <c r="H22" i="24"/>
  <c r="I23" i="24"/>
  <c r="N21" i="3"/>
  <c r="N23" i="3" s="1"/>
  <c r="N25" i="3" s="1"/>
  <c r="O17" i="3"/>
  <c r="O21" i="3" s="1"/>
  <c r="O23" i="3" s="1"/>
  <c r="O25" i="3" s="1"/>
  <c r="H21" i="32"/>
  <c r="G24" i="24"/>
  <c r="H21" i="11"/>
  <c r="H23" i="11" s="1"/>
  <c r="H21" i="29"/>
  <c r="G25" i="29"/>
  <c r="G27" i="29" s="1"/>
  <c r="J21" i="8"/>
  <c r="K21" i="8" s="1"/>
  <c r="I23" i="36"/>
  <c r="G25" i="8"/>
  <c r="F17" i="43"/>
  <c r="D25" i="43"/>
  <c r="G25" i="38"/>
  <c r="H23" i="22"/>
  <c r="G25" i="40"/>
  <c r="G22" i="23"/>
  <c r="F25" i="15"/>
  <c r="E25" i="15"/>
  <c r="I22" i="12"/>
  <c r="I24" i="33"/>
  <c r="I20" i="11"/>
  <c r="G25" i="44"/>
  <c r="H25" i="44" s="1"/>
  <c r="G34" i="44"/>
  <c r="H20" i="27"/>
  <c r="G23" i="27"/>
  <c r="G25" i="27" s="1"/>
  <c r="I21" i="24"/>
  <c r="H24" i="24"/>
  <c r="H22" i="14"/>
  <c r="H20" i="30"/>
  <c r="G23" i="30"/>
  <c r="G25" i="30" s="1"/>
  <c r="F25" i="14"/>
  <c r="I22" i="34"/>
  <c r="G35" i="43"/>
  <c r="H35" i="43" s="1"/>
  <c r="B35" i="4"/>
  <c r="D35" i="4" s="1"/>
  <c r="E35" i="4" s="1"/>
  <c r="S35" i="5"/>
  <c r="G21" i="21"/>
  <c r="F23" i="21"/>
  <c r="H22" i="36"/>
  <c r="H24" i="36" s="1"/>
  <c r="F25" i="10"/>
  <c r="H24" i="18"/>
  <c r="H19" i="40"/>
  <c r="G23" i="40"/>
  <c r="I21" i="33"/>
  <c r="F27" i="33"/>
  <c r="E27" i="33"/>
  <c r="I24" i="26"/>
  <c r="I22" i="17"/>
  <c r="I22" i="28"/>
  <c r="H27" i="26"/>
  <c r="H21" i="20"/>
  <c r="G25" i="20"/>
  <c r="F27" i="20"/>
  <c r="H26" i="17"/>
  <c r="G21" i="15"/>
  <c r="I22" i="10"/>
  <c r="F27" i="18"/>
  <c r="H21" i="23"/>
  <c r="G24" i="23"/>
  <c r="G26" i="23" s="1"/>
  <c r="G26" i="28"/>
  <c r="F26" i="28"/>
  <c r="D28" i="43"/>
  <c r="D29" i="43"/>
  <c r="F29" i="43" s="1"/>
  <c r="G29" i="43" s="1"/>
  <c r="F23" i="15"/>
  <c r="I21" i="31"/>
  <c r="H25" i="31"/>
  <c r="H26" i="36" l="1"/>
  <c r="H25" i="11"/>
  <c r="G26" i="32"/>
  <c r="H21" i="16"/>
  <c r="G23" i="16"/>
  <c r="P20" i="2"/>
  <c r="J21" i="25"/>
  <c r="I21" i="30"/>
  <c r="J22" i="9"/>
  <c r="I24" i="31"/>
  <c r="H23" i="14"/>
  <c r="I20" i="14"/>
  <c r="J24" i="29"/>
  <c r="I20" i="15"/>
  <c r="J21" i="14"/>
  <c r="I21" i="10"/>
  <c r="I23" i="22"/>
  <c r="J22" i="34"/>
  <c r="J22" i="12"/>
  <c r="G17" i="43"/>
  <c r="J21" i="31"/>
  <c r="J21" i="33"/>
  <c r="L21" i="8"/>
  <c r="M21" i="8" s="1"/>
  <c r="J20" i="21"/>
  <c r="J21" i="28"/>
  <c r="H22" i="20"/>
  <c r="H26" i="22"/>
  <c r="H26" i="28"/>
  <c r="J21" i="12"/>
  <c r="I24" i="12"/>
  <c r="I26" i="12" s="1"/>
  <c r="H25" i="14"/>
  <c r="H22" i="33"/>
  <c r="G25" i="33"/>
  <c r="H27" i="31"/>
  <c r="I20" i="30"/>
  <c r="H23" i="30"/>
  <c r="J23" i="36"/>
  <c r="H26" i="24"/>
  <c r="G26" i="24"/>
  <c r="H25" i="40"/>
  <c r="J20" i="34"/>
  <c r="J20" i="19"/>
  <c r="H21" i="27"/>
  <c r="H23" i="27" s="1"/>
  <c r="J22" i="21"/>
  <c r="I20" i="37"/>
  <c r="H23" i="37"/>
  <c r="I20" i="41"/>
  <c r="I23" i="41" s="1"/>
  <c r="I21" i="23"/>
  <c r="H24" i="23"/>
  <c r="H23" i="40"/>
  <c r="I19" i="40"/>
  <c r="I22" i="14"/>
  <c r="I20" i="27"/>
  <c r="I21" i="29"/>
  <c r="H25" i="29"/>
  <c r="N22" i="8"/>
  <c r="O22" i="8" s="1"/>
  <c r="I20" i="10"/>
  <c r="H23" i="10"/>
  <c r="H25" i="10" s="1"/>
  <c r="I22" i="22"/>
  <c r="K22" i="27"/>
  <c r="G27" i="18"/>
  <c r="I22" i="31"/>
  <c r="I23" i="28"/>
  <c r="I24" i="28" s="1"/>
  <c r="I21" i="22"/>
  <c r="H24" i="22"/>
  <c r="J23" i="12"/>
  <c r="I22" i="16"/>
  <c r="J20" i="8"/>
  <c r="I23" i="8"/>
  <c r="I23" i="23"/>
  <c r="H25" i="37"/>
  <c r="H21" i="15"/>
  <c r="H23" i="15" s="1"/>
  <c r="J24" i="26"/>
  <c r="I22" i="36"/>
  <c r="I26" i="24"/>
  <c r="J23" i="24"/>
  <c r="J22" i="28"/>
  <c r="H21" i="21"/>
  <c r="G23" i="21"/>
  <c r="J20" i="11"/>
  <c r="J22" i="13"/>
  <c r="F28" i="43"/>
  <c r="D31" i="43"/>
  <c r="I24" i="18"/>
  <c r="G36" i="44"/>
  <c r="H34" i="44"/>
  <c r="H36" i="44" s="1"/>
  <c r="J24" i="33"/>
  <c r="I19" i="38"/>
  <c r="H23" i="38"/>
  <c r="H25" i="38" s="1"/>
  <c r="I21" i="18"/>
  <c r="H25" i="18"/>
  <c r="J22" i="11"/>
  <c r="H25" i="35"/>
  <c r="I21" i="35"/>
  <c r="J20" i="16"/>
  <c r="S36" i="5"/>
  <c r="I27" i="9"/>
  <c r="J20" i="25"/>
  <c r="I23" i="25"/>
  <c r="I25" i="8"/>
  <c r="J22" i="35"/>
  <c r="J21" i="24"/>
  <c r="I24" i="24"/>
  <c r="H27" i="29"/>
  <c r="I22" i="24"/>
  <c r="J22" i="10"/>
  <c r="J22" i="17"/>
  <c r="G27" i="20"/>
  <c r="H22" i="23"/>
  <c r="I21" i="32"/>
  <c r="J22" i="26"/>
  <c r="I23" i="35"/>
  <c r="J22" i="30"/>
  <c r="I23" i="32"/>
  <c r="I22" i="29"/>
  <c r="D34" i="4"/>
  <c r="E34" i="4" s="1"/>
  <c r="B37" i="4"/>
  <c r="D37" i="4" s="1"/>
  <c r="E37" i="4" s="1"/>
  <c r="J23" i="17"/>
  <c r="I25" i="9"/>
  <c r="J21" i="9"/>
  <c r="I21" i="34"/>
  <c r="K23" i="13"/>
  <c r="I21" i="19"/>
  <c r="I23" i="19" s="1"/>
  <c r="I27" i="26"/>
  <c r="I21" i="20"/>
  <c r="H25" i="20"/>
  <c r="H25" i="30"/>
  <c r="I21" i="11"/>
  <c r="G25" i="16"/>
  <c r="I24" i="20"/>
  <c r="I22" i="15"/>
  <c r="J21" i="37"/>
  <c r="I22" i="37"/>
  <c r="J22" i="18"/>
  <c r="J24" i="9"/>
  <c r="J21" i="26"/>
  <c r="I25" i="26"/>
  <c r="K22" i="25"/>
  <c r="I21" i="13"/>
  <c r="H24" i="13"/>
  <c r="H26" i="13" s="1"/>
  <c r="K22" i="19"/>
  <c r="H22" i="32"/>
  <c r="H24" i="32" s="1"/>
  <c r="I24" i="36"/>
  <c r="I26" i="36" s="1"/>
  <c r="J21" i="36"/>
  <c r="G23" i="15"/>
  <c r="G25" i="15" s="1"/>
  <c r="I24" i="17"/>
  <c r="I26" i="17" s="1"/>
  <c r="J21" i="17"/>
  <c r="J19" i="39"/>
  <c r="I23" i="39"/>
  <c r="I25" i="39" s="1"/>
  <c r="H26" i="32" l="1"/>
  <c r="I26" i="28"/>
  <c r="H25" i="27"/>
  <c r="I25" i="19"/>
  <c r="K22" i="30"/>
  <c r="I22" i="23"/>
  <c r="K22" i="10"/>
  <c r="F31" i="43"/>
  <c r="E23" i="43" s="1"/>
  <c r="F23" i="43" s="1"/>
  <c r="F25" i="43" s="1"/>
  <c r="G28" i="43"/>
  <c r="G31" i="43" s="1"/>
  <c r="G23" i="43" s="1"/>
  <c r="G25" i="43" s="1"/>
  <c r="H25" i="43" s="1"/>
  <c r="J22" i="16"/>
  <c r="I26" i="22"/>
  <c r="J20" i="10"/>
  <c r="I23" i="10"/>
  <c r="J20" i="30"/>
  <c r="I23" i="30"/>
  <c r="K21" i="12"/>
  <c r="J24" i="12"/>
  <c r="K21" i="14"/>
  <c r="L22" i="25"/>
  <c r="J22" i="37"/>
  <c r="J21" i="11"/>
  <c r="J23" i="11" s="1"/>
  <c r="L23" i="13"/>
  <c r="K23" i="17"/>
  <c r="J21" i="32"/>
  <c r="K20" i="25"/>
  <c r="J23" i="25"/>
  <c r="J25" i="25" s="1"/>
  <c r="J21" i="18"/>
  <c r="I25" i="18"/>
  <c r="I27" i="18" s="1"/>
  <c r="K22" i="13"/>
  <c r="I24" i="22"/>
  <c r="J21" i="22"/>
  <c r="L22" i="27"/>
  <c r="J20" i="15"/>
  <c r="I21" i="16"/>
  <c r="H23" i="16"/>
  <c r="J23" i="35"/>
  <c r="K22" i="28"/>
  <c r="K24" i="26"/>
  <c r="J23" i="23"/>
  <c r="K23" i="12"/>
  <c r="J22" i="22"/>
  <c r="P22" i="8"/>
  <c r="AD22" i="8"/>
  <c r="K20" i="19"/>
  <c r="N21" i="8"/>
  <c r="O21" i="8" s="1"/>
  <c r="J24" i="31"/>
  <c r="K21" i="36"/>
  <c r="K22" i="18"/>
  <c r="J21" i="20"/>
  <c r="J21" i="34"/>
  <c r="J24" i="34" s="1"/>
  <c r="K21" i="24"/>
  <c r="J19" i="38"/>
  <c r="I23" i="38"/>
  <c r="I25" i="38" s="1"/>
  <c r="J24" i="18"/>
  <c r="H26" i="23"/>
  <c r="J23" i="28"/>
  <c r="AB22" i="8"/>
  <c r="Z22" i="8" s="1"/>
  <c r="X22" i="8" s="1"/>
  <c r="V22" i="8" s="1"/>
  <c r="T22" i="8" s="1"/>
  <c r="J21" i="23"/>
  <c r="I24" i="23"/>
  <c r="I26" i="23" s="1"/>
  <c r="I23" i="37"/>
  <c r="J20" i="37"/>
  <c r="I22" i="33"/>
  <c r="H25" i="33"/>
  <c r="H27" i="33" s="1"/>
  <c r="K22" i="12"/>
  <c r="G27" i="33"/>
  <c r="J21" i="30"/>
  <c r="K21" i="37"/>
  <c r="J24" i="20"/>
  <c r="K22" i="35"/>
  <c r="I23" i="11"/>
  <c r="K23" i="24"/>
  <c r="H27" i="35"/>
  <c r="J20" i="27"/>
  <c r="J20" i="41"/>
  <c r="J23" i="41" s="1"/>
  <c r="J25" i="41" s="1"/>
  <c r="G25" i="21"/>
  <c r="K24" i="29"/>
  <c r="K22" i="9"/>
  <c r="J25" i="39"/>
  <c r="L22" i="19"/>
  <c r="I25" i="35"/>
  <c r="I27" i="35" s="1"/>
  <c r="J21" i="35"/>
  <c r="K19" i="39"/>
  <c r="J23" i="39"/>
  <c r="J24" i="17"/>
  <c r="K21" i="17"/>
  <c r="I22" i="32"/>
  <c r="I24" i="32" s="1"/>
  <c r="J21" i="13"/>
  <c r="I24" i="13"/>
  <c r="J25" i="26"/>
  <c r="K21" i="26"/>
  <c r="K21" i="9"/>
  <c r="J25" i="9"/>
  <c r="J22" i="29"/>
  <c r="K22" i="17"/>
  <c r="J22" i="24"/>
  <c r="J24" i="24" s="1"/>
  <c r="K22" i="11"/>
  <c r="K20" i="11"/>
  <c r="I21" i="15"/>
  <c r="K20" i="8"/>
  <c r="J23" i="8"/>
  <c r="J25" i="8" s="1"/>
  <c r="J22" i="31"/>
  <c r="J25" i="31" s="1"/>
  <c r="H27" i="18"/>
  <c r="J22" i="14"/>
  <c r="I25" i="41"/>
  <c r="K22" i="21"/>
  <c r="K20" i="34"/>
  <c r="K23" i="36"/>
  <c r="I22" i="20"/>
  <c r="K20" i="21"/>
  <c r="K22" i="34"/>
  <c r="J21" i="10"/>
  <c r="K21" i="25"/>
  <c r="J21" i="29"/>
  <c r="I25" i="29"/>
  <c r="I21" i="27"/>
  <c r="I23" i="27" s="1"/>
  <c r="I24" i="34"/>
  <c r="K21" i="33"/>
  <c r="I25" i="31"/>
  <c r="J26" i="17"/>
  <c r="K24" i="33"/>
  <c r="H25" i="15"/>
  <c r="K24" i="9"/>
  <c r="J22" i="15"/>
  <c r="J21" i="19"/>
  <c r="J23" i="19" s="1"/>
  <c r="J27" i="9"/>
  <c r="J23" i="32"/>
  <c r="K22" i="26"/>
  <c r="H27" i="20"/>
  <c r="K20" i="16"/>
  <c r="I21" i="21"/>
  <c r="H23" i="21"/>
  <c r="H25" i="21" s="1"/>
  <c r="J22" i="36"/>
  <c r="J24" i="36" s="1"/>
  <c r="I25" i="25"/>
  <c r="I25" i="10"/>
  <c r="J19" i="40"/>
  <c r="I23" i="40"/>
  <c r="I25" i="40" s="1"/>
  <c r="I25" i="30"/>
  <c r="J26" i="12"/>
  <c r="K21" i="28"/>
  <c r="J24" i="28"/>
  <c r="K21" i="31"/>
  <c r="J23" i="22"/>
  <c r="J20" i="14"/>
  <c r="I23" i="14"/>
  <c r="E40" i="33" l="1"/>
  <c r="F39" i="36"/>
  <c r="F38" i="14"/>
  <c r="H39" i="22"/>
  <c r="G38" i="30"/>
  <c r="G38" i="10"/>
  <c r="G38" i="19"/>
  <c r="J38" i="41"/>
  <c r="I39" i="23"/>
  <c r="I30" i="38"/>
  <c r="J38" i="25"/>
  <c r="J26" i="24"/>
  <c r="J26" i="36"/>
  <c r="I25" i="27"/>
  <c r="H40" i="33"/>
  <c r="I30" i="40"/>
  <c r="J25" i="19"/>
  <c r="I26" i="32"/>
  <c r="I40" i="35"/>
  <c r="L24" i="33"/>
  <c r="J27" i="31"/>
  <c r="I27" i="31"/>
  <c r="J23" i="38"/>
  <c r="K19" i="38"/>
  <c r="G34" i="43"/>
  <c r="L22" i="13"/>
  <c r="K22" i="37"/>
  <c r="E38" i="15"/>
  <c r="E39" i="13"/>
  <c r="E38" i="19"/>
  <c r="E40" i="9"/>
  <c r="H38" i="41"/>
  <c r="F38" i="19"/>
  <c r="F39" i="22"/>
  <c r="F30" i="39"/>
  <c r="G38" i="14"/>
  <c r="G39" i="17"/>
  <c r="L20" i="34"/>
  <c r="I27" i="29"/>
  <c r="I38" i="10"/>
  <c r="K22" i="15"/>
  <c r="I38" i="8"/>
  <c r="L21" i="33"/>
  <c r="K21" i="29"/>
  <c r="J25" i="29"/>
  <c r="J27" i="29" s="1"/>
  <c r="L21" i="25"/>
  <c r="L22" i="17"/>
  <c r="L21" i="17"/>
  <c r="K24" i="17"/>
  <c r="L24" i="29"/>
  <c r="K21" i="30"/>
  <c r="J23" i="37"/>
  <c r="K20" i="37"/>
  <c r="K23" i="28"/>
  <c r="K21" i="20"/>
  <c r="K23" i="23"/>
  <c r="K23" i="35"/>
  <c r="M22" i="27"/>
  <c r="K26" i="12"/>
  <c r="J23" i="10"/>
  <c r="J25" i="10" s="1"/>
  <c r="K20" i="10"/>
  <c r="I30" i="39"/>
  <c r="H38" i="10"/>
  <c r="E38" i="10"/>
  <c r="E30" i="40"/>
  <c r="E30" i="39"/>
  <c r="E39" i="28"/>
  <c r="H40" i="26"/>
  <c r="F38" i="15"/>
  <c r="F38" i="10"/>
  <c r="F40" i="9"/>
  <c r="F40" i="26"/>
  <c r="G38" i="27"/>
  <c r="G38" i="11"/>
  <c r="J25" i="14"/>
  <c r="L20" i="16"/>
  <c r="K23" i="32"/>
  <c r="L24" i="9"/>
  <c r="J22" i="20"/>
  <c r="K22" i="31"/>
  <c r="L20" i="11"/>
  <c r="J26" i="13"/>
  <c r="I40" i="9"/>
  <c r="K24" i="20"/>
  <c r="G40" i="33"/>
  <c r="J25" i="37"/>
  <c r="I25" i="16"/>
  <c r="M22" i="25"/>
  <c r="L21" i="12"/>
  <c r="K24" i="12"/>
  <c r="H30" i="38"/>
  <c r="I39" i="12"/>
  <c r="E38" i="21"/>
  <c r="E38" i="14"/>
  <c r="E40" i="20"/>
  <c r="E39" i="24"/>
  <c r="H39" i="12"/>
  <c r="H38" i="25"/>
  <c r="F40" i="35"/>
  <c r="F39" i="13"/>
  <c r="F38" i="25"/>
  <c r="G39" i="13"/>
  <c r="G38" i="41"/>
  <c r="K19" i="40"/>
  <c r="J23" i="40"/>
  <c r="J40" i="9"/>
  <c r="H40" i="29"/>
  <c r="K21" i="10"/>
  <c r="L22" i="11"/>
  <c r="K22" i="29"/>
  <c r="K21" i="13"/>
  <c r="J24" i="13"/>
  <c r="K26" i="17"/>
  <c r="G38" i="21"/>
  <c r="L21" i="37"/>
  <c r="L22" i="12"/>
  <c r="H39" i="23"/>
  <c r="I25" i="20"/>
  <c r="H39" i="36"/>
  <c r="G39" i="24"/>
  <c r="J21" i="16"/>
  <c r="I23" i="16"/>
  <c r="H39" i="28"/>
  <c r="J24" i="22"/>
  <c r="K21" i="22"/>
  <c r="J25" i="18"/>
  <c r="J27" i="18" s="1"/>
  <c r="K21" i="18"/>
  <c r="L23" i="17"/>
  <c r="L22" i="10"/>
  <c r="E38" i="27"/>
  <c r="E39" i="23"/>
  <c r="E30" i="38"/>
  <c r="E40" i="26"/>
  <c r="H38" i="8"/>
  <c r="H40" i="9"/>
  <c r="F38" i="21"/>
  <c r="F40" i="29"/>
  <c r="F40" i="31"/>
  <c r="F39" i="12"/>
  <c r="G39" i="23"/>
  <c r="G39" i="22"/>
  <c r="G30" i="39"/>
  <c r="J21" i="21"/>
  <c r="I23" i="21"/>
  <c r="I25" i="21" s="1"/>
  <c r="K20" i="14"/>
  <c r="J23" i="14"/>
  <c r="G40" i="18"/>
  <c r="K24" i="28"/>
  <c r="K26" i="28" s="1"/>
  <c r="L21" i="28"/>
  <c r="K21" i="19"/>
  <c r="H38" i="15"/>
  <c r="J26" i="34"/>
  <c r="I26" i="34"/>
  <c r="I40" i="26"/>
  <c r="L22" i="21"/>
  <c r="J22" i="32"/>
  <c r="L23" i="24"/>
  <c r="L21" i="24"/>
  <c r="L22" i="18"/>
  <c r="L24" i="26"/>
  <c r="J26" i="22"/>
  <c r="M23" i="13"/>
  <c r="H25" i="16"/>
  <c r="K22" i="16"/>
  <c r="J22" i="23"/>
  <c r="H39" i="32"/>
  <c r="H39" i="13"/>
  <c r="E38" i="16"/>
  <c r="E40" i="18"/>
  <c r="E40" i="29"/>
  <c r="E39" i="17"/>
  <c r="H39" i="34"/>
  <c r="F39" i="34"/>
  <c r="F40" i="20"/>
  <c r="F38" i="30"/>
  <c r="F30" i="38"/>
  <c r="F38" i="41"/>
  <c r="G30" i="40"/>
  <c r="G39" i="28"/>
  <c r="G39" i="12"/>
  <c r="K23" i="22"/>
  <c r="K22" i="36"/>
  <c r="I39" i="24"/>
  <c r="J39" i="17"/>
  <c r="J21" i="27"/>
  <c r="H38" i="30"/>
  <c r="H38" i="14"/>
  <c r="L20" i="8"/>
  <c r="K23" i="8"/>
  <c r="L21" i="9"/>
  <c r="K25" i="9"/>
  <c r="L19" i="39"/>
  <c r="K23" i="39"/>
  <c r="M22" i="19"/>
  <c r="I27" i="33"/>
  <c r="K24" i="18"/>
  <c r="K24" i="31"/>
  <c r="K22" i="22"/>
  <c r="J23" i="15"/>
  <c r="K20" i="15"/>
  <c r="I25" i="14"/>
  <c r="K20" i="30"/>
  <c r="J23" i="30"/>
  <c r="E39" i="22"/>
  <c r="E40" i="31"/>
  <c r="E38" i="8"/>
  <c r="E38" i="11"/>
  <c r="H30" i="39"/>
  <c r="F39" i="28"/>
  <c r="F39" i="32"/>
  <c r="F30" i="40"/>
  <c r="F38" i="8"/>
  <c r="F39" i="17"/>
  <c r="G38" i="37"/>
  <c r="G38" i="8"/>
  <c r="G38" i="25"/>
  <c r="I38" i="30"/>
  <c r="L22" i="34"/>
  <c r="J21" i="15"/>
  <c r="K25" i="26"/>
  <c r="K27" i="26" s="1"/>
  <c r="L21" i="26"/>
  <c r="J27" i="26"/>
  <c r="J25" i="35"/>
  <c r="K21" i="35"/>
  <c r="J30" i="39"/>
  <c r="K20" i="41"/>
  <c r="K23" i="41" s="1"/>
  <c r="K25" i="41"/>
  <c r="J25" i="11"/>
  <c r="I25" i="11"/>
  <c r="H38" i="11"/>
  <c r="J22" i="33"/>
  <c r="I25" i="33"/>
  <c r="K21" i="23"/>
  <c r="G40" i="20"/>
  <c r="AD21" i="8"/>
  <c r="P21" i="8"/>
  <c r="H30" i="40"/>
  <c r="L22" i="28"/>
  <c r="H40" i="31"/>
  <c r="H38" i="37"/>
  <c r="L20" i="25"/>
  <c r="K23" i="25"/>
  <c r="L21" i="14"/>
  <c r="L22" i="30"/>
  <c r="I38" i="19"/>
  <c r="E38" i="30"/>
  <c r="E39" i="36"/>
  <c r="E38" i="25"/>
  <c r="E39" i="12"/>
  <c r="H38" i="19"/>
  <c r="F38" i="27"/>
  <c r="F38" i="16"/>
  <c r="F39" i="23"/>
  <c r="F38" i="11"/>
  <c r="G30" i="38"/>
  <c r="G40" i="31"/>
  <c r="G39" i="36"/>
  <c r="G40" i="26"/>
  <c r="K25" i="31"/>
  <c r="K27" i="31" s="1"/>
  <c r="L21" i="31"/>
  <c r="J25" i="40"/>
  <c r="L22" i="26"/>
  <c r="G38" i="16"/>
  <c r="G39" i="32"/>
  <c r="L20" i="21"/>
  <c r="L23" i="36"/>
  <c r="K22" i="14"/>
  <c r="K22" i="24"/>
  <c r="I26" i="13"/>
  <c r="J27" i="35"/>
  <c r="L22" i="9"/>
  <c r="J23" i="27"/>
  <c r="K20" i="27"/>
  <c r="L22" i="35"/>
  <c r="H39" i="24"/>
  <c r="J25" i="38"/>
  <c r="K21" i="34"/>
  <c r="K24" i="34" s="1"/>
  <c r="L21" i="36"/>
  <c r="K24" i="36"/>
  <c r="K26" i="36" s="1"/>
  <c r="AB21" i="8"/>
  <c r="Z21" i="8" s="1"/>
  <c r="X21" i="8" s="1"/>
  <c r="V21" i="8" s="1"/>
  <c r="T21" i="8" s="1"/>
  <c r="K23" i="19"/>
  <c r="L20" i="19"/>
  <c r="L23" i="12"/>
  <c r="I23" i="15"/>
  <c r="I25" i="37"/>
  <c r="J24" i="32"/>
  <c r="J26" i="32" s="1"/>
  <c r="K21" i="32"/>
  <c r="K21" i="11"/>
  <c r="K23" i="11" s="1"/>
  <c r="J26" i="28"/>
  <c r="I39" i="36"/>
  <c r="G38" i="15"/>
  <c r="I39" i="17"/>
  <c r="E40" i="35"/>
  <c r="E38" i="37"/>
  <c r="E39" i="34"/>
  <c r="E38" i="41"/>
  <c r="H39" i="17"/>
  <c r="F40" i="33"/>
  <c r="F40" i="18"/>
  <c r="F38" i="37"/>
  <c r="F39" i="24"/>
  <c r="G40" i="35"/>
  <c r="G40" i="29"/>
  <c r="G39" i="34"/>
  <c r="G40" i="9"/>
  <c r="J40" i="29" l="1"/>
  <c r="K26" i="34"/>
  <c r="K25" i="11"/>
  <c r="G39" i="19"/>
  <c r="G40" i="19" s="1"/>
  <c r="G46" i="19" s="1"/>
  <c r="F19" i="7"/>
  <c r="G39" i="30"/>
  <c r="F30" i="7"/>
  <c r="K40" i="31"/>
  <c r="K39" i="36"/>
  <c r="K40" i="26"/>
  <c r="H40" i="22"/>
  <c r="H41" i="22" s="1"/>
  <c r="H47" i="22" s="1"/>
  <c r="G22" i="7"/>
  <c r="F39" i="14"/>
  <c r="E14" i="7"/>
  <c r="F40" i="36"/>
  <c r="F41" i="36" s="1"/>
  <c r="F47" i="36" s="1"/>
  <c r="E36" i="7"/>
  <c r="G39" i="10"/>
  <c r="G40" i="10" s="1"/>
  <c r="G46" i="10" s="1"/>
  <c r="F10" i="7"/>
  <c r="E42" i="33"/>
  <c r="E41" i="33"/>
  <c r="D33" i="7"/>
  <c r="H40" i="23"/>
  <c r="H41" i="23"/>
  <c r="H47" i="23" s="1"/>
  <c r="G23" i="7"/>
  <c r="G40" i="13"/>
  <c r="G41" i="13"/>
  <c r="G47" i="13" s="1"/>
  <c r="F13" i="7"/>
  <c r="I40" i="12"/>
  <c r="H12" i="7"/>
  <c r="F39" i="10"/>
  <c r="E10" i="7"/>
  <c r="L23" i="23"/>
  <c r="L21" i="29"/>
  <c r="K25" i="29"/>
  <c r="E39" i="19"/>
  <c r="E40" i="19" s="1"/>
  <c r="D19" i="7"/>
  <c r="K23" i="38"/>
  <c r="L19" i="38"/>
  <c r="G39" i="25"/>
  <c r="F25" i="7"/>
  <c r="F41" i="20"/>
  <c r="F42" i="20" s="1"/>
  <c r="F48" i="20" s="1"/>
  <c r="E20" i="7"/>
  <c r="K22" i="23"/>
  <c r="F40" i="12"/>
  <c r="F41" i="12" s="1"/>
  <c r="F47" i="12" s="1"/>
  <c r="E12" i="7"/>
  <c r="E39" i="38"/>
  <c r="E38" i="38"/>
  <c r="D39" i="7"/>
  <c r="H41" i="28"/>
  <c r="H47" i="28" s="1"/>
  <c r="H40" i="28"/>
  <c r="G28" i="7"/>
  <c r="F41" i="33"/>
  <c r="F42" i="33" s="1"/>
  <c r="F48" i="33" s="1"/>
  <c r="E33" i="7"/>
  <c r="E41" i="35"/>
  <c r="E42" i="35" s="1"/>
  <c r="D35" i="7"/>
  <c r="L21" i="32"/>
  <c r="M23" i="36"/>
  <c r="G38" i="38"/>
  <c r="G39" i="38"/>
  <c r="F39" i="7"/>
  <c r="M20" i="25"/>
  <c r="L23" i="25"/>
  <c r="H39" i="11"/>
  <c r="H40" i="11"/>
  <c r="H46" i="11" s="1"/>
  <c r="G11" i="7"/>
  <c r="G39" i="8"/>
  <c r="F8" i="7"/>
  <c r="L22" i="22"/>
  <c r="L23" i="22"/>
  <c r="F40" i="34"/>
  <c r="E34" i="7"/>
  <c r="E39" i="16"/>
  <c r="E40" i="16" s="1"/>
  <c r="D16" i="7"/>
  <c r="M23" i="24"/>
  <c r="M22" i="21"/>
  <c r="I38" i="25"/>
  <c r="L20" i="14"/>
  <c r="K23" i="14"/>
  <c r="F41" i="31"/>
  <c r="F42" i="31"/>
  <c r="F48" i="31" s="1"/>
  <c r="E31" i="7"/>
  <c r="M23" i="17"/>
  <c r="M22" i="12"/>
  <c r="H41" i="29"/>
  <c r="G29" i="7"/>
  <c r="E40" i="24"/>
  <c r="D24" i="7"/>
  <c r="H38" i="38"/>
  <c r="H40" i="38" s="1"/>
  <c r="H46" i="38" s="1"/>
  <c r="H39" i="38"/>
  <c r="G39" i="7"/>
  <c r="H40" i="35"/>
  <c r="K22" i="20"/>
  <c r="F39" i="15"/>
  <c r="F40" i="15"/>
  <c r="F46" i="15" s="1"/>
  <c r="E15" i="7"/>
  <c r="J25" i="20"/>
  <c r="L21" i="30"/>
  <c r="M22" i="17"/>
  <c r="I39" i="10"/>
  <c r="H10" i="7"/>
  <c r="F39" i="39"/>
  <c r="F38" i="39"/>
  <c r="F40" i="39" s="1"/>
  <c r="F46" i="39" s="1"/>
  <c r="E41" i="7"/>
  <c r="L22" i="37"/>
  <c r="K25" i="38"/>
  <c r="I39" i="32"/>
  <c r="I40" i="23"/>
  <c r="I41" i="23" s="1"/>
  <c r="I47" i="23" s="1"/>
  <c r="H23" i="7"/>
  <c r="F41" i="18"/>
  <c r="E18" i="7"/>
  <c r="M20" i="19"/>
  <c r="G41" i="9"/>
  <c r="F9" i="7"/>
  <c r="H40" i="17"/>
  <c r="H41" i="17"/>
  <c r="H47" i="17" s="1"/>
  <c r="G17" i="7"/>
  <c r="H40" i="24"/>
  <c r="G24" i="7"/>
  <c r="F39" i="11"/>
  <c r="E11" i="7"/>
  <c r="E40" i="25"/>
  <c r="E39" i="25"/>
  <c r="D25" i="7"/>
  <c r="I39" i="19"/>
  <c r="I40" i="19" s="1"/>
  <c r="I46" i="19" s="1"/>
  <c r="H19" i="7"/>
  <c r="H39" i="37"/>
  <c r="H40" i="37" s="1"/>
  <c r="H46" i="37" s="1"/>
  <c r="G37" i="7"/>
  <c r="G41" i="20"/>
  <c r="F20" i="7"/>
  <c r="G39" i="37"/>
  <c r="G40" i="37"/>
  <c r="G46" i="37" s="1"/>
  <c r="F37" i="7"/>
  <c r="E39" i="11"/>
  <c r="D11" i="7"/>
  <c r="N22" i="19"/>
  <c r="M20" i="8"/>
  <c r="L23" i="8"/>
  <c r="J40" i="17"/>
  <c r="I17" i="7"/>
  <c r="G40" i="12"/>
  <c r="F12" i="7"/>
  <c r="H40" i="34"/>
  <c r="H41" i="34" s="1"/>
  <c r="H47" i="34" s="1"/>
  <c r="G34" i="7"/>
  <c r="M24" i="26"/>
  <c r="I41" i="26"/>
  <c r="I42" i="26" s="1"/>
  <c r="I48" i="26" s="1"/>
  <c r="H26" i="7"/>
  <c r="F41" i="29"/>
  <c r="F42" i="29" s="1"/>
  <c r="F48" i="29" s="1"/>
  <c r="E29" i="7"/>
  <c r="L21" i="18"/>
  <c r="K25" i="18"/>
  <c r="K21" i="16"/>
  <c r="J23" i="16"/>
  <c r="L21" i="13"/>
  <c r="K24" i="13"/>
  <c r="K26" i="13" s="1"/>
  <c r="J41" i="9"/>
  <c r="J42" i="9" s="1"/>
  <c r="J48" i="9" s="1"/>
  <c r="I9" i="7"/>
  <c r="F40" i="25"/>
  <c r="F46" i="25" s="1"/>
  <c r="F39" i="25"/>
  <c r="E25" i="7"/>
  <c r="E41" i="20"/>
  <c r="D20" i="7"/>
  <c r="I38" i="16"/>
  <c r="I41" i="9"/>
  <c r="H9" i="7"/>
  <c r="H41" i="26"/>
  <c r="G26" i="7"/>
  <c r="E39" i="10"/>
  <c r="E40" i="10"/>
  <c r="D10" i="7"/>
  <c r="L21" i="20"/>
  <c r="K25" i="20"/>
  <c r="F40" i="22"/>
  <c r="E22" i="7"/>
  <c r="E40" i="13"/>
  <c r="E41" i="13" s="1"/>
  <c r="D13" i="7"/>
  <c r="H41" i="33"/>
  <c r="H42" i="33" s="1"/>
  <c r="H48" i="33" s="1"/>
  <c r="G33" i="7"/>
  <c r="J39" i="41"/>
  <c r="I44" i="7"/>
  <c r="I40" i="17"/>
  <c r="I41" i="17" s="1"/>
  <c r="I47" i="17" s="1"/>
  <c r="H17" i="7"/>
  <c r="M20" i="21"/>
  <c r="M21" i="31"/>
  <c r="F40" i="23"/>
  <c r="E23" i="7"/>
  <c r="E40" i="36"/>
  <c r="E41" i="36" s="1"/>
  <c r="D36" i="7"/>
  <c r="M22" i="30"/>
  <c r="H41" i="31"/>
  <c r="G31" i="7"/>
  <c r="M22" i="34"/>
  <c r="F40" i="17"/>
  <c r="E17" i="7"/>
  <c r="L20" i="30"/>
  <c r="K23" i="30"/>
  <c r="I40" i="24"/>
  <c r="I41" i="24"/>
  <c r="I47" i="24" s="1"/>
  <c r="H24" i="7"/>
  <c r="G40" i="28"/>
  <c r="G41" i="28" s="1"/>
  <c r="G47" i="28" s="1"/>
  <c r="F28" i="7"/>
  <c r="H40" i="13"/>
  <c r="G13" i="7"/>
  <c r="L22" i="16"/>
  <c r="M22" i="18"/>
  <c r="K25" i="39"/>
  <c r="M21" i="28"/>
  <c r="K21" i="21"/>
  <c r="J23" i="21"/>
  <c r="F39" i="21"/>
  <c r="F40" i="21"/>
  <c r="F46" i="21" s="1"/>
  <c r="E21" i="7"/>
  <c r="E40" i="23"/>
  <c r="D23" i="7"/>
  <c r="F41" i="13"/>
  <c r="F47" i="13" s="1"/>
  <c r="F40" i="13"/>
  <c r="E13" i="7"/>
  <c r="I39" i="22"/>
  <c r="J38" i="37"/>
  <c r="M24" i="9"/>
  <c r="G39" i="11"/>
  <c r="F11" i="7"/>
  <c r="E40" i="28"/>
  <c r="D28" i="7"/>
  <c r="H40" i="18"/>
  <c r="M21" i="33"/>
  <c r="M20" i="34"/>
  <c r="F39" i="19"/>
  <c r="F40" i="19"/>
  <c r="F46" i="19" s="1"/>
  <c r="E19" i="7"/>
  <c r="I40" i="18"/>
  <c r="P42" i="7"/>
  <c r="L25" i="25"/>
  <c r="G41" i="29"/>
  <c r="F29" i="7"/>
  <c r="G39" i="15"/>
  <c r="G40" i="15" s="1"/>
  <c r="G46" i="15" s="1"/>
  <c r="F15" i="7"/>
  <c r="M22" i="35"/>
  <c r="L22" i="24"/>
  <c r="F39" i="16"/>
  <c r="F40" i="16" s="1"/>
  <c r="F46" i="16" s="1"/>
  <c r="E16" i="7"/>
  <c r="K24" i="23"/>
  <c r="L21" i="23"/>
  <c r="M21" i="26"/>
  <c r="L25" i="26"/>
  <c r="F39" i="8"/>
  <c r="E8" i="7"/>
  <c r="E39" i="8"/>
  <c r="E40" i="8" s="1"/>
  <c r="D8" i="7"/>
  <c r="L24" i="31"/>
  <c r="L23" i="39"/>
  <c r="L25" i="39" s="1"/>
  <c r="M19" i="39"/>
  <c r="I38" i="41"/>
  <c r="G38" i="40"/>
  <c r="G39" i="40"/>
  <c r="F40" i="7"/>
  <c r="E40" i="17"/>
  <c r="D17" i="7"/>
  <c r="J25" i="30"/>
  <c r="K22" i="32"/>
  <c r="K24" i="32" s="1"/>
  <c r="J39" i="34"/>
  <c r="H41" i="9"/>
  <c r="G9" i="7"/>
  <c r="E39" i="27"/>
  <c r="E40" i="27" s="1"/>
  <c r="D27" i="7"/>
  <c r="K27" i="18"/>
  <c r="G40" i="24"/>
  <c r="G41" i="24"/>
  <c r="G47" i="24" s="1"/>
  <c r="F24" i="7"/>
  <c r="M21" i="37"/>
  <c r="L22" i="29"/>
  <c r="N22" i="27"/>
  <c r="L23" i="28"/>
  <c r="L24" i="28" s="1"/>
  <c r="M24" i="29"/>
  <c r="M21" i="25"/>
  <c r="E39" i="32"/>
  <c r="M22" i="13"/>
  <c r="J38" i="19"/>
  <c r="J39" i="25"/>
  <c r="I25" i="7"/>
  <c r="M22" i="9"/>
  <c r="E41" i="12"/>
  <c r="E40" i="12"/>
  <c r="D12" i="7"/>
  <c r="K25" i="15"/>
  <c r="G41" i="34"/>
  <c r="G47" i="34" s="1"/>
  <c r="G40" i="34"/>
  <c r="F34" i="7"/>
  <c r="E39" i="41"/>
  <c r="E40" i="41" s="1"/>
  <c r="D44" i="7"/>
  <c r="G41" i="35"/>
  <c r="F35" i="7"/>
  <c r="E40" i="34"/>
  <c r="D34" i="7"/>
  <c r="I40" i="36"/>
  <c r="I41" i="36" s="1"/>
  <c r="I47" i="36" s="1"/>
  <c r="H36" i="7"/>
  <c r="J25" i="15"/>
  <c r="I25" i="15"/>
  <c r="M21" i="36"/>
  <c r="L20" i="27"/>
  <c r="G40" i="32"/>
  <c r="G41" i="32" s="1"/>
  <c r="G47" i="32" s="1"/>
  <c r="F32" i="7"/>
  <c r="F39" i="27"/>
  <c r="F40" i="27" s="1"/>
  <c r="F46" i="27" s="1"/>
  <c r="E27" i="7"/>
  <c r="M22" i="28"/>
  <c r="L25" i="41"/>
  <c r="L20" i="41"/>
  <c r="L23" i="41" s="1"/>
  <c r="L27" i="26"/>
  <c r="H40" i="20"/>
  <c r="F39" i="40"/>
  <c r="F38" i="40"/>
  <c r="E40" i="7"/>
  <c r="K25" i="25"/>
  <c r="L24" i="18"/>
  <c r="H39" i="14"/>
  <c r="G14" i="7"/>
  <c r="L22" i="36"/>
  <c r="F40" i="41"/>
  <c r="F46" i="41" s="1"/>
  <c r="F39" i="41"/>
  <c r="E44" i="7"/>
  <c r="H40" i="32"/>
  <c r="H41" i="32" s="1"/>
  <c r="H47" i="32" s="1"/>
  <c r="G32" i="7"/>
  <c r="G38" i="39"/>
  <c r="G39" i="39"/>
  <c r="F41" i="7"/>
  <c r="H39" i="8"/>
  <c r="H40" i="8"/>
  <c r="H46" i="8" s="1"/>
  <c r="G8" i="7"/>
  <c r="K24" i="22"/>
  <c r="L21" i="22"/>
  <c r="H40" i="36"/>
  <c r="H41" i="36" s="1"/>
  <c r="H47" i="36" s="1"/>
  <c r="G36" i="7"/>
  <c r="M22" i="11"/>
  <c r="F41" i="35"/>
  <c r="E35" i="7"/>
  <c r="E39" i="14"/>
  <c r="D14" i="7"/>
  <c r="L26" i="12"/>
  <c r="G41" i="33"/>
  <c r="F33" i="7"/>
  <c r="G39" i="27"/>
  <c r="F27" i="7"/>
  <c r="H39" i="10"/>
  <c r="G10" i="7"/>
  <c r="L23" i="35"/>
  <c r="H8" i="7"/>
  <c r="I39" i="8"/>
  <c r="I40" i="8" s="1"/>
  <c r="I46" i="8" s="1"/>
  <c r="H39" i="41"/>
  <c r="H40" i="41"/>
  <c r="H46" i="41" s="1"/>
  <c r="G44" i="7"/>
  <c r="G36" i="43"/>
  <c r="H34" i="43"/>
  <c r="H36" i="43" s="1"/>
  <c r="I36" i="43" s="1"/>
  <c r="J38" i="8"/>
  <c r="K25" i="19"/>
  <c r="H38" i="21"/>
  <c r="E39" i="37"/>
  <c r="E40" i="37" s="1"/>
  <c r="D37" i="7"/>
  <c r="L21" i="34"/>
  <c r="G41" i="31"/>
  <c r="G42" i="31" s="1"/>
  <c r="G48" i="31" s="1"/>
  <c r="F31" i="7"/>
  <c r="K22" i="33"/>
  <c r="J25" i="33"/>
  <c r="K25" i="35"/>
  <c r="K27" i="35" s="1"/>
  <c r="L21" i="35"/>
  <c r="F40" i="24"/>
  <c r="E24" i="7"/>
  <c r="M23" i="12"/>
  <c r="L22" i="14"/>
  <c r="G39" i="16"/>
  <c r="G40" i="16" s="1"/>
  <c r="G46" i="16" s="1"/>
  <c r="F16" i="7"/>
  <c r="G42" i="26"/>
  <c r="G48" i="26" s="1"/>
  <c r="G41" i="26"/>
  <c r="F26" i="7"/>
  <c r="H39" i="19"/>
  <c r="G19" i="7"/>
  <c r="E39" i="30"/>
  <c r="E40" i="30" s="1"/>
  <c r="D30" i="7"/>
  <c r="M21" i="14"/>
  <c r="J24" i="23"/>
  <c r="J38" i="39"/>
  <c r="J39" i="39"/>
  <c r="I41" i="7"/>
  <c r="I39" i="30"/>
  <c r="H30" i="7"/>
  <c r="F40" i="32"/>
  <c r="F41" i="32"/>
  <c r="F47" i="32" s="1"/>
  <c r="E32" i="7"/>
  <c r="E41" i="31"/>
  <c r="E42" i="31" s="1"/>
  <c r="D31" i="7"/>
  <c r="L20" i="15"/>
  <c r="K23" i="15"/>
  <c r="H39" i="30"/>
  <c r="G30" i="7"/>
  <c r="F38" i="38"/>
  <c r="F39" i="38"/>
  <c r="E39" i="7"/>
  <c r="E41" i="29"/>
  <c r="D29" i="7"/>
  <c r="K24" i="24"/>
  <c r="K27" i="9"/>
  <c r="H39" i="15"/>
  <c r="H40" i="15" s="1"/>
  <c r="H46" i="15" s="1"/>
  <c r="G15" i="7"/>
  <c r="G41" i="18"/>
  <c r="F18" i="7"/>
  <c r="G40" i="22"/>
  <c r="G41" i="22"/>
  <c r="G47" i="22" s="1"/>
  <c r="F22" i="7"/>
  <c r="E41" i="26"/>
  <c r="D26" i="7"/>
  <c r="J27" i="20"/>
  <c r="I27" i="20"/>
  <c r="G39" i="21"/>
  <c r="F21" i="7"/>
  <c r="K23" i="40"/>
  <c r="L19" i="40"/>
  <c r="H39" i="25"/>
  <c r="H40" i="25"/>
  <c r="H46" i="25" s="1"/>
  <c r="G25" i="7"/>
  <c r="E39" i="21"/>
  <c r="E40" i="21" s="1"/>
  <c r="D21" i="7"/>
  <c r="L24" i="12"/>
  <c r="M21" i="12"/>
  <c r="M20" i="11"/>
  <c r="L23" i="32"/>
  <c r="F41" i="26"/>
  <c r="F42" i="26" s="1"/>
  <c r="F48" i="26" s="1"/>
  <c r="E26" i="7"/>
  <c r="E38" i="39"/>
  <c r="E39" i="39"/>
  <c r="D41" i="7"/>
  <c r="I38" i="39"/>
  <c r="I39" i="39"/>
  <c r="H41" i="7"/>
  <c r="K23" i="37"/>
  <c r="L20" i="37"/>
  <c r="M21" i="17"/>
  <c r="L24" i="17"/>
  <c r="L26" i="17" s="1"/>
  <c r="G41" i="17"/>
  <c r="G47" i="17" s="1"/>
  <c r="G40" i="17"/>
  <c r="F17" i="7"/>
  <c r="E41" i="9"/>
  <c r="E42" i="9" s="1"/>
  <c r="D9" i="7"/>
  <c r="E39" i="15"/>
  <c r="D15" i="7"/>
  <c r="J40" i="31"/>
  <c r="I38" i="38"/>
  <c r="I39" i="38"/>
  <c r="H39" i="7"/>
  <c r="H38" i="39"/>
  <c r="H39" i="39"/>
  <c r="G41" i="7"/>
  <c r="F39" i="37"/>
  <c r="E37" i="7"/>
  <c r="L21" i="11"/>
  <c r="M22" i="26"/>
  <c r="G40" i="36"/>
  <c r="F36" i="7"/>
  <c r="I39" i="28"/>
  <c r="H38" i="40"/>
  <c r="H40" i="40" s="1"/>
  <c r="H46" i="40" s="1"/>
  <c r="H39" i="40"/>
  <c r="G40" i="7"/>
  <c r="K21" i="15"/>
  <c r="F40" i="28"/>
  <c r="E28" i="7"/>
  <c r="E40" i="22"/>
  <c r="D22" i="7"/>
  <c r="M21" i="9"/>
  <c r="L25" i="9"/>
  <c r="K21" i="27"/>
  <c r="J39" i="12"/>
  <c r="F39" i="30"/>
  <c r="E30" i="7"/>
  <c r="E41" i="18"/>
  <c r="E42" i="18" s="1"/>
  <c r="D18" i="7"/>
  <c r="H38" i="27"/>
  <c r="N23" i="13"/>
  <c r="L24" i="24"/>
  <c r="M21" i="24"/>
  <c r="K25" i="8"/>
  <c r="L21" i="19"/>
  <c r="L23" i="19" s="1"/>
  <c r="K25" i="14"/>
  <c r="G40" i="23"/>
  <c r="G41" i="23" s="1"/>
  <c r="G47" i="23" s="1"/>
  <c r="F23" i="7"/>
  <c r="M22" i="10"/>
  <c r="K26" i="22"/>
  <c r="L21" i="10"/>
  <c r="G39" i="41"/>
  <c r="F44" i="7"/>
  <c r="H40" i="12"/>
  <c r="G12" i="7"/>
  <c r="N22" i="25"/>
  <c r="L24" i="20"/>
  <c r="L22" i="31"/>
  <c r="M20" i="16"/>
  <c r="F41" i="9"/>
  <c r="E9" i="7"/>
  <c r="E38" i="40"/>
  <c r="E40" i="40" s="1"/>
  <c r="E39" i="40"/>
  <c r="D40" i="7"/>
  <c r="K23" i="10"/>
  <c r="L20" i="10"/>
  <c r="K25" i="37"/>
  <c r="K27" i="29"/>
  <c r="L22" i="15"/>
  <c r="G40" i="14"/>
  <c r="G46" i="14" s="1"/>
  <c r="G39" i="14"/>
  <c r="F14" i="7"/>
  <c r="M24" i="33"/>
  <c r="I41" i="35"/>
  <c r="H35" i="7"/>
  <c r="I38" i="40"/>
  <c r="I40" i="40" s="1"/>
  <c r="I46" i="40" s="1"/>
  <c r="I39" i="40"/>
  <c r="H40" i="7"/>
  <c r="J25" i="27"/>
  <c r="P43" i="7"/>
  <c r="G40" i="40" l="1"/>
  <c r="G46" i="40" s="1"/>
  <c r="E46" i="8"/>
  <c r="L39" i="17"/>
  <c r="L25" i="19"/>
  <c r="E48" i="9"/>
  <c r="K26" i="32"/>
  <c r="E46" i="19"/>
  <c r="E48" i="18"/>
  <c r="E46" i="30"/>
  <c r="E46" i="16"/>
  <c r="E48" i="31"/>
  <c r="L26" i="28"/>
  <c r="E48" i="35"/>
  <c r="K38" i="14"/>
  <c r="O23" i="13"/>
  <c r="N22" i="26"/>
  <c r="K26" i="23"/>
  <c r="J26" i="23"/>
  <c r="M22" i="14"/>
  <c r="E46" i="37"/>
  <c r="I40" i="31"/>
  <c r="I47" i="8"/>
  <c r="L39" i="12"/>
  <c r="K25" i="40"/>
  <c r="N21" i="36"/>
  <c r="N21" i="25"/>
  <c r="M22" i="29"/>
  <c r="J40" i="34"/>
  <c r="J41" i="34" s="1"/>
  <c r="J47" i="34" s="1"/>
  <c r="I34" i="7"/>
  <c r="I38" i="14"/>
  <c r="I41" i="18"/>
  <c r="H18" i="7"/>
  <c r="N21" i="33"/>
  <c r="J39" i="37"/>
  <c r="I37" i="7"/>
  <c r="M22" i="16"/>
  <c r="N20" i="21"/>
  <c r="I47" i="19"/>
  <c r="I40" i="10"/>
  <c r="I46" i="10" s="1"/>
  <c r="I47" i="10" s="1"/>
  <c r="H48" i="23"/>
  <c r="J38" i="10"/>
  <c r="M22" i="31"/>
  <c r="H41" i="12"/>
  <c r="H47" i="12" s="1"/>
  <c r="H48" i="12" s="1"/>
  <c r="K39" i="17"/>
  <c r="H40" i="27"/>
  <c r="H46" i="27" s="1"/>
  <c r="H39" i="27"/>
  <c r="G27" i="7"/>
  <c r="J40" i="12"/>
  <c r="J41" i="12" s="1"/>
  <c r="J47" i="12" s="1"/>
  <c r="I12" i="7"/>
  <c r="H47" i="40"/>
  <c r="H40" i="39"/>
  <c r="H46" i="39" s="1"/>
  <c r="H47" i="39" s="1"/>
  <c r="I40" i="38"/>
  <c r="I46" i="38" s="1"/>
  <c r="I47" i="38" s="1"/>
  <c r="I40" i="39"/>
  <c r="I46" i="39" s="1"/>
  <c r="I47" i="39" s="1"/>
  <c r="M23" i="32"/>
  <c r="E46" i="21"/>
  <c r="H47" i="15"/>
  <c r="M20" i="15"/>
  <c r="F48" i="32"/>
  <c r="N21" i="14"/>
  <c r="H40" i="19"/>
  <c r="H46" i="19" s="1"/>
  <c r="H47" i="19" s="1"/>
  <c r="I40" i="33"/>
  <c r="G49" i="31"/>
  <c r="N22" i="28"/>
  <c r="G48" i="32"/>
  <c r="E46" i="41"/>
  <c r="E47" i="12"/>
  <c r="J40" i="25"/>
  <c r="J46" i="25" s="1"/>
  <c r="J47" i="25" s="1"/>
  <c r="E46" i="27"/>
  <c r="G47" i="40"/>
  <c r="M27" i="26"/>
  <c r="G40" i="11"/>
  <c r="G46" i="11" s="1"/>
  <c r="I40" i="22"/>
  <c r="I41" i="22" s="1"/>
  <c r="I47" i="22" s="1"/>
  <c r="H22" i="7"/>
  <c r="I48" i="24"/>
  <c r="N22" i="34"/>
  <c r="H42" i="31"/>
  <c r="H48" i="31" s="1"/>
  <c r="H49" i="31" s="1"/>
  <c r="F41" i="23"/>
  <c r="F47" i="23" s="1"/>
  <c r="H49" i="33"/>
  <c r="E46" i="10"/>
  <c r="N24" i="26"/>
  <c r="J41" i="17"/>
  <c r="J47" i="17" s="1"/>
  <c r="J48" i="17" s="1"/>
  <c r="J30" i="40"/>
  <c r="N20" i="19"/>
  <c r="M22" i="37"/>
  <c r="N22" i="12"/>
  <c r="F49" i="31"/>
  <c r="N23" i="24"/>
  <c r="F48" i="12"/>
  <c r="J39" i="36"/>
  <c r="I41" i="12"/>
  <c r="I47" i="12" s="1"/>
  <c r="I48" i="12" s="1"/>
  <c r="J40" i="18"/>
  <c r="H48" i="22"/>
  <c r="L21" i="27"/>
  <c r="N20" i="11"/>
  <c r="L22" i="32"/>
  <c r="M25" i="26"/>
  <c r="N21" i="26"/>
  <c r="I38" i="37"/>
  <c r="B40" i="6"/>
  <c r="D40" i="6" s="1"/>
  <c r="R42" i="7"/>
  <c r="G47" i="11"/>
  <c r="I39" i="34"/>
  <c r="F48" i="23"/>
  <c r="I39" i="13"/>
  <c r="I40" i="29"/>
  <c r="L24" i="13"/>
  <c r="L26" i="13" s="1"/>
  <c r="M21" i="13"/>
  <c r="F47" i="15"/>
  <c r="M23" i="22"/>
  <c r="G40" i="38"/>
  <c r="G46" i="38" s="1"/>
  <c r="G47" i="38" s="1"/>
  <c r="H48" i="28"/>
  <c r="G40" i="25"/>
  <c r="G46" i="25" s="1"/>
  <c r="G47" i="25" s="1"/>
  <c r="L23" i="38"/>
  <c r="L25" i="38" s="1"/>
  <c r="M19" i="38"/>
  <c r="M21" i="29"/>
  <c r="L25" i="29"/>
  <c r="G40" i="30"/>
  <c r="G46" i="30" s="1"/>
  <c r="M22" i="15"/>
  <c r="M21" i="11"/>
  <c r="N22" i="11"/>
  <c r="H38" i="16"/>
  <c r="M22" i="36"/>
  <c r="K40" i="29"/>
  <c r="M24" i="20"/>
  <c r="I40" i="28"/>
  <c r="I41" i="28"/>
  <c r="I47" i="28" s="1"/>
  <c r="H28" i="7"/>
  <c r="I38" i="27"/>
  <c r="N21" i="17"/>
  <c r="M24" i="17"/>
  <c r="G40" i="21"/>
  <c r="G46" i="21" s="1"/>
  <c r="G47" i="21" s="1"/>
  <c r="F40" i="38"/>
  <c r="F46" i="38" s="1"/>
  <c r="F47" i="38" s="1"/>
  <c r="G49" i="26"/>
  <c r="N23" i="12"/>
  <c r="G40" i="27"/>
  <c r="G46" i="27" s="1"/>
  <c r="E40" i="14"/>
  <c r="H47" i="8"/>
  <c r="F40" i="40"/>
  <c r="F46" i="40" s="1"/>
  <c r="M20" i="27"/>
  <c r="L23" i="27"/>
  <c r="G42" i="35"/>
  <c r="G48" i="35" s="1"/>
  <c r="G48" i="34"/>
  <c r="N22" i="9"/>
  <c r="N24" i="29"/>
  <c r="N21" i="37"/>
  <c r="I39" i="41"/>
  <c r="I40" i="41"/>
  <c r="I46" i="41" s="1"/>
  <c r="H44" i="7"/>
  <c r="F47" i="16"/>
  <c r="F47" i="19"/>
  <c r="H41" i="18"/>
  <c r="H42" i="18" s="1"/>
  <c r="H48" i="18" s="1"/>
  <c r="G18" i="7"/>
  <c r="N24" i="9"/>
  <c r="F48" i="13"/>
  <c r="F47" i="21"/>
  <c r="H41" i="13"/>
  <c r="H47" i="13" s="1"/>
  <c r="H48" i="13" s="1"/>
  <c r="N22" i="30"/>
  <c r="N21" i="31"/>
  <c r="J40" i="41"/>
  <c r="J46" i="41" s="1"/>
  <c r="J47" i="41" s="1"/>
  <c r="I42" i="9"/>
  <c r="I48" i="9" s="1"/>
  <c r="I49" i="9" s="1"/>
  <c r="F47" i="25"/>
  <c r="K25" i="16"/>
  <c r="F49" i="29"/>
  <c r="H48" i="34"/>
  <c r="E40" i="11"/>
  <c r="G42" i="20"/>
  <c r="G48" i="20" s="1"/>
  <c r="G49" i="20" s="1"/>
  <c r="J40" i="35"/>
  <c r="H48" i="17"/>
  <c r="N22" i="17"/>
  <c r="L22" i="20"/>
  <c r="J25" i="16"/>
  <c r="L25" i="8"/>
  <c r="N23" i="36"/>
  <c r="J39" i="22"/>
  <c r="E48" i="33"/>
  <c r="K41" i="26"/>
  <c r="J26" i="7"/>
  <c r="K41" i="31"/>
  <c r="J31" i="7"/>
  <c r="G47" i="30"/>
  <c r="I38" i="21"/>
  <c r="N24" i="33"/>
  <c r="K39" i="22"/>
  <c r="M26" i="17"/>
  <c r="B41" i="6"/>
  <c r="D41" i="6" s="1"/>
  <c r="Q43" i="7"/>
  <c r="I47" i="40"/>
  <c r="K38" i="37"/>
  <c r="F42" i="9"/>
  <c r="F48" i="9" s="1"/>
  <c r="F49" i="9" s="1"/>
  <c r="G40" i="41"/>
  <c r="G46" i="41" s="1"/>
  <c r="N22" i="10"/>
  <c r="N21" i="24"/>
  <c r="F41" i="28"/>
  <c r="F47" i="28" s="1"/>
  <c r="F48" i="28" s="1"/>
  <c r="L23" i="37"/>
  <c r="L25" i="37" s="1"/>
  <c r="M20" i="37"/>
  <c r="E40" i="39"/>
  <c r="L23" i="11"/>
  <c r="G48" i="22"/>
  <c r="L26" i="24"/>
  <c r="K26" i="24"/>
  <c r="I40" i="30"/>
  <c r="I46" i="30" s="1"/>
  <c r="I47" i="30" s="1"/>
  <c r="J39" i="28"/>
  <c r="L25" i="35"/>
  <c r="M21" i="35"/>
  <c r="M21" i="34"/>
  <c r="M23" i="35"/>
  <c r="G47" i="27"/>
  <c r="H48" i="36"/>
  <c r="H48" i="32"/>
  <c r="H40" i="14"/>
  <c r="H46" i="14" s="1"/>
  <c r="H47" i="14" s="1"/>
  <c r="F47" i="40"/>
  <c r="I48" i="36"/>
  <c r="G49" i="35"/>
  <c r="J39" i="19"/>
  <c r="I19" i="7"/>
  <c r="M23" i="39"/>
  <c r="N19" i="39"/>
  <c r="K38" i="41"/>
  <c r="M22" i="24"/>
  <c r="G47" i="15"/>
  <c r="J40" i="26"/>
  <c r="L25" i="31"/>
  <c r="I48" i="17"/>
  <c r="M21" i="20"/>
  <c r="L25" i="20"/>
  <c r="L21" i="16"/>
  <c r="K23" i="16"/>
  <c r="J25" i="21"/>
  <c r="N20" i="8"/>
  <c r="M23" i="8"/>
  <c r="M25" i="8" s="1"/>
  <c r="F42" i="18"/>
  <c r="F48" i="18" s="1"/>
  <c r="I48" i="23"/>
  <c r="M21" i="30"/>
  <c r="E41" i="24"/>
  <c r="N23" i="17"/>
  <c r="L23" i="14"/>
  <c r="M20" i="14"/>
  <c r="M22" i="22"/>
  <c r="H47" i="11"/>
  <c r="L22" i="23"/>
  <c r="M23" i="23"/>
  <c r="F48" i="36"/>
  <c r="E46" i="40"/>
  <c r="M24" i="12"/>
  <c r="M26" i="12" s="1"/>
  <c r="N21" i="12"/>
  <c r="J40" i="20"/>
  <c r="L27" i="35"/>
  <c r="H41" i="20"/>
  <c r="G20" i="7"/>
  <c r="K23" i="27"/>
  <c r="N22" i="13"/>
  <c r="M23" i="28"/>
  <c r="M25" i="39"/>
  <c r="M24" i="34"/>
  <c r="N20" i="34"/>
  <c r="L23" i="30"/>
  <c r="L25" i="30" s="1"/>
  <c r="M20" i="30"/>
  <c r="E47" i="36"/>
  <c r="E47" i="13"/>
  <c r="I40" i="16"/>
  <c r="I46" i="16" s="1"/>
  <c r="I39" i="16"/>
  <c r="H16" i="7"/>
  <c r="O22" i="19"/>
  <c r="E46" i="25"/>
  <c r="F49" i="18"/>
  <c r="H41" i="35"/>
  <c r="H42" i="35" s="1"/>
  <c r="H48" i="35" s="1"/>
  <c r="G35" i="7"/>
  <c r="I39" i="25"/>
  <c r="I40" i="25"/>
  <c r="I46" i="25" s="1"/>
  <c r="H25" i="7"/>
  <c r="E40" i="38"/>
  <c r="G48" i="13"/>
  <c r="K40" i="36"/>
  <c r="J36" i="7"/>
  <c r="M21" i="19"/>
  <c r="M23" i="19" s="1"/>
  <c r="L23" i="10"/>
  <c r="M20" i="10"/>
  <c r="M25" i="9"/>
  <c r="M27" i="9" s="1"/>
  <c r="N21" i="9"/>
  <c r="J41" i="31"/>
  <c r="J42" i="31" s="1"/>
  <c r="J48" i="31" s="1"/>
  <c r="I31" i="7"/>
  <c r="O22" i="25"/>
  <c r="M21" i="10"/>
  <c r="L21" i="15"/>
  <c r="G41" i="36"/>
  <c r="G47" i="36" s="1"/>
  <c r="G48" i="36" s="1"/>
  <c r="F40" i="37"/>
  <c r="F46" i="37" s="1"/>
  <c r="F47" i="37" s="1"/>
  <c r="H47" i="25"/>
  <c r="E42" i="29"/>
  <c r="H40" i="30"/>
  <c r="H46" i="30" s="1"/>
  <c r="H47" i="30" s="1"/>
  <c r="L24" i="22"/>
  <c r="M21" i="22"/>
  <c r="G40" i="39"/>
  <c r="G46" i="39" s="1"/>
  <c r="G47" i="39" s="1"/>
  <c r="L40" i="26"/>
  <c r="F47" i="27"/>
  <c r="O22" i="27"/>
  <c r="G48" i="24"/>
  <c r="H42" i="9"/>
  <c r="H48" i="9" s="1"/>
  <c r="H49" i="9" s="1"/>
  <c r="E41" i="17"/>
  <c r="F40" i="8"/>
  <c r="F46" i="8" s="1"/>
  <c r="F47" i="8" s="1"/>
  <c r="L24" i="23"/>
  <c r="M21" i="23"/>
  <c r="L24" i="34"/>
  <c r="J39" i="13"/>
  <c r="E41" i="23"/>
  <c r="L21" i="21"/>
  <c r="K23" i="21"/>
  <c r="K25" i="21" s="1"/>
  <c r="N22" i="18"/>
  <c r="G48" i="28"/>
  <c r="J38" i="11"/>
  <c r="J39" i="24"/>
  <c r="H42" i="26"/>
  <c r="H48" i="26" s="1"/>
  <c r="H49" i="26" s="1"/>
  <c r="J49" i="9"/>
  <c r="I49" i="26"/>
  <c r="G41" i="12"/>
  <c r="G47" i="12" s="1"/>
  <c r="G47" i="37"/>
  <c r="H47" i="37"/>
  <c r="H41" i="24"/>
  <c r="H47" i="24" s="1"/>
  <c r="H48" i="24" s="1"/>
  <c r="G42" i="9"/>
  <c r="G48" i="9" s="1"/>
  <c r="G49" i="9" s="1"/>
  <c r="F47" i="39"/>
  <c r="K27" i="20"/>
  <c r="H42" i="29"/>
  <c r="H48" i="29" s="1"/>
  <c r="H49" i="29" s="1"/>
  <c r="N22" i="21"/>
  <c r="G40" i="8"/>
  <c r="G46" i="8" s="1"/>
  <c r="G47" i="8" s="1"/>
  <c r="M25" i="25"/>
  <c r="J30" i="38"/>
  <c r="E57" i="38"/>
  <c r="E58" i="38" s="1"/>
  <c r="F40" i="10"/>
  <c r="F46" i="10" s="1"/>
  <c r="F47" i="10" s="1"/>
  <c r="J39" i="32"/>
  <c r="G47" i="19"/>
  <c r="G47" i="41"/>
  <c r="H39" i="21"/>
  <c r="G21" i="7"/>
  <c r="I42" i="35"/>
  <c r="I48" i="35" s="1"/>
  <c r="I49" i="35" s="1"/>
  <c r="G47" i="14"/>
  <c r="L25" i="10"/>
  <c r="N20" i="16"/>
  <c r="G48" i="23"/>
  <c r="F40" i="30"/>
  <c r="F46" i="30" s="1"/>
  <c r="F47" i="30" s="1"/>
  <c r="E41" i="22"/>
  <c r="J27" i="33"/>
  <c r="E40" i="15"/>
  <c r="G48" i="17"/>
  <c r="F49" i="26"/>
  <c r="L23" i="40"/>
  <c r="L25" i="40" s="1"/>
  <c r="M19" i="40"/>
  <c r="E42" i="26"/>
  <c r="G42" i="18"/>
  <c r="G48" i="18" s="1"/>
  <c r="G49" i="18" s="1"/>
  <c r="L27" i="9"/>
  <c r="J40" i="39"/>
  <c r="J46" i="39" s="1"/>
  <c r="J47" i="39" s="1"/>
  <c r="G47" i="16"/>
  <c r="F41" i="24"/>
  <c r="F47" i="24" s="1"/>
  <c r="F48" i="24" s="1"/>
  <c r="L22" i="33"/>
  <c r="K25" i="33"/>
  <c r="K27" i="33" s="1"/>
  <c r="J39" i="8"/>
  <c r="J40" i="8" s="1"/>
  <c r="J46" i="8" s="1"/>
  <c r="I8" i="7"/>
  <c r="H47" i="41"/>
  <c r="H40" i="10"/>
  <c r="H46" i="10" s="1"/>
  <c r="H47" i="10" s="1"/>
  <c r="G42" i="33"/>
  <c r="G48" i="33" s="1"/>
  <c r="G49" i="33" s="1"/>
  <c r="F42" i="35"/>
  <c r="F48" i="35" s="1"/>
  <c r="F49" i="35" s="1"/>
  <c r="L26" i="22"/>
  <c r="F47" i="41"/>
  <c r="M24" i="18"/>
  <c r="M20" i="41"/>
  <c r="M23" i="41" s="1"/>
  <c r="M25" i="41" s="1"/>
  <c r="L24" i="36"/>
  <c r="E41" i="34"/>
  <c r="E40" i="32"/>
  <c r="E41" i="32" s="1"/>
  <c r="D32" i="7"/>
  <c r="M24" i="31"/>
  <c r="E47" i="7"/>
  <c r="E45" i="7"/>
  <c r="N22" i="35"/>
  <c r="G42" i="29"/>
  <c r="G48" i="29" s="1"/>
  <c r="G49" i="29" s="1"/>
  <c r="E41" i="28"/>
  <c r="M24" i="28"/>
  <c r="M26" i="28" s="1"/>
  <c r="N21" i="28"/>
  <c r="F41" i="17"/>
  <c r="F47" i="17" s="1"/>
  <c r="F48" i="17" s="1"/>
  <c r="F41" i="22"/>
  <c r="F47" i="22" s="1"/>
  <c r="F48" i="22" s="1"/>
  <c r="K39" i="12"/>
  <c r="J38" i="14"/>
  <c r="E42" i="20"/>
  <c r="L25" i="18"/>
  <c r="L27" i="18" s="1"/>
  <c r="M21" i="18"/>
  <c r="G48" i="12"/>
  <c r="K25" i="30"/>
  <c r="I38" i="11"/>
  <c r="F40" i="11"/>
  <c r="F46" i="11" s="1"/>
  <c r="F47" i="11" s="1"/>
  <c r="I41" i="32"/>
  <c r="I47" i="32" s="1"/>
  <c r="I40" i="32"/>
  <c r="H32" i="7"/>
  <c r="K25" i="10"/>
  <c r="H47" i="38"/>
  <c r="F41" i="34"/>
  <c r="F47" i="34" s="1"/>
  <c r="F48" i="34" s="1"/>
  <c r="F47" i="7"/>
  <c r="F45" i="7"/>
  <c r="M23" i="25"/>
  <c r="N20" i="25"/>
  <c r="M21" i="32"/>
  <c r="L24" i="32"/>
  <c r="L26" i="32" s="1"/>
  <c r="F49" i="33"/>
  <c r="F49" i="20"/>
  <c r="G47" i="10"/>
  <c r="F40" i="14"/>
  <c r="F46" i="14" s="1"/>
  <c r="F47" i="14" s="1"/>
  <c r="K39" i="28"/>
  <c r="J41" i="29"/>
  <c r="J42" i="29" s="1"/>
  <c r="J48" i="29" s="1"/>
  <c r="I29" i="7"/>
  <c r="M25" i="19" l="1"/>
  <c r="L38" i="30"/>
  <c r="L39" i="32"/>
  <c r="M40" i="9"/>
  <c r="E47" i="32"/>
  <c r="L40" i="18"/>
  <c r="K38" i="21"/>
  <c r="M39" i="28"/>
  <c r="J49" i="29"/>
  <c r="E47" i="19"/>
  <c r="I48" i="32"/>
  <c r="N21" i="18"/>
  <c r="M25" i="18"/>
  <c r="E48" i="36"/>
  <c r="H40" i="21"/>
  <c r="K40" i="20"/>
  <c r="K38" i="19"/>
  <c r="E48" i="29"/>
  <c r="E49" i="18"/>
  <c r="K41" i="36"/>
  <c r="K47" i="36" s="1"/>
  <c r="E47" i="16"/>
  <c r="L25" i="27"/>
  <c r="K25" i="27"/>
  <c r="E49" i="9"/>
  <c r="N23" i="23"/>
  <c r="N20" i="14"/>
  <c r="M23" i="14"/>
  <c r="N23" i="39"/>
  <c r="O19" i="39"/>
  <c r="N21" i="34"/>
  <c r="I47" i="41"/>
  <c r="O24" i="29"/>
  <c r="I48" i="28"/>
  <c r="J38" i="15"/>
  <c r="M21" i="27"/>
  <c r="J40" i="36"/>
  <c r="J41" i="36"/>
  <c r="J47" i="36" s="1"/>
  <c r="I36" i="7"/>
  <c r="J38" i="40"/>
  <c r="J40" i="40" s="1"/>
  <c r="J39" i="40"/>
  <c r="I40" i="7"/>
  <c r="I48" i="22"/>
  <c r="O21" i="14"/>
  <c r="E47" i="40"/>
  <c r="N22" i="16"/>
  <c r="O21" i="33"/>
  <c r="T21" i="33"/>
  <c r="O21" i="25"/>
  <c r="O21" i="36"/>
  <c r="F48" i="7"/>
  <c r="F54" i="7" s="1"/>
  <c r="M27" i="18"/>
  <c r="O22" i="35"/>
  <c r="N24" i="18"/>
  <c r="O22" i="18"/>
  <c r="M26" i="34"/>
  <c r="L26" i="34"/>
  <c r="P22" i="27"/>
  <c r="M21" i="15"/>
  <c r="J49" i="31"/>
  <c r="K48" i="36"/>
  <c r="N25" i="39"/>
  <c r="K42" i="31"/>
  <c r="K48" i="31" s="1"/>
  <c r="K49" i="31" s="1"/>
  <c r="J42" i="35"/>
  <c r="J48" i="35" s="1"/>
  <c r="J41" i="35"/>
  <c r="I35" i="7"/>
  <c r="H49" i="18"/>
  <c r="J38" i="30"/>
  <c r="N22" i="36"/>
  <c r="N24" i="36" s="1"/>
  <c r="N21" i="11"/>
  <c r="I40" i="34"/>
  <c r="I41" i="34" s="1"/>
  <c r="I47" i="34" s="1"/>
  <c r="H34" i="7"/>
  <c r="I38" i="15"/>
  <c r="H47" i="27"/>
  <c r="I39" i="14"/>
  <c r="I40" i="14" s="1"/>
  <c r="I46" i="14" s="1"/>
  <c r="H14" i="7"/>
  <c r="L38" i="41"/>
  <c r="I42" i="31"/>
  <c r="I48" i="31" s="1"/>
  <c r="I41" i="31"/>
  <c r="H31" i="7"/>
  <c r="K39" i="13"/>
  <c r="F57" i="7"/>
  <c r="F21" i="2" s="1"/>
  <c r="F22" i="2" s="1"/>
  <c r="F24" i="2" s="1"/>
  <c r="E48" i="7"/>
  <c r="E54" i="7" s="1"/>
  <c r="J47" i="8"/>
  <c r="O20" i="16"/>
  <c r="J38" i="38"/>
  <c r="J40" i="38" s="1"/>
  <c r="J46" i="38" s="1"/>
  <c r="J39" i="38"/>
  <c r="I39" i="7"/>
  <c r="L25" i="21"/>
  <c r="N21" i="23"/>
  <c r="M24" i="22"/>
  <c r="N21" i="22"/>
  <c r="N20" i="10"/>
  <c r="M23" i="10"/>
  <c r="N24" i="34"/>
  <c r="O20" i="34"/>
  <c r="N23" i="28"/>
  <c r="J41" i="20"/>
  <c r="I20" i="7"/>
  <c r="M22" i="23"/>
  <c r="M25" i="14"/>
  <c r="E47" i="25"/>
  <c r="M21" i="16"/>
  <c r="L23" i="16"/>
  <c r="M27" i="31"/>
  <c r="L27" i="31"/>
  <c r="M25" i="35"/>
  <c r="N21" i="35"/>
  <c r="I40" i="20"/>
  <c r="O21" i="24"/>
  <c r="K39" i="37"/>
  <c r="K40" i="37" s="1"/>
  <c r="K46" i="37" s="1"/>
  <c r="J37" i="7"/>
  <c r="O24" i="33"/>
  <c r="T24" i="33"/>
  <c r="E47" i="10"/>
  <c r="O22" i="30"/>
  <c r="O22" i="9"/>
  <c r="E46" i="14"/>
  <c r="K38" i="8"/>
  <c r="I41" i="29"/>
  <c r="I42" i="29" s="1"/>
  <c r="I48" i="29" s="1"/>
  <c r="H29" i="7"/>
  <c r="O24" i="26"/>
  <c r="E48" i="12"/>
  <c r="K40" i="28"/>
  <c r="J28" i="7"/>
  <c r="E48" i="20"/>
  <c r="O21" i="28"/>
  <c r="E57" i="7"/>
  <c r="E21" i="2" s="1"/>
  <c r="E22" i="2" s="1"/>
  <c r="E24" i="2" s="1"/>
  <c r="E46" i="15"/>
  <c r="J40" i="32"/>
  <c r="J41" i="32"/>
  <c r="J47" i="32" s="1"/>
  <c r="I32" i="7"/>
  <c r="E47" i="30"/>
  <c r="I47" i="25"/>
  <c r="P22" i="19"/>
  <c r="T22" i="19" s="1"/>
  <c r="N26" i="34"/>
  <c r="H42" i="20"/>
  <c r="H48" i="20" s="1"/>
  <c r="H49" i="20" s="1"/>
  <c r="O23" i="17"/>
  <c r="M27" i="35"/>
  <c r="L25" i="11"/>
  <c r="J40" i="22"/>
  <c r="J41" i="22" s="1"/>
  <c r="J47" i="22" s="1"/>
  <c r="I22" i="7"/>
  <c r="M22" i="20"/>
  <c r="E46" i="11"/>
  <c r="K40" i="9"/>
  <c r="N26" i="17"/>
  <c r="H39" i="16"/>
  <c r="G16" i="7"/>
  <c r="N23" i="22"/>
  <c r="D45" i="7"/>
  <c r="N23" i="11"/>
  <c r="O20" i="11"/>
  <c r="J41" i="18"/>
  <c r="I18" i="7"/>
  <c r="N22" i="37"/>
  <c r="O22" i="28"/>
  <c r="N23" i="32"/>
  <c r="O22" i="26"/>
  <c r="J39" i="14"/>
  <c r="I14" i="7"/>
  <c r="E47" i="37"/>
  <c r="M21" i="21"/>
  <c r="L23" i="21"/>
  <c r="M26" i="22"/>
  <c r="L38" i="37"/>
  <c r="N25" i="9"/>
  <c r="O21" i="9"/>
  <c r="M25" i="10"/>
  <c r="E46" i="38"/>
  <c r="O22" i="13"/>
  <c r="N24" i="12"/>
  <c r="O21" i="12"/>
  <c r="N21" i="20"/>
  <c r="M25" i="20"/>
  <c r="N22" i="24"/>
  <c r="N24" i="24" s="1"/>
  <c r="J40" i="28"/>
  <c r="J41" i="28"/>
  <c r="J47" i="28" s="1"/>
  <c r="I28" i="7"/>
  <c r="E46" i="39"/>
  <c r="E47" i="39" s="1"/>
  <c r="M24" i="24"/>
  <c r="O23" i="36"/>
  <c r="L27" i="20"/>
  <c r="D47" i="7"/>
  <c r="E47" i="27"/>
  <c r="O21" i="17"/>
  <c r="N24" i="17"/>
  <c r="N24" i="20"/>
  <c r="N22" i="15"/>
  <c r="M25" i="29"/>
  <c r="N21" i="29"/>
  <c r="O23" i="24"/>
  <c r="O22" i="34"/>
  <c r="L38" i="25"/>
  <c r="L23" i="15"/>
  <c r="K40" i="17"/>
  <c r="K41" i="17" s="1"/>
  <c r="J17" i="7"/>
  <c r="K38" i="11"/>
  <c r="K30" i="38"/>
  <c r="O20" i="21"/>
  <c r="J40" i="37"/>
  <c r="J46" i="37" s="1"/>
  <c r="I42" i="18"/>
  <c r="I48" i="18" s="1"/>
  <c r="I49" i="18" s="1"/>
  <c r="J48" i="34"/>
  <c r="E47" i="41"/>
  <c r="L30" i="39"/>
  <c r="N21" i="32"/>
  <c r="I39" i="11"/>
  <c r="I40" i="11" s="1"/>
  <c r="H11" i="7"/>
  <c r="N24" i="31"/>
  <c r="E47" i="34"/>
  <c r="E48" i="26"/>
  <c r="E49" i="26" s="1"/>
  <c r="E47" i="22"/>
  <c r="E48" i="22" s="1"/>
  <c r="O22" i="21"/>
  <c r="J40" i="24"/>
  <c r="J41" i="24"/>
  <c r="J47" i="24" s="1"/>
  <c r="I24" i="7"/>
  <c r="E47" i="23"/>
  <c r="E48" i="23" s="1"/>
  <c r="N21" i="10"/>
  <c r="H49" i="35"/>
  <c r="M23" i="30"/>
  <c r="N20" i="30"/>
  <c r="E47" i="8"/>
  <c r="K39" i="34"/>
  <c r="E47" i="24"/>
  <c r="J41" i="26"/>
  <c r="J42" i="26" s="1"/>
  <c r="J48" i="26" s="1"/>
  <c r="I26" i="7"/>
  <c r="J40" i="19"/>
  <c r="J46" i="19" s="1"/>
  <c r="J47" i="19" s="1"/>
  <c r="M23" i="37"/>
  <c r="N20" i="37"/>
  <c r="J38" i="27"/>
  <c r="K42" i="26"/>
  <c r="K48" i="26" s="1"/>
  <c r="K49" i="26" s="1"/>
  <c r="O22" i="17"/>
  <c r="O23" i="12"/>
  <c r="I39" i="27"/>
  <c r="I40" i="27" s="1"/>
  <c r="H27" i="7"/>
  <c r="O22" i="11"/>
  <c r="M23" i="38"/>
  <c r="N19" i="38"/>
  <c r="M24" i="13"/>
  <c r="N21" i="13"/>
  <c r="I40" i="13"/>
  <c r="I41" i="13" s="1"/>
  <c r="H13" i="7"/>
  <c r="M22" i="32"/>
  <c r="M23" i="11"/>
  <c r="N25" i="11" s="1"/>
  <c r="E49" i="20"/>
  <c r="N20" i="15"/>
  <c r="M23" i="15"/>
  <c r="J47" i="37"/>
  <c r="L40" i="12"/>
  <c r="K12" i="7"/>
  <c r="K40" i="35"/>
  <c r="N23" i="25"/>
  <c r="O20" i="25"/>
  <c r="K38" i="30"/>
  <c r="J12" i="7"/>
  <c r="K40" i="12"/>
  <c r="E47" i="28"/>
  <c r="K40" i="18"/>
  <c r="L26" i="36"/>
  <c r="N19" i="40"/>
  <c r="M23" i="40"/>
  <c r="M25" i="40" s="1"/>
  <c r="J39" i="11"/>
  <c r="J40" i="11"/>
  <c r="J46" i="11" s="1"/>
  <c r="I11" i="7"/>
  <c r="J40" i="13"/>
  <c r="J41" i="13" s="1"/>
  <c r="J47" i="13" s="1"/>
  <c r="I13" i="7"/>
  <c r="E47" i="17"/>
  <c r="E49" i="31"/>
  <c r="N27" i="9"/>
  <c r="N21" i="19"/>
  <c r="E49" i="35"/>
  <c r="I47" i="16"/>
  <c r="K38" i="15"/>
  <c r="N26" i="12"/>
  <c r="N21" i="30"/>
  <c r="N23" i="8"/>
  <c r="O20" i="8"/>
  <c r="E48" i="13"/>
  <c r="N23" i="35"/>
  <c r="M25" i="37"/>
  <c r="O22" i="10"/>
  <c r="I39" i="21"/>
  <c r="H21" i="7"/>
  <c r="M25" i="31"/>
  <c r="O21" i="37"/>
  <c r="N20" i="27"/>
  <c r="E47" i="21"/>
  <c r="M25" i="38"/>
  <c r="L25" i="14"/>
  <c r="I39" i="37"/>
  <c r="I40" i="37" s="1"/>
  <c r="H37" i="7"/>
  <c r="L27" i="29"/>
  <c r="O22" i="12"/>
  <c r="O20" i="19"/>
  <c r="N23" i="19"/>
  <c r="K38" i="25"/>
  <c r="I41" i="33"/>
  <c r="I42" i="33" s="1"/>
  <c r="I48" i="33" s="1"/>
  <c r="H33" i="7"/>
  <c r="E47" i="15"/>
  <c r="J39" i="10"/>
  <c r="J40" i="10" s="1"/>
  <c r="I10" i="7"/>
  <c r="L26" i="23"/>
  <c r="N22" i="29"/>
  <c r="N22" i="14"/>
  <c r="P23" i="13"/>
  <c r="N20" i="41"/>
  <c r="N23" i="41" s="1"/>
  <c r="N25" i="41" s="1"/>
  <c r="M22" i="33"/>
  <c r="L25" i="33"/>
  <c r="E48" i="28"/>
  <c r="L41" i="26"/>
  <c r="K26" i="7"/>
  <c r="P22" i="25"/>
  <c r="M25" i="30"/>
  <c r="N22" i="22"/>
  <c r="K30" i="39"/>
  <c r="K39" i="41"/>
  <c r="K40" i="41"/>
  <c r="K46" i="41" s="1"/>
  <c r="J44" i="7"/>
  <c r="L39" i="24"/>
  <c r="K40" i="22"/>
  <c r="K41" i="22" s="1"/>
  <c r="K47" i="22" s="1"/>
  <c r="J22" i="7"/>
  <c r="K38" i="16"/>
  <c r="O21" i="31"/>
  <c r="O24" i="9"/>
  <c r="K42" i="29"/>
  <c r="K48" i="29" s="1"/>
  <c r="K41" i="29"/>
  <c r="J29" i="7"/>
  <c r="E47" i="14"/>
  <c r="E49" i="33"/>
  <c r="M26" i="13"/>
  <c r="O21" i="26"/>
  <c r="N25" i="26"/>
  <c r="N27" i="26" s="1"/>
  <c r="J48" i="12"/>
  <c r="N22" i="31"/>
  <c r="N25" i="31" s="1"/>
  <c r="M24" i="36"/>
  <c r="M26" i="36" s="1"/>
  <c r="K40" i="14"/>
  <c r="K46" i="14" s="1"/>
  <c r="K39" i="14"/>
  <c r="J14" i="7"/>
  <c r="L40" i="17"/>
  <c r="L41" i="17"/>
  <c r="L47" i="17" s="1"/>
  <c r="K17" i="7"/>
  <c r="J46" i="10" l="1"/>
  <c r="I46" i="37"/>
  <c r="I46" i="11"/>
  <c r="N40" i="26"/>
  <c r="M30" i="40"/>
  <c r="I46" i="27"/>
  <c r="K47" i="17"/>
  <c r="P22" i="28"/>
  <c r="N22" i="23"/>
  <c r="P21" i="25"/>
  <c r="T21" i="25" s="1"/>
  <c r="N21" i="27"/>
  <c r="L48" i="17"/>
  <c r="T22" i="25"/>
  <c r="M23" i="27"/>
  <c r="M38" i="37"/>
  <c r="O19" i="40"/>
  <c r="N23" i="40"/>
  <c r="N22" i="32"/>
  <c r="N25" i="8"/>
  <c r="P20" i="11"/>
  <c r="G45" i="7"/>
  <c r="G47" i="7"/>
  <c r="M25" i="11"/>
  <c r="M38" i="25"/>
  <c r="L40" i="9"/>
  <c r="K39" i="23"/>
  <c r="J40" i="30"/>
  <c r="J39" i="30"/>
  <c r="I30" i="7"/>
  <c r="P22" i="35"/>
  <c r="J39" i="15"/>
  <c r="J40" i="15" s="1"/>
  <c r="J46" i="15" s="1"/>
  <c r="I15" i="7"/>
  <c r="L25" i="16"/>
  <c r="L30" i="40"/>
  <c r="K40" i="33"/>
  <c r="O23" i="8"/>
  <c r="P25" i="8" s="1"/>
  <c r="AD20" i="8"/>
  <c r="AB20" i="8" s="1"/>
  <c r="Z20" i="8" s="1"/>
  <c r="X20" i="8" s="1"/>
  <c r="V20" i="8" s="1"/>
  <c r="T20" i="8" s="1"/>
  <c r="P20" i="8"/>
  <c r="P23" i="8" s="1"/>
  <c r="N25" i="40"/>
  <c r="P20" i="34"/>
  <c r="O24" i="18"/>
  <c r="L39" i="28"/>
  <c r="L40" i="32"/>
  <c r="L41" i="32"/>
  <c r="L47" i="32" s="1"/>
  <c r="K32" i="7"/>
  <c r="P24" i="9"/>
  <c r="J38" i="16"/>
  <c r="O22" i="22"/>
  <c r="O20" i="27"/>
  <c r="N23" i="27"/>
  <c r="O21" i="30"/>
  <c r="L27" i="33"/>
  <c r="K41" i="12"/>
  <c r="N23" i="38"/>
  <c r="O19" i="38"/>
  <c r="N23" i="37"/>
  <c r="O20" i="37"/>
  <c r="P20" i="21"/>
  <c r="P23" i="24"/>
  <c r="T23" i="24" s="1"/>
  <c r="P23" i="36"/>
  <c r="O21" i="20"/>
  <c r="M39" i="22"/>
  <c r="K30" i="40"/>
  <c r="M40" i="35"/>
  <c r="J42" i="20"/>
  <c r="J48" i="20" s="1"/>
  <c r="J49" i="20" s="1"/>
  <c r="M24" i="23"/>
  <c r="M39" i="34"/>
  <c r="J46" i="40"/>
  <c r="E48" i="24"/>
  <c r="K39" i="19"/>
  <c r="K40" i="19" s="1"/>
  <c r="J19" i="7"/>
  <c r="P21" i="26"/>
  <c r="O25" i="26"/>
  <c r="K39" i="16"/>
  <c r="J16" i="7"/>
  <c r="J38" i="21"/>
  <c r="O20" i="15"/>
  <c r="L39" i="37"/>
  <c r="K37" i="7"/>
  <c r="K39" i="21"/>
  <c r="J21" i="7"/>
  <c r="N22" i="33"/>
  <c r="M25" i="33"/>
  <c r="K39" i="24"/>
  <c r="J48" i="13"/>
  <c r="K41" i="35"/>
  <c r="J35" i="7"/>
  <c r="L41" i="12"/>
  <c r="L47" i="12" s="1"/>
  <c r="L48" i="12" s="1"/>
  <c r="M40" i="26"/>
  <c r="N25" i="38"/>
  <c r="P23" i="12"/>
  <c r="X23" i="12" s="1"/>
  <c r="N25" i="37"/>
  <c r="O21" i="29"/>
  <c r="N25" i="29"/>
  <c r="O26" i="17"/>
  <c r="L39" i="22"/>
  <c r="H40" i="16"/>
  <c r="N22" i="20"/>
  <c r="N25" i="20" s="1"/>
  <c r="M27" i="20"/>
  <c r="E48" i="32"/>
  <c r="P22" i="9"/>
  <c r="P24" i="33"/>
  <c r="I41" i="20"/>
  <c r="I42" i="20" s="1"/>
  <c r="I48" i="20" s="1"/>
  <c r="H20" i="7"/>
  <c r="N21" i="16"/>
  <c r="M23" i="16"/>
  <c r="M25" i="16" s="1"/>
  <c r="O21" i="23"/>
  <c r="N24" i="23"/>
  <c r="P20" i="16"/>
  <c r="P21" i="14"/>
  <c r="K41" i="20"/>
  <c r="K42" i="20"/>
  <c r="K48" i="20" s="1"/>
  <c r="J20" i="7"/>
  <c r="M39" i="12"/>
  <c r="M38" i="41"/>
  <c r="L39" i="30"/>
  <c r="L40" i="30" s="1"/>
  <c r="L46" i="30" s="1"/>
  <c r="K30" i="7"/>
  <c r="L40" i="24"/>
  <c r="K24" i="7"/>
  <c r="L39" i="39"/>
  <c r="L38" i="39"/>
  <c r="L40" i="39" s="1"/>
  <c r="L46" i="39" s="1"/>
  <c r="K41" i="7"/>
  <c r="M40" i="31"/>
  <c r="K47" i="14"/>
  <c r="K47" i="41"/>
  <c r="L40" i="35"/>
  <c r="L42" i="26"/>
  <c r="L48" i="26" s="1"/>
  <c r="T23" i="13"/>
  <c r="P20" i="19"/>
  <c r="O23" i="19"/>
  <c r="P21" i="37"/>
  <c r="W21" i="37" s="1"/>
  <c r="I40" i="21"/>
  <c r="I46" i="21" s="1"/>
  <c r="I47" i="21" s="1"/>
  <c r="O23" i="35"/>
  <c r="N39" i="12"/>
  <c r="O21" i="19"/>
  <c r="K39" i="30"/>
  <c r="J30" i="7"/>
  <c r="L38" i="19"/>
  <c r="K40" i="34"/>
  <c r="K41" i="34"/>
  <c r="J34" i="7"/>
  <c r="P22" i="21"/>
  <c r="O24" i="31"/>
  <c r="M24" i="32"/>
  <c r="K39" i="38"/>
  <c r="K38" i="38"/>
  <c r="K40" i="38" s="1"/>
  <c r="K46" i="38" s="1"/>
  <c r="J39" i="7"/>
  <c r="M25" i="15"/>
  <c r="L25" i="15"/>
  <c r="P21" i="17"/>
  <c r="O24" i="17"/>
  <c r="P21" i="12"/>
  <c r="O24" i="12"/>
  <c r="O22" i="37"/>
  <c r="D48" i="7"/>
  <c r="J48" i="32"/>
  <c r="K41" i="28"/>
  <c r="O21" i="11"/>
  <c r="P22" i="18"/>
  <c r="T22" i="18" s="1"/>
  <c r="J39" i="23"/>
  <c r="P21" i="33"/>
  <c r="N23" i="14"/>
  <c r="N25" i="14" s="1"/>
  <c r="O20" i="14"/>
  <c r="O21" i="18"/>
  <c r="N25" i="18"/>
  <c r="L30" i="38"/>
  <c r="J39" i="27"/>
  <c r="I27" i="7"/>
  <c r="O24" i="20"/>
  <c r="K39" i="15"/>
  <c r="K40" i="15" s="1"/>
  <c r="K46" i="15" s="1"/>
  <c r="J15" i="7"/>
  <c r="K41" i="18"/>
  <c r="J18" i="7"/>
  <c r="I47" i="13"/>
  <c r="P22" i="11"/>
  <c r="P22" i="17"/>
  <c r="O21" i="10"/>
  <c r="O21" i="32"/>
  <c r="N24" i="32"/>
  <c r="K40" i="11"/>
  <c r="K46" i="11" s="1"/>
  <c r="K39" i="11"/>
  <c r="J11" i="7"/>
  <c r="N27" i="29"/>
  <c r="N26" i="24"/>
  <c r="M26" i="24"/>
  <c r="O22" i="24"/>
  <c r="P22" i="26"/>
  <c r="O23" i="22"/>
  <c r="P23" i="17"/>
  <c r="T23" i="17" s="1"/>
  <c r="P24" i="26"/>
  <c r="T24" i="26" s="1"/>
  <c r="E47" i="11"/>
  <c r="N25" i="35"/>
  <c r="O21" i="35"/>
  <c r="O23" i="28"/>
  <c r="O20" i="10"/>
  <c r="N23" i="10"/>
  <c r="L38" i="21"/>
  <c r="K39" i="32"/>
  <c r="O21" i="34"/>
  <c r="O24" i="34" s="1"/>
  <c r="E47" i="38"/>
  <c r="M40" i="28"/>
  <c r="L28" i="7"/>
  <c r="N25" i="19"/>
  <c r="O22" i="31"/>
  <c r="O22" i="29"/>
  <c r="N27" i="31"/>
  <c r="N26" i="36"/>
  <c r="O27" i="26"/>
  <c r="K48" i="22"/>
  <c r="K39" i="39"/>
  <c r="K38" i="39"/>
  <c r="J41" i="7"/>
  <c r="O22" i="14"/>
  <c r="K39" i="25"/>
  <c r="K40" i="25"/>
  <c r="J25" i="7"/>
  <c r="P22" i="12"/>
  <c r="X22" i="12" s="1"/>
  <c r="K38" i="10"/>
  <c r="L39" i="25"/>
  <c r="L40" i="25" s="1"/>
  <c r="L46" i="25" s="1"/>
  <c r="K25" i="7"/>
  <c r="O22" i="15"/>
  <c r="O26" i="12"/>
  <c r="O25" i="9"/>
  <c r="AD21" i="9"/>
  <c r="AB21" i="9" s="1"/>
  <c r="Z21" i="9" s="1"/>
  <c r="X21" i="9" s="1"/>
  <c r="V21" i="9" s="1"/>
  <c r="T21" i="9" s="1"/>
  <c r="P21" i="9"/>
  <c r="P25" i="9" s="1"/>
  <c r="N21" i="21"/>
  <c r="M23" i="21"/>
  <c r="M25" i="21" s="1"/>
  <c r="J40" i="14"/>
  <c r="O23" i="32"/>
  <c r="L38" i="10"/>
  <c r="P21" i="28"/>
  <c r="O24" i="28"/>
  <c r="P22" i="30"/>
  <c r="T22" i="30" s="1"/>
  <c r="K47" i="37"/>
  <c r="N27" i="35"/>
  <c r="M38" i="14"/>
  <c r="L39" i="41"/>
  <c r="L40" i="41" s="1"/>
  <c r="K44" i="7"/>
  <c r="I39" i="15"/>
  <c r="H15" i="7"/>
  <c r="H47" i="7" s="1"/>
  <c r="N21" i="15"/>
  <c r="N23" i="15" s="1"/>
  <c r="O22" i="16"/>
  <c r="O23" i="39"/>
  <c r="P25" i="39" s="1"/>
  <c r="P19" i="39"/>
  <c r="P23" i="39" s="1"/>
  <c r="O23" i="23"/>
  <c r="M38" i="8"/>
  <c r="L39" i="13"/>
  <c r="L41" i="18"/>
  <c r="K18" i="7"/>
  <c r="M41" i="9"/>
  <c r="M42" i="9" s="1"/>
  <c r="M48" i="9" s="1"/>
  <c r="L9" i="7"/>
  <c r="P21" i="31"/>
  <c r="O25" i="31"/>
  <c r="O27" i="31" s="1"/>
  <c r="E48" i="17"/>
  <c r="L49" i="26"/>
  <c r="O20" i="41"/>
  <c r="O23" i="41" s="1"/>
  <c r="O25" i="41"/>
  <c r="M39" i="17"/>
  <c r="K49" i="29"/>
  <c r="E48" i="34"/>
  <c r="L38" i="8"/>
  <c r="P22" i="10"/>
  <c r="M30" i="39"/>
  <c r="J47" i="11"/>
  <c r="O23" i="25"/>
  <c r="O25" i="25" s="1"/>
  <c r="P20" i="25"/>
  <c r="N24" i="13"/>
  <c r="O21" i="13"/>
  <c r="N23" i="30"/>
  <c r="O20" i="30"/>
  <c r="P22" i="34"/>
  <c r="P22" i="13"/>
  <c r="O27" i="9"/>
  <c r="J40" i="33"/>
  <c r="E49" i="29"/>
  <c r="J42" i="18"/>
  <c r="J48" i="18" s="1"/>
  <c r="M27" i="29"/>
  <c r="K41" i="9"/>
  <c r="J9" i="7"/>
  <c r="N24" i="28"/>
  <c r="K39" i="8"/>
  <c r="K40" i="8" s="1"/>
  <c r="J8" i="7"/>
  <c r="P21" i="24"/>
  <c r="O24" i="24"/>
  <c r="O21" i="22"/>
  <c r="N24" i="22"/>
  <c r="K40" i="13"/>
  <c r="J13" i="7"/>
  <c r="K41" i="13"/>
  <c r="K47" i="13" s="1"/>
  <c r="O22" i="36"/>
  <c r="O24" i="36" s="1"/>
  <c r="Y22" i="27"/>
  <c r="P21" i="36"/>
  <c r="P24" i="29"/>
  <c r="O25" i="39"/>
  <c r="H46" i="21"/>
  <c r="N25" i="25"/>
  <c r="K46" i="8" l="1"/>
  <c r="N25" i="15"/>
  <c r="N27" i="20"/>
  <c r="K46" i="19"/>
  <c r="O26" i="34"/>
  <c r="M38" i="16"/>
  <c r="O26" i="36"/>
  <c r="Y24" i="29"/>
  <c r="T22" i="13"/>
  <c r="L40" i="29"/>
  <c r="L40" i="13"/>
  <c r="L41" i="13" s="1"/>
  <c r="L47" i="13" s="1"/>
  <c r="K13" i="7"/>
  <c r="P22" i="16"/>
  <c r="L40" i="10"/>
  <c r="L46" i="10" s="1"/>
  <c r="L39" i="10"/>
  <c r="K10" i="7"/>
  <c r="I48" i="13"/>
  <c r="K46" i="25"/>
  <c r="P22" i="31"/>
  <c r="P21" i="32"/>
  <c r="P24" i="12"/>
  <c r="X21" i="12"/>
  <c r="M39" i="41"/>
  <c r="M40" i="41" s="1"/>
  <c r="M46" i="41" s="1"/>
  <c r="L44" i="7"/>
  <c r="I49" i="29"/>
  <c r="M40" i="22"/>
  <c r="L22" i="7"/>
  <c r="P38" i="8"/>
  <c r="J46" i="30"/>
  <c r="N26" i="13"/>
  <c r="M39" i="37"/>
  <c r="L37" i="7"/>
  <c r="O22" i="23"/>
  <c r="J47" i="10"/>
  <c r="M39" i="8"/>
  <c r="M40" i="8"/>
  <c r="M46" i="8" s="1"/>
  <c r="L8" i="7"/>
  <c r="I40" i="15"/>
  <c r="O21" i="21"/>
  <c r="N23" i="21"/>
  <c r="L47" i="25"/>
  <c r="K40" i="32"/>
  <c r="K41" i="32"/>
  <c r="J32" i="7"/>
  <c r="P23" i="28"/>
  <c r="T23" i="28" s="1"/>
  <c r="N39" i="24"/>
  <c r="K47" i="15"/>
  <c r="L39" i="38"/>
  <c r="L38" i="38"/>
  <c r="L40" i="38" s="1"/>
  <c r="L46" i="38" s="1"/>
  <c r="K39" i="7"/>
  <c r="J49" i="35"/>
  <c r="K47" i="38"/>
  <c r="K47" i="34"/>
  <c r="K48" i="34" s="1"/>
  <c r="K40" i="30"/>
  <c r="K46" i="30" s="1"/>
  <c r="K47" i="30" s="1"/>
  <c r="I49" i="33"/>
  <c r="L47" i="39"/>
  <c r="P21" i="29"/>
  <c r="O25" i="29"/>
  <c r="N30" i="38"/>
  <c r="O22" i="33"/>
  <c r="N25" i="33"/>
  <c r="N27" i="33" s="1"/>
  <c r="P20" i="15"/>
  <c r="P25" i="26"/>
  <c r="T21" i="26"/>
  <c r="O23" i="37"/>
  <c r="O25" i="37" s="1"/>
  <c r="P20" i="37"/>
  <c r="L39" i="23"/>
  <c r="T23" i="9"/>
  <c r="P24" i="18"/>
  <c r="P38" i="7"/>
  <c r="B36" i="6" s="1"/>
  <c r="D36" i="6" s="1"/>
  <c r="N38" i="41"/>
  <c r="O23" i="30"/>
  <c r="P20" i="30"/>
  <c r="L40" i="31"/>
  <c r="M38" i="39"/>
  <c r="M39" i="39"/>
  <c r="L41" i="7"/>
  <c r="P23" i="23"/>
  <c r="J48" i="22"/>
  <c r="K39" i="10"/>
  <c r="K40" i="10" s="1"/>
  <c r="J10" i="7"/>
  <c r="N40" i="29"/>
  <c r="P21" i="10"/>
  <c r="T21" i="10" s="1"/>
  <c r="P24" i="20"/>
  <c r="D54" i="7"/>
  <c r="M41" i="31"/>
  <c r="L31" i="7"/>
  <c r="H45" i="7"/>
  <c r="H48" i="7" s="1"/>
  <c r="H54" i="7" s="1"/>
  <c r="L41" i="24"/>
  <c r="L47" i="24" s="1"/>
  <c r="L48" i="24" s="1"/>
  <c r="M40" i="12"/>
  <c r="L12" i="7"/>
  <c r="M40" i="18"/>
  <c r="P21" i="23"/>
  <c r="O24" i="23"/>
  <c r="M41" i="26"/>
  <c r="M42" i="26"/>
  <c r="M48" i="26" s="1"/>
  <c r="L26" i="7"/>
  <c r="L40" i="37"/>
  <c r="M41" i="35"/>
  <c r="L35" i="7"/>
  <c r="P21" i="30"/>
  <c r="T21" i="30" s="1"/>
  <c r="M27" i="33"/>
  <c r="L39" i="34"/>
  <c r="I48" i="34"/>
  <c r="L40" i="20"/>
  <c r="O22" i="32"/>
  <c r="O24" i="32" s="1"/>
  <c r="N25" i="27"/>
  <c r="M25" i="27"/>
  <c r="L38" i="11"/>
  <c r="O26" i="28"/>
  <c r="N26" i="28"/>
  <c r="O25" i="30"/>
  <c r="N38" i="11"/>
  <c r="T22" i="10"/>
  <c r="M38" i="30"/>
  <c r="P25" i="41"/>
  <c r="P20" i="41"/>
  <c r="P23" i="41" s="1"/>
  <c r="M49" i="9"/>
  <c r="P22" i="14"/>
  <c r="W22" i="14" s="1"/>
  <c r="L39" i="21"/>
  <c r="K21" i="7"/>
  <c r="O25" i="35"/>
  <c r="P21" i="35"/>
  <c r="T22" i="26"/>
  <c r="T22" i="17"/>
  <c r="K42" i="18"/>
  <c r="P21" i="11"/>
  <c r="P26" i="17"/>
  <c r="N26" i="32"/>
  <c r="M26" i="32"/>
  <c r="P21" i="19"/>
  <c r="T21" i="19" s="1"/>
  <c r="N27" i="18"/>
  <c r="M40" i="20"/>
  <c r="L40" i="22"/>
  <c r="L41" i="22"/>
  <c r="K22" i="7"/>
  <c r="K40" i="24"/>
  <c r="J24" i="7"/>
  <c r="K40" i="21"/>
  <c r="K46" i="21" s="1"/>
  <c r="J39" i="21"/>
  <c r="J40" i="21"/>
  <c r="I21" i="7"/>
  <c r="T20" i="21"/>
  <c r="P19" i="38"/>
  <c r="P23" i="38" s="1"/>
  <c r="O23" i="38"/>
  <c r="P25" i="38" s="1"/>
  <c r="P22" i="22"/>
  <c r="K41" i="33"/>
  <c r="K42" i="33" s="1"/>
  <c r="K48" i="33" s="1"/>
  <c r="J33" i="7"/>
  <c r="J47" i="15"/>
  <c r="G48" i="7"/>
  <c r="G54" i="7" s="1"/>
  <c r="G57" i="7" s="1"/>
  <c r="G21" i="2" s="1"/>
  <c r="G22" i="2" s="1"/>
  <c r="G24" i="2" s="1"/>
  <c r="W21" i="36"/>
  <c r="K48" i="13"/>
  <c r="T22" i="34"/>
  <c r="L46" i="41"/>
  <c r="P23" i="32"/>
  <c r="X23" i="32" s="1"/>
  <c r="P27" i="9"/>
  <c r="M30" i="38"/>
  <c r="M41" i="28"/>
  <c r="M47" i="28" s="1"/>
  <c r="M48" i="28" s="1"/>
  <c r="O27" i="35"/>
  <c r="M38" i="10"/>
  <c r="K47" i="11"/>
  <c r="P21" i="18"/>
  <c r="O25" i="18"/>
  <c r="P22" i="37"/>
  <c r="P24" i="17"/>
  <c r="T21" i="17"/>
  <c r="P24" i="31"/>
  <c r="T24" i="31" s="1"/>
  <c r="L38" i="14"/>
  <c r="L47" i="30"/>
  <c r="N25" i="16"/>
  <c r="J48" i="24"/>
  <c r="K47" i="21"/>
  <c r="D57" i="7"/>
  <c r="D21" i="2" s="1"/>
  <c r="P21" i="20"/>
  <c r="O25" i="20"/>
  <c r="O27" i="20" s="1"/>
  <c r="O25" i="38"/>
  <c r="L48" i="32"/>
  <c r="T20" i="34"/>
  <c r="P24" i="34"/>
  <c r="P26" i="34" s="1"/>
  <c r="L39" i="40"/>
  <c r="L38" i="40"/>
  <c r="L40" i="40" s="1"/>
  <c r="L46" i="40" s="1"/>
  <c r="K40" i="7"/>
  <c r="N30" i="39"/>
  <c r="I47" i="14"/>
  <c r="L41" i="9"/>
  <c r="K9" i="7"/>
  <c r="O23" i="11"/>
  <c r="O21" i="27"/>
  <c r="T22" i="28"/>
  <c r="N41" i="26"/>
  <c r="N42" i="26"/>
  <c r="N48" i="26" s="1"/>
  <c r="M26" i="7"/>
  <c r="M39" i="36"/>
  <c r="P21" i="22"/>
  <c r="O24" i="22"/>
  <c r="O26" i="22" s="1"/>
  <c r="T21" i="24"/>
  <c r="J49" i="26"/>
  <c r="T20" i="25"/>
  <c r="P23" i="25"/>
  <c r="L39" i="8"/>
  <c r="L40" i="8" s="1"/>
  <c r="L46" i="8" s="1"/>
  <c r="K8" i="7"/>
  <c r="L42" i="18"/>
  <c r="L48" i="18" s="1"/>
  <c r="P30" i="39"/>
  <c r="Q29" i="39"/>
  <c r="O21" i="15"/>
  <c r="O23" i="15" s="1"/>
  <c r="K40" i="39"/>
  <c r="P22" i="29"/>
  <c r="N39" i="17"/>
  <c r="O23" i="14"/>
  <c r="P20" i="14"/>
  <c r="J40" i="23"/>
  <c r="J41" i="23" s="1"/>
  <c r="I23" i="7"/>
  <c r="I49" i="31"/>
  <c r="N40" i="12"/>
  <c r="M12" i="7"/>
  <c r="T22" i="9"/>
  <c r="O22" i="20"/>
  <c r="K42" i="35"/>
  <c r="K40" i="16"/>
  <c r="K46" i="16" s="1"/>
  <c r="K47" i="16" s="1"/>
  <c r="W23" i="36"/>
  <c r="I47" i="11"/>
  <c r="J47" i="40"/>
  <c r="K40" i="23"/>
  <c r="J23" i="7"/>
  <c r="M39" i="25"/>
  <c r="L25" i="7"/>
  <c r="P23" i="11"/>
  <c r="T20" i="11"/>
  <c r="M38" i="40"/>
  <c r="M39" i="40"/>
  <c r="L40" i="7"/>
  <c r="O26" i="24"/>
  <c r="M40" i="29"/>
  <c r="H47" i="21"/>
  <c r="J47" i="38"/>
  <c r="J41" i="33"/>
  <c r="J42" i="33" s="1"/>
  <c r="I33" i="7"/>
  <c r="L49" i="18"/>
  <c r="P24" i="28"/>
  <c r="P26" i="28" s="1"/>
  <c r="T21" i="28"/>
  <c r="J46" i="14"/>
  <c r="P22" i="15"/>
  <c r="P21" i="34"/>
  <c r="O25" i="10"/>
  <c r="T22" i="11"/>
  <c r="N40" i="9"/>
  <c r="J40" i="27"/>
  <c r="N25" i="10"/>
  <c r="M38" i="15"/>
  <c r="T22" i="21"/>
  <c r="L39" i="19"/>
  <c r="K19" i="7"/>
  <c r="L42" i="35"/>
  <c r="L48" i="35" s="1"/>
  <c r="L41" i="35"/>
  <c r="K35" i="7"/>
  <c r="K48" i="17"/>
  <c r="K49" i="20"/>
  <c r="O21" i="16"/>
  <c r="N23" i="16"/>
  <c r="H46" i="16"/>
  <c r="H47" i="16" s="1"/>
  <c r="J48" i="28"/>
  <c r="I47" i="37"/>
  <c r="I47" i="27"/>
  <c r="M40" i="34"/>
  <c r="M41" i="34"/>
  <c r="M47" i="34" s="1"/>
  <c r="L34" i="7"/>
  <c r="P20" i="27"/>
  <c r="N26" i="22"/>
  <c r="N25" i="30"/>
  <c r="P19" i="40"/>
  <c r="P23" i="40" s="1"/>
  <c r="O23" i="40"/>
  <c r="P25" i="40" s="1"/>
  <c r="O30" i="39"/>
  <c r="P22" i="36"/>
  <c r="K42" i="9"/>
  <c r="O24" i="13"/>
  <c r="O26" i="13" s="1"/>
  <c r="P21" i="13"/>
  <c r="P25" i="25"/>
  <c r="M40" i="17"/>
  <c r="L17" i="7"/>
  <c r="T21" i="31"/>
  <c r="J48" i="36"/>
  <c r="L14" i="7"/>
  <c r="M39" i="14"/>
  <c r="N25" i="21"/>
  <c r="P20" i="10"/>
  <c r="O23" i="10"/>
  <c r="P23" i="22"/>
  <c r="P22" i="24"/>
  <c r="M38" i="19"/>
  <c r="O25" i="14"/>
  <c r="K47" i="28"/>
  <c r="P26" i="12"/>
  <c r="P23" i="35"/>
  <c r="W23" i="35" s="1"/>
  <c r="P23" i="19"/>
  <c r="P25" i="19" s="1"/>
  <c r="T20" i="19"/>
  <c r="W21" i="14"/>
  <c r="T20" i="16"/>
  <c r="L39" i="36"/>
  <c r="O25" i="19"/>
  <c r="J49" i="18"/>
  <c r="P27" i="26"/>
  <c r="L38" i="27"/>
  <c r="N26" i="23"/>
  <c r="M26" i="23"/>
  <c r="K39" i="40"/>
  <c r="K38" i="40"/>
  <c r="K40" i="40" s="1"/>
  <c r="J40" i="7"/>
  <c r="K47" i="12"/>
  <c r="J39" i="16"/>
  <c r="J40" i="16" s="1"/>
  <c r="J46" i="16" s="1"/>
  <c r="I16" i="7"/>
  <c r="L40" i="28"/>
  <c r="L41" i="28" s="1"/>
  <c r="L47" i="28" s="1"/>
  <c r="K28" i="7"/>
  <c r="K38" i="27"/>
  <c r="W22" i="35"/>
  <c r="N39" i="34"/>
  <c r="O25" i="8"/>
  <c r="M39" i="13"/>
  <c r="O39" i="22" l="1"/>
  <c r="O26" i="32"/>
  <c r="O25" i="15"/>
  <c r="N40" i="33"/>
  <c r="O40" i="20"/>
  <c r="K48" i="12"/>
  <c r="K48" i="28"/>
  <c r="M40" i="14"/>
  <c r="M46" i="14" s="1"/>
  <c r="K48" i="9"/>
  <c r="M39" i="15"/>
  <c r="M40" i="15"/>
  <c r="M46" i="15" s="1"/>
  <c r="L15" i="7"/>
  <c r="J47" i="14"/>
  <c r="L38" i="15"/>
  <c r="P23" i="14"/>
  <c r="P25" i="14" s="1"/>
  <c r="K46" i="39"/>
  <c r="N49" i="26"/>
  <c r="L42" i="9"/>
  <c r="L48" i="9" s="1"/>
  <c r="N38" i="16"/>
  <c r="P24" i="36"/>
  <c r="P26" i="36" s="1"/>
  <c r="P30" i="38"/>
  <c r="M39" i="30"/>
  <c r="L30" i="7"/>
  <c r="L41" i="20"/>
  <c r="L42" i="20"/>
  <c r="K20" i="7"/>
  <c r="O38" i="37"/>
  <c r="P23" i="30"/>
  <c r="T20" i="30"/>
  <c r="P27" i="29"/>
  <c r="K47" i="32"/>
  <c r="L41" i="29"/>
  <c r="K29" i="7"/>
  <c r="H57" i="7"/>
  <c r="H21" i="2" s="1"/>
  <c r="H22" i="2" s="1"/>
  <c r="H24" i="2" s="1"/>
  <c r="N38" i="8"/>
  <c r="P25" i="10"/>
  <c r="M41" i="17"/>
  <c r="W22" i="36"/>
  <c r="M48" i="34"/>
  <c r="T21" i="34"/>
  <c r="M40" i="25"/>
  <c r="K48" i="35"/>
  <c r="O39" i="12"/>
  <c r="P24" i="24"/>
  <c r="P26" i="24" s="1"/>
  <c r="M39" i="10"/>
  <c r="M40" i="10" s="1"/>
  <c r="M46" i="10" s="1"/>
  <c r="L10" i="7"/>
  <c r="N39" i="32"/>
  <c r="W21" i="35"/>
  <c r="P25" i="35"/>
  <c r="M41" i="18"/>
  <c r="M42" i="18" s="1"/>
  <c r="L18" i="7"/>
  <c r="M42" i="31"/>
  <c r="M48" i="31" s="1"/>
  <c r="M49" i="31" s="1"/>
  <c r="X24" i="20"/>
  <c r="O38" i="41"/>
  <c r="P25" i="29"/>
  <c r="M47" i="8"/>
  <c r="M40" i="37"/>
  <c r="M46" i="37" s="1"/>
  <c r="M47" i="41"/>
  <c r="X21" i="32"/>
  <c r="T22" i="16"/>
  <c r="M38" i="21"/>
  <c r="W22" i="37"/>
  <c r="O40" i="35"/>
  <c r="N38" i="25"/>
  <c r="M41" i="20"/>
  <c r="M42" i="20"/>
  <c r="M48" i="20" s="1"/>
  <c r="L20" i="7"/>
  <c r="Q30" i="17"/>
  <c r="P39" i="17"/>
  <c r="P27" i="35"/>
  <c r="N39" i="11"/>
  <c r="M11" i="7"/>
  <c r="L39" i="11"/>
  <c r="K11" i="7"/>
  <c r="M42" i="35"/>
  <c r="M48" i="35" s="1"/>
  <c r="M49" i="35" s="1"/>
  <c r="P25" i="30"/>
  <c r="L40" i="23"/>
  <c r="K23" i="7"/>
  <c r="T20" i="15"/>
  <c r="N38" i="19"/>
  <c r="P21" i="21"/>
  <c r="O23" i="21"/>
  <c r="P39" i="8"/>
  <c r="O8" i="7"/>
  <c r="O27" i="29"/>
  <c r="M39" i="19"/>
  <c r="M40" i="19" s="1"/>
  <c r="M46" i="19" s="1"/>
  <c r="L19" i="7"/>
  <c r="Q29" i="25"/>
  <c r="P38" i="25"/>
  <c r="P24" i="13"/>
  <c r="T21" i="13"/>
  <c r="O38" i="39"/>
  <c r="O39" i="39"/>
  <c r="N41" i="7"/>
  <c r="K47" i="19"/>
  <c r="N38" i="37"/>
  <c r="P21" i="16"/>
  <c r="O23" i="16"/>
  <c r="J46" i="27"/>
  <c r="M40" i="40"/>
  <c r="M46" i="40" s="1"/>
  <c r="M47" i="40" s="1"/>
  <c r="P22" i="20"/>
  <c r="L47" i="8"/>
  <c r="P21" i="27"/>
  <c r="Q28" i="39"/>
  <c r="Q30" i="39" s="1"/>
  <c r="Q38" i="39" s="1"/>
  <c r="D22" i="2"/>
  <c r="D24" i="2" s="1"/>
  <c r="L39" i="14"/>
  <c r="L40" i="14" s="1"/>
  <c r="K14" i="7"/>
  <c r="L47" i="41"/>
  <c r="K46" i="10"/>
  <c r="N39" i="41"/>
  <c r="M44" i="7"/>
  <c r="N40" i="24"/>
  <c r="N41" i="24"/>
  <c r="N47" i="24" s="1"/>
  <c r="M24" i="7"/>
  <c r="M39" i="24"/>
  <c r="P23" i="10"/>
  <c r="T20" i="10"/>
  <c r="J47" i="30"/>
  <c r="I47" i="7"/>
  <c r="I45" i="7"/>
  <c r="L40" i="36"/>
  <c r="L41" i="36" s="1"/>
  <c r="K36" i="7"/>
  <c r="O23" i="27"/>
  <c r="O25" i="40"/>
  <c r="K41" i="23"/>
  <c r="K47" i="23" s="1"/>
  <c r="K48" i="23" s="1"/>
  <c r="P21" i="15"/>
  <c r="T21" i="15" s="1"/>
  <c r="P24" i="22"/>
  <c r="P26" i="22" s="1"/>
  <c r="T21" i="22"/>
  <c r="N39" i="39"/>
  <c r="N38" i="39"/>
  <c r="M41" i="7"/>
  <c r="K41" i="24"/>
  <c r="T21" i="11"/>
  <c r="L40" i="34"/>
  <c r="L41" i="34" s="1"/>
  <c r="K34" i="7"/>
  <c r="I49" i="20"/>
  <c r="N41" i="29"/>
  <c r="N42" i="29" s="1"/>
  <c r="N48" i="29" s="1"/>
  <c r="M29" i="7"/>
  <c r="M40" i="39"/>
  <c r="M46" i="39" s="1"/>
  <c r="M47" i="39" s="1"/>
  <c r="P23" i="37"/>
  <c r="P25" i="37" s="1"/>
  <c r="W20" i="37"/>
  <c r="M38" i="11"/>
  <c r="L40" i="33"/>
  <c r="K49" i="9"/>
  <c r="O40" i="31"/>
  <c r="N38" i="14"/>
  <c r="N40" i="34"/>
  <c r="N41" i="34"/>
  <c r="N47" i="34" s="1"/>
  <c r="M34" i="7"/>
  <c r="K46" i="40"/>
  <c r="N39" i="23"/>
  <c r="O39" i="17"/>
  <c r="Q29" i="17"/>
  <c r="T22" i="24"/>
  <c r="P25" i="31"/>
  <c r="P27" i="31" s="1"/>
  <c r="P26" i="13"/>
  <c r="L40" i="19"/>
  <c r="N41" i="9"/>
  <c r="N42" i="9" s="1"/>
  <c r="N48" i="9" s="1"/>
  <c r="M9" i="7"/>
  <c r="T22" i="15"/>
  <c r="N40" i="17"/>
  <c r="N41" i="17" s="1"/>
  <c r="N47" i="17" s="1"/>
  <c r="M17" i="7"/>
  <c r="M40" i="36"/>
  <c r="M41" i="36" s="1"/>
  <c r="M47" i="36" s="1"/>
  <c r="L36" i="7"/>
  <c r="P25" i="11"/>
  <c r="O25" i="11"/>
  <c r="M39" i="38"/>
  <c r="M38" i="38"/>
  <c r="L39" i="7"/>
  <c r="K47" i="8"/>
  <c r="K49" i="33"/>
  <c r="O27" i="18"/>
  <c r="L40" i="21"/>
  <c r="L46" i="21" s="1"/>
  <c r="O39" i="28"/>
  <c r="P22" i="32"/>
  <c r="X22" i="32" s="1"/>
  <c r="M40" i="33"/>
  <c r="L46" i="37"/>
  <c r="M41" i="12"/>
  <c r="P22" i="33"/>
  <c r="P25" i="33" s="1"/>
  <c r="O25" i="33"/>
  <c r="P27" i="33" s="1"/>
  <c r="N39" i="36"/>
  <c r="N40" i="35"/>
  <c r="P22" i="23"/>
  <c r="T22" i="23" s="1"/>
  <c r="T22" i="31"/>
  <c r="L47" i="10"/>
  <c r="L48" i="13"/>
  <c r="O38" i="25"/>
  <c r="M40" i="13"/>
  <c r="L13" i="7"/>
  <c r="K39" i="27"/>
  <c r="K40" i="27"/>
  <c r="K46" i="27" s="1"/>
  <c r="J27" i="7"/>
  <c r="J47" i="7" s="1"/>
  <c r="L39" i="27"/>
  <c r="L40" i="27"/>
  <c r="L46" i="27" s="1"/>
  <c r="K27" i="7"/>
  <c r="Q30" i="12"/>
  <c r="T23" i="22"/>
  <c r="M47" i="14"/>
  <c r="P23" i="27"/>
  <c r="N41" i="12"/>
  <c r="N47" i="12" s="1"/>
  <c r="P25" i="18"/>
  <c r="P27" i="18" s="1"/>
  <c r="T21" i="18"/>
  <c r="J46" i="21"/>
  <c r="K48" i="18"/>
  <c r="L47" i="21"/>
  <c r="P38" i="41"/>
  <c r="Q29" i="41"/>
  <c r="N40" i="31"/>
  <c r="T23" i="23"/>
  <c r="I46" i="15"/>
  <c r="M41" i="22"/>
  <c r="M47" i="22" s="1"/>
  <c r="O26" i="23"/>
  <c r="M39" i="16"/>
  <c r="M40" i="16"/>
  <c r="M46" i="16" s="1"/>
  <c r="L16" i="7"/>
  <c r="Q29" i="8"/>
  <c r="Q31" i="26"/>
  <c r="O40" i="9"/>
  <c r="Q40" i="9" s="1"/>
  <c r="J48" i="33"/>
  <c r="M41" i="29"/>
  <c r="M42" i="29"/>
  <c r="M48" i="29" s="1"/>
  <c r="L29" i="7"/>
  <c r="N30" i="40"/>
  <c r="N48" i="12"/>
  <c r="J47" i="23"/>
  <c r="P38" i="39"/>
  <c r="P39" i="39"/>
  <c r="O41" i="7"/>
  <c r="L49" i="9"/>
  <c r="L47" i="40"/>
  <c r="P25" i="20"/>
  <c r="P27" i="20" s="1"/>
  <c r="Q31" i="9"/>
  <c r="P40" i="9"/>
  <c r="T22" i="22"/>
  <c r="L47" i="22"/>
  <c r="T21" i="23"/>
  <c r="L41" i="31"/>
  <c r="L42" i="31" s="1"/>
  <c r="K31" i="7"/>
  <c r="T23" i="18"/>
  <c r="N38" i="38"/>
  <c r="N39" i="38"/>
  <c r="M39" i="7"/>
  <c r="K47" i="25"/>
  <c r="L38" i="16"/>
  <c r="M48" i="22"/>
  <c r="Q38" i="41"/>
  <c r="O40" i="26"/>
  <c r="N40" i="39" l="1"/>
  <c r="N46" i="39" s="1"/>
  <c r="P41" i="7"/>
  <c r="B39" i="6" s="1"/>
  <c r="D39" i="6" s="1"/>
  <c r="E39" i="6" s="1"/>
  <c r="M48" i="18"/>
  <c r="L48" i="31"/>
  <c r="Q31" i="20"/>
  <c r="L47" i="36"/>
  <c r="Q30" i="22"/>
  <c r="P39" i="22"/>
  <c r="Q31" i="18"/>
  <c r="Q29" i="37"/>
  <c r="P38" i="14"/>
  <c r="Q29" i="14"/>
  <c r="P24" i="23"/>
  <c r="P26" i="23" s="1"/>
  <c r="M47" i="16"/>
  <c r="N41" i="35"/>
  <c r="M35" i="7"/>
  <c r="L47" i="37"/>
  <c r="O40" i="18"/>
  <c r="Q31" i="31"/>
  <c r="N39" i="14"/>
  <c r="N40" i="14" s="1"/>
  <c r="N46" i="14" s="1"/>
  <c r="M14" i="7"/>
  <c r="M39" i="11"/>
  <c r="L11" i="7"/>
  <c r="K47" i="24"/>
  <c r="K48" i="24" s="1"/>
  <c r="M40" i="24"/>
  <c r="M41" i="24" s="1"/>
  <c r="L24" i="7"/>
  <c r="O38" i="30"/>
  <c r="P25" i="16"/>
  <c r="N39" i="19"/>
  <c r="M19" i="7"/>
  <c r="N40" i="11"/>
  <c r="N46" i="11" s="1"/>
  <c r="M49" i="20"/>
  <c r="N38" i="10"/>
  <c r="P24" i="32"/>
  <c r="P26" i="32" s="1"/>
  <c r="O25" i="16"/>
  <c r="N40" i="20"/>
  <c r="P38" i="38"/>
  <c r="P40" i="38" s="1"/>
  <c r="P46" i="38" s="1"/>
  <c r="P39" i="38"/>
  <c r="O39" i="7"/>
  <c r="O41" i="20"/>
  <c r="O42" i="20" s="1"/>
  <c r="O48" i="20" s="1"/>
  <c r="N20" i="7"/>
  <c r="N41" i="33"/>
  <c r="M33" i="7"/>
  <c r="L39" i="16"/>
  <c r="L40" i="16" s="1"/>
  <c r="K16" i="7"/>
  <c r="N40" i="38"/>
  <c r="N46" i="38" s="1"/>
  <c r="N47" i="38" s="1"/>
  <c r="P40" i="26"/>
  <c r="J45" i="7"/>
  <c r="J48" i="7" s="1"/>
  <c r="J54" i="7" s="1"/>
  <c r="J57" i="7" s="1"/>
  <c r="J21" i="2" s="1"/>
  <c r="J22" i="2" s="1"/>
  <c r="J24" i="2" s="1"/>
  <c r="K49" i="18"/>
  <c r="J48" i="23"/>
  <c r="P39" i="12"/>
  <c r="N40" i="36"/>
  <c r="M36" i="7"/>
  <c r="P38" i="11"/>
  <c r="J47" i="16"/>
  <c r="O39" i="34"/>
  <c r="O27" i="33"/>
  <c r="N38" i="27"/>
  <c r="D11" i="3"/>
  <c r="D13" i="3" s="1"/>
  <c r="D15" i="3" s="1"/>
  <c r="D27" i="3" s="1"/>
  <c r="T21" i="16"/>
  <c r="P23" i="16"/>
  <c r="O40" i="39"/>
  <c r="O46" i="39" s="1"/>
  <c r="O47" i="39" s="1"/>
  <c r="P40" i="8"/>
  <c r="P46" i="8" s="1"/>
  <c r="K47" i="10"/>
  <c r="M47" i="37"/>
  <c r="Q29" i="38"/>
  <c r="M47" i="15"/>
  <c r="P39" i="28"/>
  <c r="Q29" i="28"/>
  <c r="Q29" i="19"/>
  <c r="P47" i="8"/>
  <c r="N47" i="11"/>
  <c r="Q28" i="25"/>
  <c r="Q28" i="41"/>
  <c r="O39" i="37"/>
  <c r="N37" i="7"/>
  <c r="Q30" i="36"/>
  <c r="J49" i="33"/>
  <c r="Q30" i="28"/>
  <c r="P38" i="19"/>
  <c r="Q28" i="19"/>
  <c r="M41" i="33"/>
  <c r="M42" i="33" s="1"/>
  <c r="M48" i="33" s="1"/>
  <c r="L33" i="7"/>
  <c r="N38" i="21"/>
  <c r="O38" i="8"/>
  <c r="N41" i="31"/>
  <c r="N42" i="31"/>
  <c r="N48" i="31" s="1"/>
  <c r="M31" i="7"/>
  <c r="O41" i="31"/>
  <c r="N31" i="7"/>
  <c r="Q29" i="40"/>
  <c r="M39" i="23"/>
  <c r="N48" i="24"/>
  <c r="O30" i="38"/>
  <c r="Q28" i="38"/>
  <c r="Q30" i="38" s="1"/>
  <c r="Q38" i="38" s="1"/>
  <c r="N39" i="13"/>
  <c r="P23" i="15"/>
  <c r="P25" i="15" s="1"/>
  <c r="Q31" i="35"/>
  <c r="N40" i="25"/>
  <c r="N46" i="25" s="1"/>
  <c r="N39" i="25"/>
  <c r="M25" i="7"/>
  <c r="Q38" i="25"/>
  <c r="N39" i="22"/>
  <c r="Q29" i="22"/>
  <c r="O39" i="41"/>
  <c r="N44" i="7"/>
  <c r="M47" i="10"/>
  <c r="K49" i="35"/>
  <c r="N38" i="30"/>
  <c r="L48" i="28"/>
  <c r="M40" i="30"/>
  <c r="N39" i="16"/>
  <c r="M16" i="7"/>
  <c r="Q30" i="26"/>
  <c r="N39" i="40"/>
  <c r="N38" i="40"/>
  <c r="M40" i="7"/>
  <c r="P30" i="40"/>
  <c r="M41" i="13"/>
  <c r="M48" i="36"/>
  <c r="N39" i="28"/>
  <c r="Q39" i="39"/>
  <c r="Q29" i="12"/>
  <c r="N40" i="37"/>
  <c r="N39" i="37"/>
  <c r="M37" i="7"/>
  <c r="N38" i="15"/>
  <c r="P40" i="17"/>
  <c r="O17" i="7"/>
  <c r="O41" i="35"/>
  <c r="O42" i="35"/>
  <c r="O48" i="35" s="1"/>
  <c r="N35" i="7"/>
  <c r="M39" i="21"/>
  <c r="M40" i="21" s="1"/>
  <c r="L21" i="7"/>
  <c r="M49" i="26"/>
  <c r="Q30" i="24"/>
  <c r="M46" i="25"/>
  <c r="Q28" i="8"/>
  <c r="L42" i="29"/>
  <c r="M39" i="32"/>
  <c r="L39" i="15"/>
  <c r="L40" i="15"/>
  <c r="K15" i="7"/>
  <c r="O39" i="32"/>
  <c r="P39" i="34"/>
  <c r="Q29" i="34"/>
  <c r="O42" i="26"/>
  <c r="O41" i="26"/>
  <c r="N26" i="7"/>
  <c r="Q40" i="26"/>
  <c r="J47" i="21"/>
  <c r="N9" i="7"/>
  <c r="O41" i="9"/>
  <c r="O42" i="9" s="1"/>
  <c r="L47" i="27"/>
  <c r="O39" i="25"/>
  <c r="N25" i="7"/>
  <c r="M40" i="38"/>
  <c r="N49" i="9"/>
  <c r="O40" i="17"/>
  <c r="Q46" i="17" s="1"/>
  <c r="N17" i="7"/>
  <c r="Q39" i="17"/>
  <c r="K47" i="39"/>
  <c r="I48" i="7"/>
  <c r="O38" i="19"/>
  <c r="M38" i="27"/>
  <c r="K47" i="40"/>
  <c r="L41" i="23"/>
  <c r="L47" i="23" s="1"/>
  <c r="L48" i="23" s="1"/>
  <c r="O25" i="21"/>
  <c r="M47" i="17"/>
  <c r="N39" i="8"/>
  <c r="M8" i="7"/>
  <c r="L47" i="38"/>
  <c r="O38" i="10"/>
  <c r="Q30" i="34"/>
  <c r="M47" i="12"/>
  <c r="O40" i="28"/>
  <c r="N28" i="7"/>
  <c r="L46" i="19"/>
  <c r="N40" i="23"/>
  <c r="M23" i="7"/>
  <c r="P25" i="27"/>
  <c r="O25" i="27"/>
  <c r="L46" i="14"/>
  <c r="P39" i="25"/>
  <c r="O25" i="7"/>
  <c r="P25" i="7" s="1"/>
  <c r="B23" i="6" s="1"/>
  <c r="D23" i="6" s="1"/>
  <c r="T21" i="21"/>
  <c r="P23" i="21"/>
  <c r="P25" i="21" s="1"/>
  <c r="P38" i="10"/>
  <c r="Q29" i="10"/>
  <c r="I47" i="15"/>
  <c r="L48" i="20"/>
  <c r="M48" i="17"/>
  <c r="Q30" i="9"/>
  <c r="O40" i="22"/>
  <c r="N22" i="7"/>
  <c r="P39" i="41"/>
  <c r="O44" i="7"/>
  <c r="P44" i="7" s="1"/>
  <c r="B42" i="6" s="1"/>
  <c r="D42" i="6" s="1"/>
  <c r="E42" i="6" s="1"/>
  <c r="O9" i="7"/>
  <c r="P41" i="9"/>
  <c r="P40" i="39"/>
  <c r="P46" i="39" s="1"/>
  <c r="P47" i="39" s="1"/>
  <c r="M49" i="29"/>
  <c r="O39" i="36"/>
  <c r="Q29" i="36"/>
  <c r="N48" i="17"/>
  <c r="Q30" i="13"/>
  <c r="Q29" i="13"/>
  <c r="N48" i="34"/>
  <c r="L41" i="33"/>
  <c r="L42" i="33"/>
  <c r="K33" i="7"/>
  <c r="N49" i="29"/>
  <c r="L47" i="34"/>
  <c r="N40" i="18"/>
  <c r="N40" i="41"/>
  <c r="J47" i="27"/>
  <c r="Q29" i="30"/>
  <c r="P38" i="30"/>
  <c r="L40" i="11"/>
  <c r="K48" i="32"/>
  <c r="N40" i="32"/>
  <c r="M32" i="7"/>
  <c r="O40" i="12"/>
  <c r="O41" i="12" s="1"/>
  <c r="O47" i="12" s="1"/>
  <c r="N12" i="7"/>
  <c r="L49" i="35"/>
  <c r="O38" i="14"/>
  <c r="Q38" i="14" s="1"/>
  <c r="Q28" i="14"/>
  <c r="L48" i="22"/>
  <c r="Q40" i="39"/>
  <c r="O39" i="24"/>
  <c r="O39" i="13"/>
  <c r="Q41" i="7" l="1"/>
  <c r="R41" i="7" s="1"/>
  <c r="Q40" i="17"/>
  <c r="R17" i="7" s="1"/>
  <c r="P17" i="7"/>
  <c r="B15" i="6" s="1"/>
  <c r="D15" i="6" s="1"/>
  <c r="E15" i="6" s="1"/>
  <c r="K47" i="7"/>
  <c r="Q29" i="21"/>
  <c r="M47" i="24"/>
  <c r="L46" i="16"/>
  <c r="M46" i="21"/>
  <c r="O48" i="9"/>
  <c r="O40" i="24"/>
  <c r="N24" i="7"/>
  <c r="P42" i="9"/>
  <c r="P48" i="9" s="1"/>
  <c r="P49" i="9" s="1"/>
  <c r="P40" i="25"/>
  <c r="P46" i="25" s="1"/>
  <c r="P47" i="25" s="1"/>
  <c r="O41" i="28"/>
  <c r="O47" i="28" s="1"/>
  <c r="O48" i="28" s="1"/>
  <c r="O39" i="10"/>
  <c r="O40" i="10"/>
  <c r="O46" i="10" s="1"/>
  <c r="N10" i="7"/>
  <c r="O41" i="17"/>
  <c r="M40" i="32"/>
  <c r="M41" i="32" s="1"/>
  <c r="L32" i="7"/>
  <c r="O49" i="35"/>
  <c r="M47" i="13"/>
  <c r="M48" i="13" s="1"/>
  <c r="O39" i="23"/>
  <c r="Q39" i="25"/>
  <c r="R25" i="7" s="1"/>
  <c r="O38" i="38"/>
  <c r="O39" i="38"/>
  <c r="N39" i="7"/>
  <c r="N49" i="31"/>
  <c r="N39" i="21"/>
  <c r="M21" i="7"/>
  <c r="M47" i="19"/>
  <c r="O41" i="34"/>
  <c r="O40" i="34"/>
  <c r="N34" i="7"/>
  <c r="Q39" i="34"/>
  <c r="P41" i="26"/>
  <c r="Q41" i="26" s="1"/>
  <c r="R26" i="7" s="1"/>
  <c r="O26" i="7"/>
  <c r="P26" i="7" s="1"/>
  <c r="B24" i="6" s="1"/>
  <c r="D24" i="6" s="1"/>
  <c r="E24" i="6" s="1"/>
  <c r="Q46" i="39"/>
  <c r="N39" i="10"/>
  <c r="N40" i="10" s="1"/>
  <c r="N46" i="10" s="1"/>
  <c r="M10" i="7"/>
  <c r="Q38" i="10"/>
  <c r="M40" i="11"/>
  <c r="M46" i="11" s="1"/>
  <c r="M47" i="11" s="1"/>
  <c r="P39" i="10"/>
  <c r="P40" i="10"/>
  <c r="O10" i="7"/>
  <c r="P10" i="7" s="1"/>
  <c r="B8" i="6" s="1"/>
  <c r="D8" i="6" s="1"/>
  <c r="E8" i="6" s="1"/>
  <c r="M39" i="27"/>
  <c r="M40" i="27" s="1"/>
  <c r="L27" i="7"/>
  <c r="O40" i="32"/>
  <c r="O41" i="32" s="1"/>
  <c r="O47" i="32" s="1"/>
  <c r="N32" i="7"/>
  <c r="N46" i="37"/>
  <c r="O39" i="8"/>
  <c r="N8" i="7"/>
  <c r="P8" i="7" s="1"/>
  <c r="K47" i="27"/>
  <c r="P39" i="7"/>
  <c r="P38" i="16"/>
  <c r="O41" i="18"/>
  <c r="O42" i="18" s="1"/>
  <c r="O48" i="18" s="1"/>
  <c r="N18" i="7"/>
  <c r="P40" i="20"/>
  <c r="Q30" i="20"/>
  <c r="L46" i="11"/>
  <c r="N46" i="41"/>
  <c r="Q40" i="41"/>
  <c r="Q44" i="7" s="1"/>
  <c r="O40" i="36"/>
  <c r="O41" i="36" s="1"/>
  <c r="O47" i="36" s="1"/>
  <c r="N36" i="7"/>
  <c r="P40" i="41"/>
  <c r="P46" i="41" s="1"/>
  <c r="N41" i="23"/>
  <c r="N47" i="23" s="1"/>
  <c r="N48" i="23" s="1"/>
  <c r="O39" i="19"/>
  <c r="O40" i="19" s="1"/>
  <c r="O46" i="19" s="1"/>
  <c r="N19" i="7"/>
  <c r="M46" i="38"/>
  <c r="M47" i="38" s="1"/>
  <c r="L48" i="29"/>
  <c r="P41" i="17"/>
  <c r="P47" i="17" s="1"/>
  <c r="P48" i="17" s="1"/>
  <c r="P38" i="40"/>
  <c r="P39" i="40"/>
  <c r="O40" i="7"/>
  <c r="O40" i="41"/>
  <c r="O46" i="41" s="1"/>
  <c r="O47" i="41" s="1"/>
  <c r="O42" i="31"/>
  <c r="O48" i="31" s="1"/>
  <c r="O49" i="31" s="1"/>
  <c r="M49" i="33"/>
  <c r="P39" i="36"/>
  <c r="M49" i="18"/>
  <c r="D26" i="2"/>
  <c r="P40" i="12"/>
  <c r="P41" i="12" s="1"/>
  <c r="P47" i="12" s="1"/>
  <c r="Q47" i="12" s="1"/>
  <c r="O12" i="7"/>
  <c r="P12" i="7" s="1"/>
  <c r="B10" i="6" s="1"/>
  <c r="D10" i="6" s="1"/>
  <c r="E10" i="6" s="1"/>
  <c r="Q39" i="12"/>
  <c r="P47" i="38"/>
  <c r="N47" i="14"/>
  <c r="P39" i="23"/>
  <c r="Q30" i="23"/>
  <c r="P40" i="18"/>
  <c r="Q30" i="18"/>
  <c r="P39" i="30"/>
  <c r="P40" i="30"/>
  <c r="P46" i="30" s="1"/>
  <c r="O30" i="7"/>
  <c r="P30" i="7" s="1"/>
  <c r="B28" i="6" s="1"/>
  <c r="D28" i="6" s="1"/>
  <c r="L48" i="33"/>
  <c r="L47" i="11"/>
  <c r="I54" i="7"/>
  <c r="I57" i="7" s="1"/>
  <c r="I21" i="2" s="1"/>
  <c r="P40" i="35"/>
  <c r="Q30" i="35"/>
  <c r="P39" i="11"/>
  <c r="P40" i="11"/>
  <c r="P46" i="11" s="1"/>
  <c r="O11" i="7"/>
  <c r="L47" i="14"/>
  <c r="P40" i="29"/>
  <c r="Q30" i="29"/>
  <c r="Q39" i="41"/>
  <c r="R44" i="7" s="1"/>
  <c r="O40" i="25"/>
  <c r="O46" i="25" s="1"/>
  <c r="Q46" i="25" s="1"/>
  <c r="P40" i="33"/>
  <c r="N47" i="39"/>
  <c r="Q45" i="39"/>
  <c r="N40" i="40"/>
  <c r="N40" i="16"/>
  <c r="N46" i="16" s="1"/>
  <c r="Q28" i="30"/>
  <c r="P38" i="15"/>
  <c r="Q29" i="15"/>
  <c r="Q29" i="23"/>
  <c r="L48" i="36"/>
  <c r="O38" i="15"/>
  <c r="Q29" i="11"/>
  <c r="N42" i="33"/>
  <c r="N48" i="33" s="1"/>
  <c r="N49" i="33" s="1"/>
  <c r="N42" i="20"/>
  <c r="N41" i="20"/>
  <c r="M20" i="7"/>
  <c r="N40" i="19"/>
  <c r="O39" i="30"/>
  <c r="N30" i="7"/>
  <c r="P40" i="22"/>
  <c r="O22" i="7"/>
  <c r="L49" i="20"/>
  <c r="O40" i="29"/>
  <c r="N41" i="18"/>
  <c r="N42" i="18" s="1"/>
  <c r="N48" i="18" s="1"/>
  <c r="M18" i="7"/>
  <c r="Q40" i="18"/>
  <c r="O41" i="22"/>
  <c r="O47" i="22" s="1"/>
  <c r="Q31" i="29"/>
  <c r="N47" i="41"/>
  <c r="Q45" i="41"/>
  <c r="L47" i="19"/>
  <c r="L49" i="31"/>
  <c r="Q38" i="8"/>
  <c r="Q31" i="33"/>
  <c r="L46" i="15"/>
  <c r="M47" i="25"/>
  <c r="N39" i="15"/>
  <c r="M15" i="7"/>
  <c r="N40" i="28"/>
  <c r="M28" i="7"/>
  <c r="Q39" i="28"/>
  <c r="N47" i="16"/>
  <c r="N39" i="30"/>
  <c r="N40" i="30" s="1"/>
  <c r="N46" i="30" s="1"/>
  <c r="M30" i="7"/>
  <c r="Q38" i="30"/>
  <c r="N40" i="22"/>
  <c r="N41" i="22" s="1"/>
  <c r="M22" i="7"/>
  <c r="Q39" i="22"/>
  <c r="M40" i="23"/>
  <c r="M41" i="23" s="1"/>
  <c r="L23" i="7"/>
  <c r="L45" i="7" s="1"/>
  <c r="Q39" i="23"/>
  <c r="P39" i="19"/>
  <c r="P40" i="19" s="1"/>
  <c r="P46" i="19" s="1"/>
  <c r="O19" i="7"/>
  <c r="P19" i="7" s="1"/>
  <c r="B17" i="6" s="1"/>
  <c r="D17" i="6" s="1"/>
  <c r="E17" i="6" s="1"/>
  <c r="Q38" i="19"/>
  <c r="Q39" i="24"/>
  <c r="L48" i="34"/>
  <c r="P40" i="31"/>
  <c r="Q30" i="31"/>
  <c r="P39" i="14"/>
  <c r="O14" i="7"/>
  <c r="N41" i="32"/>
  <c r="N47" i="32" s="1"/>
  <c r="N48" i="32" s="1"/>
  <c r="P39" i="13"/>
  <c r="O48" i="22"/>
  <c r="O38" i="27"/>
  <c r="N40" i="8"/>
  <c r="P39" i="24"/>
  <c r="Q29" i="24"/>
  <c r="M46" i="30"/>
  <c r="M47" i="30" s="1"/>
  <c r="N40" i="13"/>
  <c r="M13" i="7"/>
  <c r="M45" i="7" s="1"/>
  <c r="O30" i="40"/>
  <c r="Q28" i="40"/>
  <c r="Q30" i="40" s="1"/>
  <c r="Q38" i="40" s="1"/>
  <c r="M48" i="12"/>
  <c r="O40" i="37"/>
  <c r="O46" i="37" s="1"/>
  <c r="P40" i="28"/>
  <c r="O28" i="7"/>
  <c r="N39" i="27"/>
  <c r="M27" i="7"/>
  <c r="N41" i="36"/>
  <c r="O49" i="20"/>
  <c r="P39" i="32"/>
  <c r="Q39" i="32" s="1"/>
  <c r="Q30" i="32"/>
  <c r="O38" i="11"/>
  <c r="Q28" i="11"/>
  <c r="N42" i="35"/>
  <c r="K45" i="7"/>
  <c r="K48" i="7" s="1"/>
  <c r="K54" i="7" s="1"/>
  <c r="O40" i="13"/>
  <c r="N13" i="7"/>
  <c r="O39" i="14"/>
  <c r="O40" i="14" s="1"/>
  <c r="N14" i="7"/>
  <c r="P9" i="7"/>
  <c r="B7" i="6" s="1"/>
  <c r="D7" i="6" s="1"/>
  <c r="E7" i="6" s="1"/>
  <c r="Q29" i="27"/>
  <c r="Q41" i="9"/>
  <c r="R9" i="7" s="1"/>
  <c r="O48" i="26"/>
  <c r="P40" i="34"/>
  <c r="P41" i="34" s="1"/>
  <c r="P47" i="34" s="1"/>
  <c r="O34" i="7"/>
  <c r="P34" i="7" s="1"/>
  <c r="B32" i="6" s="1"/>
  <c r="D32" i="6" s="1"/>
  <c r="E32" i="6" s="1"/>
  <c r="O47" i="37"/>
  <c r="Q28" i="10"/>
  <c r="P38" i="37"/>
  <c r="Q28" i="37"/>
  <c r="M47" i="7" l="1"/>
  <c r="O47" i="25"/>
  <c r="L47" i="7"/>
  <c r="L48" i="7" s="1"/>
  <c r="L54" i="7" s="1"/>
  <c r="L57" i="7" s="1"/>
  <c r="L21" i="2" s="1"/>
  <c r="L22" i="2" s="1"/>
  <c r="L24" i="2" s="1"/>
  <c r="P28" i="7"/>
  <c r="B26" i="6" s="1"/>
  <c r="D26" i="6" s="1"/>
  <c r="E26" i="6" s="1"/>
  <c r="Q40" i="12"/>
  <c r="R12" i="7" s="1"/>
  <c r="O40" i="38"/>
  <c r="Q42" i="9"/>
  <c r="Q9" i="7" s="1"/>
  <c r="M48" i="7"/>
  <c r="M54" i="7" s="1"/>
  <c r="P42" i="26"/>
  <c r="Q40" i="25"/>
  <c r="Q25" i="7" s="1"/>
  <c r="P40" i="40"/>
  <c r="P46" i="40" s="1"/>
  <c r="Q46" i="41"/>
  <c r="Q47" i="41" s="1"/>
  <c r="N47" i="22"/>
  <c r="M47" i="23"/>
  <c r="I22" i="2"/>
  <c r="I24" i="2" s="1"/>
  <c r="M47" i="32"/>
  <c r="B6" i="6"/>
  <c r="P39" i="37"/>
  <c r="P40" i="37" s="1"/>
  <c r="O37" i="7"/>
  <c r="P37" i="7" s="1"/>
  <c r="B35" i="6" s="1"/>
  <c r="D35" i="6" s="1"/>
  <c r="E35" i="6" s="1"/>
  <c r="Q38" i="37"/>
  <c r="N46" i="19"/>
  <c r="N47" i="19" s="1"/>
  <c r="Q40" i="19"/>
  <c r="Q19" i="7" s="1"/>
  <c r="P39" i="15"/>
  <c r="O15" i="7"/>
  <c r="L49" i="33"/>
  <c r="P46" i="10"/>
  <c r="Q46" i="10" s="1"/>
  <c r="Q40" i="10"/>
  <c r="Q10" i="7" s="1"/>
  <c r="P38" i="27"/>
  <c r="Q28" i="27"/>
  <c r="O41" i="13"/>
  <c r="O47" i="13" s="1"/>
  <c r="P41" i="28"/>
  <c r="P47" i="28" s="1"/>
  <c r="N41" i="13"/>
  <c r="O49" i="26"/>
  <c r="Q47" i="26"/>
  <c r="P14" i="7"/>
  <c r="B12" i="6" s="1"/>
  <c r="D12" i="6" s="1"/>
  <c r="E12" i="6" s="1"/>
  <c r="P47" i="19"/>
  <c r="P41" i="33"/>
  <c r="O33" i="7"/>
  <c r="P47" i="30"/>
  <c r="P40" i="36"/>
  <c r="O36" i="7"/>
  <c r="P36" i="7" s="1"/>
  <c r="B34" i="6" s="1"/>
  <c r="D34" i="6" s="1"/>
  <c r="E34" i="6" s="1"/>
  <c r="Q41" i="12"/>
  <c r="Q12" i="7" s="1"/>
  <c r="Q29" i="16"/>
  <c r="P47" i="10"/>
  <c r="N47" i="25"/>
  <c r="Q45" i="25"/>
  <c r="Q47" i="25" s="1"/>
  <c r="O47" i="10"/>
  <c r="Q48" i="9"/>
  <c r="O40" i="33"/>
  <c r="Q30" i="33"/>
  <c r="O48" i="13"/>
  <c r="P41" i="32"/>
  <c r="P47" i="32" s="1"/>
  <c r="P40" i="32"/>
  <c r="O32" i="7"/>
  <c r="P32" i="7" s="1"/>
  <c r="B30" i="6" s="1"/>
  <c r="D30" i="6" s="1"/>
  <c r="E30" i="6" s="1"/>
  <c r="P48" i="28"/>
  <c r="N46" i="8"/>
  <c r="P40" i="14"/>
  <c r="P46" i="14" s="1"/>
  <c r="Q40" i="22"/>
  <c r="R22" i="7" s="1"/>
  <c r="M47" i="21"/>
  <c r="P22" i="7"/>
  <c r="B20" i="6" s="1"/>
  <c r="D20" i="6" s="1"/>
  <c r="E20" i="6" s="1"/>
  <c r="P40" i="16"/>
  <c r="P46" i="16" s="1"/>
  <c r="P39" i="16"/>
  <c r="O16" i="7"/>
  <c r="N40" i="21"/>
  <c r="N46" i="21" s="1"/>
  <c r="N47" i="21" s="1"/>
  <c r="O40" i="23"/>
  <c r="O41" i="23"/>
  <c r="O47" i="23" s="1"/>
  <c r="N23" i="7"/>
  <c r="M48" i="24"/>
  <c r="O49" i="9"/>
  <c r="Q47" i="9"/>
  <c r="O39" i="27"/>
  <c r="N27" i="7"/>
  <c r="P47" i="14"/>
  <c r="N48" i="20"/>
  <c r="N46" i="40"/>
  <c r="N47" i="40" s="1"/>
  <c r="Q39" i="7"/>
  <c r="R39" i="7" s="1"/>
  <c r="B37" i="6"/>
  <c r="D37" i="6" s="1"/>
  <c r="E37" i="6" s="1"/>
  <c r="L49" i="29"/>
  <c r="M46" i="27"/>
  <c r="Q40" i="32"/>
  <c r="R32" i="7" s="1"/>
  <c r="K57" i="7"/>
  <c r="K21" i="2" s="1"/>
  <c r="K22" i="2" s="1"/>
  <c r="K24" i="2" s="1"/>
  <c r="Q29" i="32"/>
  <c r="N48" i="35"/>
  <c r="N49" i="35" s="1"/>
  <c r="N47" i="36"/>
  <c r="Q40" i="28"/>
  <c r="R28" i="7" s="1"/>
  <c r="P41" i="22"/>
  <c r="P47" i="22" s="1"/>
  <c r="P48" i="22" s="1"/>
  <c r="Q47" i="39"/>
  <c r="O48" i="12"/>
  <c r="Q46" i="12"/>
  <c r="Q48" i="12" s="1"/>
  <c r="P47" i="41"/>
  <c r="P41" i="18"/>
  <c r="Q41" i="18" s="1"/>
  <c r="R18" i="7" s="1"/>
  <c r="O18" i="7"/>
  <c r="P18" i="7" s="1"/>
  <c r="B16" i="6" s="1"/>
  <c r="D16" i="6" s="1"/>
  <c r="E16" i="6" s="1"/>
  <c r="P48" i="12"/>
  <c r="Q39" i="36"/>
  <c r="O47" i="17"/>
  <c r="Q41" i="17"/>
  <c r="Q17" i="7" s="1"/>
  <c r="P38" i="21"/>
  <c r="Q28" i="21"/>
  <c r="P40" i="24"/>
  <c r="P41" i="24" s="1"/>
  <c r="P47" i="24" s="1"/>
  <c r="O24" i="7"/>
  <c r="P24" i="7" s="1"/>
  <c r="B22" i="6" s="1"/>
  <c r="D22" i="6" s="1"/>
  <c r="E22" i="6" s="1"/>
  <c r="O38" i="16"/>
  <c r="Q28" i="16"/>
  <c r="N41" i="28"/>
  <c r="P47" i="11"/>
  <c r="O38" i="21"/>
  <c r="D35" i="2"/>
  <c r="D39" i="2" s="1"/>
  <c r="E28" i="2" s="1"/>
  <c r="E9" i="3" s="1"/>
  <c r="P42" i="20"/>
  <c r="P48" i="20" s="1"/>
  <c r="P41" i="20"/>
  <c r="O20" i="7"/>
  <c r="P20" i="7" s="1"/>
  <c r="B18" i="6" s="1"/>
  <c r="D18" i="6" s="1"/>
  <c r="E18" i="6" s="1"/>
  <c r="Q40" i="20"/>
  <c r="Q40" i="34"/>
  <c r="R34" i="7" s="1"/>
  <c r="Q39" i="8"/>
  <c r="R8" i="7" s="1"/>
  <c r="P48" i="34"/>
  <c r="Q39" i="14"/>
  <c r="R14" i="7" s="1"/>
  <c r="O39" i="11"/>
  <c r="O40" i="11" s="1"/>
  <c r="N11" i="7"/>
  <c r="P11" i="7" s="1"/>
  <c r="N40" i="27"/>
  <c r="N46" i="27" s="1"/>
  <c r="O38" i="40"/>
  <c r="O39" i="40"/>
  <c r="N40" i="7"/>
  <c r="P40" i="7" s="1"/>
  <c r="Q40" i="23"/>
  <c r="R23" i="7" s="1"/>
  <c r="Q39" i="30"/>
  <c r="R30" i="7" s="1"/>
  <c r="O41" i="29"/>
  <c r="O42" i="29"/>
  <c r="N29" i="7"/>
  <c r="Q40" i="29"/>
  <c r="O40" i="30"/>
  <c r="Q28" i="15"/>
  <c r="Q38" i="11"/>
  <c r="P41" i="29"/>
  <c r="O29" i="7"/>
  <c r="P40" i="23"/>
  <c r="P41" i="23"/>
  <c r="P47" i="23" s="1"/>
  <c r="O23" i="7"/>
  <c r="P47" i="40"/>
  <c r="Q40" i="36"/>
  <c r="R36" i="7" s="1"/>
  <c r="O40" i="8"/>
  <c r="O46" i="8" s="1"/>
  <c r="O47" i="8" s="1"/>
  <c r="Q39" i="10"/>
  <c r="R10" i="7" s="1"/>
  <c r="O47" i="34"/>
  <c r="Q47" i="34" s="1"/>
  <c r="Q41" i="34"/>
  <c r="Q34" i="7" s="1"/>
  <c r="Q39" i="38"/>
  <c r="N47" i="37"/>
  <c r="N47" i="8"/>
  <c r="Q45" i="8"/>
  <c r="O41" i="24"/>
  <c r="L47" i="16"/>
  <c r="M57" i="7"/>
  <c r="M21" i="2" s="1"/>
  <c r="M22" i="2" s="1"/>
  <c r="M24" i="2" s="1"/>
  <c r="O46" i="14"/>
  <c r="Q40" i="14"/>
  <c r="Q14" i="7" s="1"/>
  <c r="N47" i="27"/>
  <c r="L47" i="15"/>
  <c r="P41" i="13"/>
  <c r="P47" i="13" s="1"/>
  <c r="P40" i="13"/>
  <c r="O13" i="7"/>
  <c r="P13" i="7" s="1"/>
  <c r="B11" i="6" s="1"/>
  <c r="D11" i="6" s="1"/>
  <c r="E11" i="6" s="1"/>
  <c r="Q39" i="13"/>
  <c r="P41" i="31"/>
  <c r="O31" i="7"/>
  <c r="P31" i="7" s="1"/>
  <c r="B29" i="6" s="1"/>
  <c r="D29" i="6" s="1"/>
  <c r="E29" i="6" s="1"/>
  <c r="Q40" i="31"/>
  <c r="N40" i="15"/>
  <c r="O40" i="15"/>
  <c r="O46" i="15" s="1"/>
  <c r="O39" i="15"/>
  <c r="N15" i="7"/>
  <c r="Q38" i="15"/>
  <c r="P41" i="35"/>
  <c r="O35" i="7"/>
  <c r="P35" i="7" s="1"/>
  <c r="B33" i="6" s="1"/>
  <c r="D33" i="6" s="1"/>
  <c r="E33" i="6" s="1"/>
  <c r="Q40" i="35"/>
  <c r="Q39" i="19"/>
  <c r="R19" i="7" s="1"/>
  <c r="O49" i="18"/>
  <c r="O48" i="32"/>
  <c r="P23" i="7" l="1"/>
  <c r="B21" i="6" s="1"/>
  <c r="D21" i="6" s="1"/>
  <c r="E21" i="6" s="1"/>
  <c r="O40" i="40"/>
  <c r="O46" i="40" s="1"/>
  <c r="Q46" i="40" s="1"/>
  <c r="O46" i="38"/>
  <c r="Q46" i="38" s="1"/>
  <c r="Q40" i="38"/>
  <c r="Q47" i="23"/>
  <c r="P29" i="7"/>
  <c r="B27" i="6" s="1"/>
  <c r="D27" i="6" s="1"/>
  <c r="E27" i="6" s="1"/>
  <c r="Q49" i="9"/>
  <c r="P48" i="26"/>
  <c r="Q42" i="26"/>
  <c r="Q26" i="7" s="1"/>
  <c r="Q48" i="20"/>
  <c r="P46" i="37"/>
  <c r="Q46" i="37" s="1"/>
  <c r="Q40" i="37"/>
  <c r="Q37" i="7" s="1"/>
  <c r="B9" i="6"/>
  <c r="D9" i="6" s="1"/>
  <c r="E9" i="6" s="1"/>
  <c r="Q40" i="7"/>
  <c r="R40" i="7" s="1"/>
  <c r="B38" i="6"/>
  <c r="D38" i="6" s="1"/>
  <c r="E38" i="6" s="1"/>
  <c r="Q41" i="31"/>
  <c r="R31" i="7" s="1"/>
  <c r="O46" i="11"/>
  <c r="Q46" i="11" s="1"/>
  <c r="Q40" i="11"/>
  <c r="Q11" i="7" s="1"/>
  <c r="O40" i="21"/>
  <c r="O46" i="21" s="1"/>
  <c r="O39" i="21"/>
  <c r="N21" i="7"/>
  <c r="Q38" i="21"/>
  <c r="O47" i="24"/>
  <c r="Q41" i="24"/>
  <c r="Q24" i="7" s="1"/>
  <c r="O46" i="30"/>
  <c r="Q40" i="30"/>
  <c r="Q30" i="7" s="1"/>
  <c r="M48" i="32"/>
  <c r="Q46" i="32"/>
  <c r="P42" i="31"/>
  <c r="P48" i="23"/>
  <c r="M48" i="23"/>
  <c r="Q46" i="23"/>
  <c r="Q39" i="11"/>
  <c r="R11" i="7" s="1"/>
  <c r="N48" i="36"/>
  <c r="N48" i="22"/>
  <c r="Q46" i="22"/>
  <c r="P33" i="7"/>
  <c r="B31" i="6" s="1"/>
  <c r="D31" i="6" s="1"/>
  <c r="E31" i="6" s="1"/>
  <c r="P40" i="15"/>
  <c r="P46" i="15" s="1"/>
  <c r="O47" i="19"/>
  <c r="Q45" i="19"/>
  <c r="O47" i="15"/>
  <c r="N47" i="10"/>
  <c r="Q45" i="10"/>
  <c r="Q47" i="10" s="1"/>
  <c r="Q39" i="15"/>
  <c r="R15" i="7" s="1"/>
  <c r="P49" i="20"/>
  <c r="M47" i="27"/>
  <c r="O40" i="27"/>
  <c r="O46" i="27" s="1"/>
  <c r="O47" i="27" s="1"/>
  <c r="Q46" i="14"/>
  <c r="P42" i="33"/>
  <c r="Q39" i="37"/>
  <c r="R37" i="7" s="1"/>
  <c r="O48" i="29"/>
  <c r="O47" i="14"/>
  <c r="Q45" i="14"/>
  <c r="N49" i="18"/>
  <c r="Q47" i="18"/>
  <c r="Q40" i="24"/>
  <c r="R24" i="7" s="1"/>
  <c r="Q40" i="40"/>
  <c r="Q41" i="20"/>
  <c r="R20" i="7" s="1"/>
  <c r="Q40" i="8"/>
  <c r="Q8" i="7" s="1"/>
  <c r="O41" i="33"/>
  <c r="N33" i="7"/>
  <c r="Q40" i="33"/>
  <c r="N47" i="13"/>
  <c r="Q47" i="13" s="1"/>
  <c r="Q41" i="13"/>
  <c r="Q13" i="7" s="1"/>
  <c r="Q41" i="23"/>
  <c r="Q23" i="7" s="1"/>
  <c r="P48" i="13"/>
  <c r="P42" i="29"/>
  <c r="P48" i="29" s="1"/>
  <c r="P49" i="29" s="1"/>
  <c r="Q41" i="29"/>
  <c r="R29" i="7" s="1"/>
  <c r="Q39" i="40"/>
  <c r="N47" i="28"/>
  <c r="Q47" i="28" s="1"/>
  <c r="Q41" i="28"/>
  <c r="Q28" i="7" s="1"/>
  <c r="O48" i="23"/>
  <c r="N49" i="20"/>
  <c r="Q47" i="20"/>
  <c r="Q49" i="20" s="1"/>
  <c r="Q46" i="8"/>
  <c r="Q47" i="8" s="1"/>
  <c r="D6" i="6"/>
  <c r="E6" i="6" s="1"/>
  <c r="N46" i="15"/>
  <c r="N47" i="15" s="1"/>
  <c r="O48" i="36"/>
  <c r="Q46" i="36"/>
  <c r="E11" i="3"/>
  <c r="E13" i="3" s="1"/>
  <c r="E15" i="3" s="1"/>
  <c r="E27" i="3" s="1"/>
  <c r="P39" i="21"/>
  <c r="P40" i="21" s="1"/>
  <c r="O21" i="7"/>
  <c r="P21" i="7" s="1"/>
  <c r="B19" i="6" s="1"/>
  <c r="D19" i="6" s="1"/>
  <c r="E19" i="6" s="1"/>
  <c r="Q42" i="20"/>
  <c r="Q20" i="7" s="1"/>
  <c r="Q40" i="13"/>
  <c r="R13" i="7" s="1"/>
  <c r="Q41" i="32"/>
  <c r="Q32" i="7" s="1"/>
  <c r="Q46" i="19"/>
  <c r="Q41" i="35"/>
  <c r="R35" i="7" s="1"/>
  <c r="Q45" i="15"/>
  <c r="O47" i="38"/>
  <c r="Q45" i="38"/>
  <c r="Q47" i="38" s="1"/>
  <c r="O39" i="16"/>
  <c r="O40" i="16" s="1"/>
  <c r="N16" i="7"/>
  <c r="Q38" i="16"/>
  <c r="N48" i="28"/>
  <c r="Q46" i="28"/>
  <c r="N48" i="13"/>
  <c r="Q46" i="13"/>
  <c r="Q48" i="13" s="1"/>
  <c r="Q47" i="32"/>
  <c r="Q41" i="22"/>
  <c r="Q22" i="7" s="1"/>
  <c r="P42" i="35"/>
  <c r="N47" i="30"/>
  <c r="Q45" i="30"/>
  <c r="O48" i="34"/>
  <c r="Q46" i="34"/>
  <c r="Q48" i="34" s="1"/>
  <c r="O48" i="17"/>
  <c r="Q47" i="17"/>
  <c r="Q48" i="17" s="1"/>
  <c r="P42" i="18"/>
  <c r="P47" i="16"/>
  <c r="P48" i="32"/>
  <c r="P41" i="36"/>
  <c r="P39" i="27"/>
  <c r="O27" i="7"/>
  <c r="P27" i="7" s="1"/>
  <c r="B25" i="6" s="1"/>
  <c r="D25" i="6" s="1"/>
  <c r="E25" i="6" s="1"/>
  <c r="Q38" i="27"/>
  <c r="P15" i="7"/>
  <c r="B13" i="6" s="1"/>
  <c r="D13" i="6" s="1"/>
  <c r="E13" i="6" s="1"/>
  <c r="Q47" i="22"/>
  <c r="Q48" i="29" l="1"/>
  <c r="Q48" i="32"/>
  <c r="Q42" i="29"/>
  <c r="Q29" i="7" s="1"/>
  <c r="N47" i="7"/>
  <c r="Q48" i="23"/>
  <c r="Q47" i="14"/>
  <c r="Q46" i="15"/>
  <c r="Q47" i="15" s="1"/>
  <c r="Q48" i="26"/>
  <c r="Q49" i="26" s="1"/>
  <c r="P49" i="26"/>
  <c r="E26" i="2"/>
  <c r="O46" i="16"/>
  <c r="Q46" i="16" s="1"/>
  <c r="Q40" i="16"/>
  <c r="Q16" i="7" s="1"/>
  <c r="Q41" i="33"/>
  <c r="R33" i="7" s="1"/>
  <c r="P48" i="24"/>
  <c r="Q46" i="24"/>
  <c r="Q45" i="21"/>
  <c r="Q39" i="21"/>
  <c r="R21" i="7" s="1"/>
  <c r="Q40" i="15"/>
  <c r="Q15" i="7" s="1"/>
  <c r="O42" i="33"/>
  <c r="O48" i="33" s="1"/>
  <c r="O45" i="7"/>
  <c r="O48" i="7" s="1"/>
  <c r="O54" i="7" s="1"/>
  <c r="O47" i="11"/>
  <c r="Q45" i="11"/>
  <c r="Q47" i="11" s="1"/>
  <c r="O47" i="21"/>
  <c r="Q39" i="27"/>
  <c r="R27" i="7" s="1"/>
  <c r="Q47" i="35"/>
  <c r="P46" i="21"/>
  <c r="Q46" i="21" s="1"/>
  <c r="Q40" i="21"/>
  <c r="Q21" i="7" s="1"/>
  <c r="P47" i="37"/>
  <c r="Q45" i="37"/>
  <c r="Q47" i="37" s="1"/>
  <c r="P40" i="27"/>
  <c r="N45" i="7"/>
  <c r="N48" i="7" s="1"/>
  <c r="P48" i="33"/>
  <c r="Q42" i="33"/>
  <c r="Q33" i="7" s="1"/>
  <c r="Q46" i="30"/>
  <c r="Q47" i="30" s="1"/>
  <c r="O47" i="30"/>
  <c r="P47" i="36"/>
  <c r="Q41" i="36"/>
  <c r="Q36" i="7" s="1"/>
  <c r="O47" i="40"/>
  <c r="Q45" i="40"/>
  <c r="Q47" i="40" s="1"/>
  <c r="Q48" i="22"/>
  <c r="P16" i="7"/>
  <c r="B14" i="6" s="1"/>
  <c r="D14" i="6" s="1"/>
  <c r="E14" i="6" s="1"/>
  <c r="Q39" i="16"/>
  <c r="R16" i="7" s="1"/>
  <c r="Q47" i="19"/>
  <c r="Q47" i="24"/>
  <c r="O48" i="24"/>
  <c r="O49" i="29"/>
  <c r="Q47" i="29"/>
  <c r="Q49" i="29" s="1"/>
  <c r="P47" i="15"/>
  <c r="Q47" i="31"/>
  <c r="P48" i="18"/>
  <c r="Q42" i="18"/>
  <c r="Q18" i="7" s="1"/>
  <c r="P48" i="35"/>
  <c r="Q48" i="35" s="1"/>
  <c r="Q42" i="35"/>
  <c r="Q35" i="7" s="1"/>
  <c r="Q48" i="28"/>
  <c r="O47" i="7"/>
  <c r="P48" i="31"/>
  <c r="Q48" i="31" s="1"/>
  <c r="Q42" i="31"/>
  <c r="Q31" i="7" s="1"/>
  <c r="P45" i="7" l="1"/>
  <c r="Q49" i="35"/>
  <c r="P49" i="35"/>
  <c r="Q47" i="21"/>
  <c r="R45" i="7"/>
  <c r="B43" i="6"/>
  <c r="D43" i="6" s="1"/>
  <c r="Q45" i="7"/>
  <c r="Q49" i="31"/>
  <c r="P46" i="27"/>
  <c r="Q46" i="27" s="1"/>
  <c r="Q40" i="27"/>
  <c r="Q27" i="7" s="1"/>
  <c r="O49" i="33"/>
  <c r="Q47" i="33"/>
  <c r="Q48" i="33"/>
  <c r="P49" i="33"/>
  <c r="P47" i="7"/>
  <c r="B60" i="6" s="1"/>
  <c r="D60" i="6" s="1"/>
  <c r="E60" i="6" s="1"/>
  <c r="P49" i="31"/>
  <c r="O47" i="16"/>
  <c r="Q45" i="16"/>
  <c r="Q47" i="16" s="1"/>
  <c r="Q45" i="27"/>
  <c r="Q47" i="27" s="1"/>
  <c r="Q48" i="18"/>
  <c r="Q49" i="18" s="1"/>
  <c r="P49" i="18"/>
  <c r="Q47" i="36"/>
  <c r="Q48" i="36" s="1"/>
  <c r="P48" i="36"/>
  <c r="P47" i="21"/>
  <c r="Q48" i="24"/>
  <c r="N54" i="7"/>
  <c r="P48" i="7"/>
  <c r="B61" i="6" s="1"/>
  <c r="D61" i="6" s="1"/>
  <c r="E61" i="6" s="1"/>
  <c r="E35" i="2"/>
  <c r="E39" i="2" s="1"/>
  <c r="F28" i="2" s="1"/>
  <c r="F9" i="3" s="1"/>
  <c r="P47" i="27" l="1"/>
  <c r="P54" i="7"/>
  <c r="N57" i="7"/>
  <c r="N21" i="2" s="1"/>
  <c r="B56" i="6"/>
  <c r="Q49" i="33"/>
  <c r="D56" i="6"/>
  <c r="E43" i="6"/>
  <c r="F11" i="3"/>
  <c r="F13" i="3" s="1"/>
  <c r="F15" i="3" s="1"/>
  <c r="F27" i="3" s="1"/>
  <c r="O57" i="7"/>
  <c r="O21" i="2" s="1"/>
  <c r="O22" i="2" s="1"/>
  <c r="O24" i="2" s="1"/>
  <c r="P53" i="7"/>
  <c r="F26" i="2" l="1"/>
  <c r="P57" i="7"/>
  <c r="N22" i="2"/>
  <c r="N24" i="2" s="1"/>
  <c r="P21" i="2"/>
  <c r="P22" i="2" s="1"/>
  <c r="Q24" i="2" s="1"/>
  <c r="P24" i="2" l="1"/>
  <c r="F35" i="2"/>
  <c r="F39" i="2" s="1"/>
  <c r="G28" i="2" s="1"/>
  <c r="G9" i="3" s="1"/>
  <c r="G11" i="3" l="1"/>
  <c r="G13" i="3" s="1"/>
  <c r="G15" i="3" s="1"/>
  <c r="G27" i="3" s="1"/>
  <c r="F5" i="1"/>
  <c r="G26" i="2" l="1"/>
  <c r="G35" i="2" l="1"/>
  <c r="G39" i="2" s="1"/>
  <c r="H28" i="2" s="1"/>
  <c r="H9" i="3" s="1"/>
  <c r="H11" i="3" l="1"/>
  <c r="H13" i="3" s="1"/>
  <c r="H15" i="3" s="1"/>
  <c r="H27" i="3" s="1"/>
  <c r="H26" i="2" l="1"/>
  <c r="H35" i="2" l="1"/>
  <c r="H39" i="2" s="1"/>
  <c r="I28" i="2" s="1"/>
  <c r="I9" i="3" s="1"/>
  <c r="I11" i="3" l="1"/>
  <c r="I13" i="3"/>
  <c r="I15" i="3" s="1"/>
  <c r="I27" i="3" s="1"/>
  <c r="I26" i="2" s="1"/>
  <c r="I35" i="2" s="1"/>
  <c r="I39" i="2" s="1"/>
  <c r="J28" i="2" s="1"/>
  <c r="J9" i="3" s="1"/>
  <c r="J11" i="3" l="1"/>
  <c r="J13" i="3"/>
  <c r="J15" i="3" s="1"/>
  <c r="J27" i="3" s="1"/>
  <c r="J26" i="2" s="1"/>
  <c r="J35" i="2" s="1"/>
  <c r="J39" i="2" s="1"/>
  <c r="K28" i="2" s="1"/>
  <c r="K9" i="3" s="1"/>
  <c r="K11" i="3" l="1"/>
  <c r="K13" i="3" s="1"/>
  <c r="K15" i="3" s="1"/>
  <c r="K27" i="3" s="1"/>
  <c r="K26" i="2" s="1"/>
  <c r="K35" i="2" s="1"/>
  <c r="K39" i="2" s="1"/>
  <c r="L28" i="2" s="1"/>
  <c r="L9" i="3" s="1"/>
  <c r="L11" i="3" l="1"/>
  <c r="L13" i="3" s="1"/>
  <c r="L15" i="3" s="1"/>
  <c r="L27" i="3" s="1"/>
  <c r="L26" i="2" s="1"/>
  <c r="L35" i="2" s="1"/>
  <c r="L39" i="2" s="1"/>
  <c r="M28" i="2" s="1"/>
  <c r="M9" i="3" s="1"/>
  <c r="M11" i="3" l="1"/>
  <c r="M13" i="3" s="1"/>
  <c r="M15" i="3" s="1"/>
  <c r="M27" i="3" s="1"/>
  <c r="M26" i="2" s="1"/>
  <c r="M35" i="2" s="1"/>
  <c r="M39" i="2" s="1"/>
  <c r="N28" i="2" s="1"/>
  <c r="N9" i="3" s="1"/>
  <c r="N11" i="3" l="1"/>
  <c r="N13" i="3" s="1"/>
  <c r="N15" i="3" s="1"/>
  <c r="N27" i="3" s="1"/>
  <c r="N26" i="2" s="1"/>
  <c r="N35" i="2" s="1"/>
  <c r="N39" i="2" s="1"/>
  <c r="O28" i="2" s="1"/>
  <c r="O9" i="3" s="1"/>
  <c r="O11" i="3" l="1"/>
  <c r="O13" i="3" s="1"/>
  <c r="O15" i="3" s="1"/>
  <c r="O27" i="3" s="1"/>
  <c r="O26" i="2" l="1"/>
  <c r="P27" i="3"/>
  <c r="F8" i="1" s="1"/>
  <c r="F12" i="1" s="1"/>
  <c r="O35" i="2" l="1"/>
  <c r="O39" i="2" s="1"/>
  <c r="P26" i="2"/>
  <c r="P35" i="2" s="1"/>
  <c r="P39" i="2" s="1"/>
</calcChain>
</file>

<file path=xl/sharedStrings.xml><?xml version="1.0" encoding="utf-8"?>
<sst xmlns="http://schemas.openxmlformats.org/spreadsheetml/2006/main" count="4028" uniqueCount="581">
  <si>
    <t>JANUARY 2020 THROUGH DECEMBER 2020</t>
  </si>
  <si>
    <t xml:space="preserve"> </t>
  </si>
  <si>
    <t>2020</t>
  </si>
  <si>
    <t>1. Over/(Under) Recovery for the Current Period (Form 42-2E, Line 5)</t>
  </si>
  <si>
    <t>2. Interest Provision (Form 42-3E, Line 10)</t>
  </si>
  <si>
    <t>3. Sum of Current Period Adjustments (Form 42-2E, Line 10)</t>
  </si>
  <si>
    <t/>
  </si>
  <si>
    <t>4. Actual/Estimated True-up to be refunded/(recovered)</t>
  </si>
  <si>
    <t>`</t>
  </si>
  <si>
    <t>Gulf Power Company</t>
  </si>
  <si>
    <t>Environmental Cost Recovery Clause (ECRC)</t>
  </si>
  <si>
    <t>January 2020 - December 2020</t>
  </si>
  <si>
    <t>Calculation of the Current Period Estimated True-Up Amount</t>
  </si>
  <si>
    <t>Current Period True-Up Amount</t>
  </si>
  <si>
    <t>(in Dollars)</t>
  </si>
  <si>
    <t>January</t>
  </si>
  <si>
    <t>February</t>
  </si>
  <si>
    <t xml:space="preserve">March 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</si>
  <si>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</si>
  <si>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</si>
  <si>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</si>
  <si>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</si>
  <si>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</si>
  <si>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</si>
  <si>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</si>
  <si>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</si>
  <si>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</si>
  <si>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</si>
  <si>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1.</t>
  </si>
  <si>
    <t>ECRC Revenues (Net of Revenue Taxes)</t>
  </si>
  <si>
    <t>2.</t>
  </si>
  <si>
    <t>True-Up Provision (Order No. PSC-2018-0594-FOF-EI)</t>
  </si>
  <si>
    <t>3.</t>
  </si>
  <si>
    <t>ECRC Revenues Applicable to Period (Lines 1 + 2)</t>
  </si>
  <si>
    <t>4.</t>
  </si>
  <si>
    <t>Jurisdictional ECRC Costs</t>
  </si>
  <si>
    <t>a. O&amp;M Activities (Form 42-5E-2, Line 9)</t>
  </si>
  <si>
    <t>O &amp; M Activities (Schedule 5E, Line 9)</t>
  </si>
  <si>
    <t>b. Capital Investment Projects (Form 42-7E-2, Line 8)</t>
  </si>
  <si>
    <t>Capital Investment Programs (Schedule 7E, Line 9)</t>
  </si>
  <si>
    <t>c. Total  Jurisdictional ECRC Costs</t>
  </si>
  <si>
    <t>Total Jurisdictional ECRC Costs</t>
  </si>
  <si>
    <t>Check</t>
  </si>
  <si>
    <t>Over/(Under) Recovery (Line 3 - Line 4c)</t>
  </si>
  <si>
    <t>Prior Period True-Up to be (Collected)/Refunded</t>
  </si>
  <si>
    <t>a. Deferred True-Up (Form 42-1A, Line 7)</t>
  </si>
  <si>
    <t>Actual Total for True-Up Period 2019</t>
  </si>
  <si>
    <t>Final True-Up from January 2018 - December 2018 (a)</t>
  </si>
  <si>
    <t>(Order No. PSC-2019-0500-FOF-EI)</t>
  </si>
  <si>
    <t>True-Up Collected/(Refunded) (see Line 2)</t>
  </si>
  <si>
    <t>End of Period Total True-Up (Lines 5 + 6 + 7a + 7b + 8)</t>
  </si>
  <si>
    <t>Adjustments to Period Total True-Up Including Interest</t>
  </si>
  <si>
    <t>End of Period Total True-Up (Lines 9 + 10)</t>
  </si>
  <si>
    <t xml:space="preserve">Notes: </t>
  </si>
  <si>
    <t xml:space="preserve">The adjustment in March 2020  are carrying costs related to the deferred amortization for the reclassification associated with Plant Smith and Plant Scholz pond closure projects </t>
  </si>
  <si>
    <t xml:space="preserve">  1</t>
  </si>
  <si>
    <t>Beg. True-Up Amount (Form 42-2E, Lines 7 + 7a)</t>
  </si>
  <si>
    <t xml:space="preserve">  2</t>
  </si>
  <si>
    <t>Ending True-Up Amount Before Interest</t>
  </si>
  <si>
    <t>(Line 1 + Form 42-2E, Lines 5 + 8)</t>
  </si>
  <si>
    <t xml:space="preserve">  3</t>
  </si>
  <si>
    <t>Total of Beginning &amp; Ending True-up (Lines 1 + 2)</t>
  </si>
  <si>
    <t xml:space="preserve">  4</t>
  </si>
  <si>
    <t>Average True-Up Amount (Line 3 x 1/2)</t>
  </si>
  <si>
    <t xml:space="preserve">  5</t>
  </si>
  <si>
    <r>
      <t>Interest Rate (First Day of Reporting Business Month)</t>
    </r>
    <r>
      <rPr>
        <vertAlign val="superscript"/>
        <sz val="10"/>
        <rFont val="Arial"/>
        <family val="2"/>
      </rPr>
      <t>1</t>
    </r>
  </si>
  <si>
    <t xml:space="preserve">  6</t>
  </si>
  <si>
    <r>
      <t>Interest Rate (First Day of Subsequent Business Month)</t>
    </r>
    <r>
      <rPr>
        <vertAlign val="superscript"/>
        <sz val="10"/>
        <rFont val="Arial"/>
        <family val="2"/>
      </rPr>
      <t>1</t>
    </r>
  </si>
  <si>
    <t xml:space="preserve">  7</t>
  </si>
  <si>
    <t>Total of Beginning and Ending Interest Rates (Line 5 + Line 6)</t>
  </si>
  <si>
    <t xml:space="preserve">  8</t>
  </si>
  <si>
    <t>Average Interest Rate (Line 7 x 1/2)</t>
  </si>
  <si>
    <t xml:space="preserve">  9</t>
  </si>
  <si>
    <t>Monthly Average Interest Rate (Line 8 x 1/12)</t>
  </si>
  <si>
    <t xml:space="preserve"> 10</t>
  </si>
  <si>
    <t>Interest Provision for the Month (Line 4 x Line 9)</t>
  </si>
  <si>
    <t>Notes:</t>
  </si>
  <si>
    <t>Actual interest rates are developed using the AA financial 30-day rates as published by the Federal Reserve.  Estimated interest rates are based on the actual rates for May.</t>
  </si>
  <si>
    <t>VARIANCE REPORT OF O&amp;M ACTIVITIES</t>
  </si>
  <si>
    <t>(1)</t>
  </si>
  <si>
    <t>(2)</t>
  </si>
  <si>
    <t>(3)</t>
  </si>
  <si>
    <t>(4)</t>
  </si>
  <si>
    <t>(5)</t>
  </si>
  <si>
    <t>O&amp;M PROJECT #</t>
  </si>
  <si>
    <r>
      <t>ECRC - 2020 Actual Estimated Filing</t>
    </r>
    <r>
      <rPr>
        <vertAlign val="superscript"/>
        <sz val="8"/>
        <rFont val="Arial"/>
        <family val="2"/>
      </rPr>
      <t xml:space="preserve"> (a)</t>
    </r>
  </si>
  <si>
    <r>
      <t>ECRC - 2020 Projection Filing</t>
    </r>
    <r>
      <rPr>
        <vertAlign val="superscript"/>
        <sz val="8"/>
        <rFont val="Arial"/>
        <family val="2"/>
      </rPr>
      <t xml:space="preserve"> (b)</t>
    </r>
  </si>
  <si>
    <r>
      <t>Dif ECRC - 2020 Projection Filing</t>
    </r>
    <r>
      <rPr>
        <vertAlign val="superscript"/>
        <sz val="8"/>
        <rFont val="Arial"/>
        <family val="2"/>
      </rPr>
      <t xml:space="preserve"> (c)</t>
    </r>
  </si>
  <si>
    <r>
      <t>% Dif ECRC - Projection Filing</t>
    </r>
    <r>
      <rPr>
        <vertAlign val="superscript"/>
        <sz val="8"/>
        <rFont val="Arial"/>
        <family val="2"/>
      </rPr>
      <t xml:space="preserve"> (d)</t>
    </r>
  </si>
  <si>
    <t>1 - Sulfur</t>
  </si>
  <si>
    <t>2 - Air Emission Fees</t>
  </si>
  <si>
    <t>3 - Title V</t>
  </si>
  <si>
    <t>4 - Asbestos Fees</t>
  </si>
  <si>
    <t>5 - Emission Monitoring</t>
  </si>
  <si>
    <t>6 - General Water Quality</t>
  </si>
  <si>
    <t>7 - Groundwater Contamination Investigation</t>
  </si>
  <si>
    <t>8 - State NPDES Administration</t>
  </si>
  <si>
    <t>9 - Lead and Copper Rule</t>
  </si>
  <si>
    <t>10 - Env Auditing/Assessment</t>
  </si>
  <si>
    <t>11 - General Solid &amp; Hazardous Waste</t>
  </si>
  <si>
    <t>12 - Above Ground Storage Tanks</t>
  </si>
  <si>
    <t>13 - Low NOx</t>
  </si>
  <si>
    <t>14 - Ash Pond Diversion Curtains</t>
  </si>
  <si>
    <t>15 - Mercury Emissions</t>
  </si>
  <si>
    <t>16 - Sodium Injection</t>
  </si>
  <si>
    <t>17 - Gulf Coast Ozone Study</t>
  </si>
  <si>
    <t>18 - SPCC Substation Project</t>
  </si>
  <si>
    <t>19 - FDEP NOx Reduction Agreement</t>
  </si>
  <si>
    <t>20 - Air Quality Compliance Program</t>
  </si>
  <si>
    <t>21 - MACT ICR</t>
  </si>
  <si>
    <t>22 - Crist Water Conservation</t>
  </si>
  <si>
    <t xml:space="preserve">23 - Coal Combustion Residual </t>
  </si>
  <si>
    <t xml:space="preserve">24 - Smith Water Conservation </t>
  </si>
  <si>
    <t>25 - Mercury Allowances</t>
  </si>
  <si>
    <t>26 - Annual NOx Allowances</t>
  </si>
  <si>
    <t>27 - Seasonal NOx Allowances</t>
  </si>
  <si>
    <t>28 - SO2 Allowances</t>
  </si>
  <si>
    <t>Total</t>
  </si>
  <si>
    <r>
      <rPr>
        <vertAlign val="superscript"/>
        <sz val="8"/>
        <rFont val="Arial"/>
        <family val="2"/>
      </rPr>
      <t xml:space="preserve">(a) </t>
    </r>
    <r>
      <rPr>
        <sz val="8"/>
        <rFont val="Arial"/>
        <family val="2"/>
      </rPr>
      <t>The 12-Month Totals on Form 42-5E</t>
    </r>
  </si>
  <si>
    <r>
      <rPr>
        <vertAlign val="superscript"/>
        <sz val="8"/>
        <rFont val="Arial"/>
        <family val="2"/>
      </rPr>
      <t xml:space="preserve">(b) </t>
    </r>
    <r>
      <rPr>
        <sz val="8"/>
        <rFont val="Arial"/>
        <family val="2"/>
      </rPr>
      <t>As approved in Order No. PSC-2019-0500-FOF-EI issued November 22, 2019</t>
    </r>
  </si>
  <si>
    <r>
      <rPr>
        <vertAlign val="superscript"/>
        <sz val="8"/>
        <rFont val="Arial"/>
        <family val="2"/>
      </rPr>
      <t xml:space="preserve">(c) </t>
    </r>
    <r>
      <rPr>
        <sz val="8"/>
        <rFont val="Arial"/>
        <family val="2"/>
      </rPr>
      <t>Column (2) - Column (3)</t>
    </r>
  </si>
  <si>
    <r>
      <rPr>
        <vertAlign val="superscript"/>
        <sz val="8"/>
        <rFont val="Arial"/>
        <family val="2"/>
      </rPr>
      <t xml:space="preserve">(d) </t>
    </r>
    <r>
      <rPr>
        <sz val="8"/>
        <rFont val="Arial"/>
        <family val="2"/>
      </rPr>
      <t>Column (4) / Column (3)</t>
    </r>
  </si>
  <si>
    <t>O&amp;M ACTIVITIES</t>
  </si>
  <si>
    <t>O &amp; M Project</t>
  </si>
  <si>
    <t xml:space="preserve">Twelve  Month </t>
  </si>
  <si>
    <t>Method of Classification</t>
  </si>
  <si>
    <t>Line</t>
  </si>
  <si>
    <t>Amount</t>
  </si>
  <si>
    <t>Demand</t>
  </si>
  <si>
    <t>Energy</t>
  </si>
  <si>
    <t>Description of O &amp; M Activities</t>
  </si>
  <si>
    <t>Sulfur</t>
  </si>
  <si>
    <t>Air Emission Fees</t>
  </si>
  <si>
    <t>Title V</t>
  </si>
  <si>
    <t>Asbestos Fees</t>
  </si>
  <si>
    <t>Emission Monitoring</t>
  </si>
  <si>
    <t>General Water Quality</t>
  </si>
  <si>
    <t>Groundwater Contamination Investigation</t>
  </si>
  <si>
    <t>State NPDES Administration</t>
  </si>
  <si>
    <t>Lead &amp; Copper Rule</t>
  </si>
  <si>
    <t>Environmental Auditing/Assessment</t>
  </si>
  <si>
    <t>General Solid &amp; Hazardous Waste</t>
  </si>
  <si>
    <t>Above Ground Storage Tanks</t>
  </si>
  <si>
    <t>Low NOx</t>
  </si>
  <si>
    <t>Ash Pond Diversion Curtains</t>
  </si>
  <si>
    <t>Mercury Emissions</t>
  </si>
  <si>
    <t>Sodium Injection</t>
  </si>
  <si>
    <t>Gulf Coast Ozone Study</t>
  </si>
  <si>
    <t>SPCC Substation Project</t>
  </si>
  <si>
    <t>FDEP NOx Reduction Agreement</t>
  </si>
  <si>
    <t>Air Quality Compliance Program</t>
  </si>
  <si>
    <t>MACT ICR</t>
  </si>
  <si>
    <t>Crist Water Conservation</t>
  </si>
  <si>
    <t>Coal Combustion Residuals</t>
  </si>
  <si>
    <t>Smith Water Conservation</t>
  </si>
  <si>
    <t>Mercury Allowances</t>
  </si>
  <si>
    <t>Annual NOx Allowances</t>
  </si>
  <si>
    <t>Seasonal NOx Allowances</t>
  </si>
  <si>
    <t>SO2 Allowances</t>
  </si>
  <si>
    <t>Total of O &amp; M Activities</t>
  </si>
  <si>
    <t>Recoverable Costs Allocated to Energy</t>
  </si>
  <si>
    <t>Recoverable Costs Allocated to Demand</t>
  </si>
  <si>
    <t>Retail Energy Jurisdictional Factor</t>
  </si>
  <si>
    <t>Retail Demand Jurisdictional Factor</t>
  </si>
  <si>
    <t>Jurisdictional Energy Recoverable Costs (A)</t>
  </si>
  <si>
    <t>Jurisdictional Demand Recoverable Costs (B)</t>
  </si>
  <si>
    <t>Total Jurisdictional Recoverable Costs</t>
  </si>
  <si>
    <t>for O &amp; M Activities (Lines 7 + 8)</t>
  </si>
  <si>
    <t>(A)</t>
  </si>
  <si>
    <t>Line 3 x Line 5 x line loss multiplier</t>
  </si>
  <si>
    <t>(B)</t>
  </si>
  <si>
    <t>Line 4 x Line 6</t>
  </si>
  <si>
    <t xml:space="preserve">© </t>
  </si>
  <si>
    <t>VARIANCE REPORT OF CAPITAL INVESTMENT PROJECTS - RECOVERABLE COSTS</t>
  </si>
  <si>
    <t>Capital Project #</t>
  </si>
  <si>
    <t>ECRC - 2020 Actual Estimated Filing (a)</t>
  </si>
  <si>
    <t>ECRC - 2020 Projection Filing (b)</t>
  </si>
  <si>
    <t>Dif ECRC - 2020 Projection Filing (c)</t>
  </si>
  <si>
    <t>% Dif ECRC - 2020 Projection Filing (d)</t>
  </si>
  <si>
    <t>1 - Air Quality Assurance Testing</t>
  </si>
  <si>
    <t>2 - Crist 5, 6 &amp; 7 Precipitator Projects</t>
  </si>
  <si>
    <t>3 - Crist 7 Flue Gas Conditioning</t>
  </si>
  <si>
    <t>4 - Low NOx Burners, Crist 6 &amp; 7</t>
  </si>
  <si>
    <t>5 - CEMS - Plants Crist, &amp; Daniel</t>
  </si>
  <si>
    <t>6 - Substation Contamination Remediation</t>
  </si>
  <si>
    <t>7 - Raw Water Well Flowmeters - Plants Crist &amp; Smith</t>
  </si>
  <si>
    <t>8 - Crist Cooling Tower Cell</t>
  </si>
  <si>
    <t>9 - Crist Dechlorination System</t>
  </si>
  <si>
    <t>10 - Crist Diesel Fuel Oil Remediation</t>
  </si>
  <si>
    <t>11 - Crist Bulk Tanker Unload Sec Contain Struc.</t>
  </si>
  <si>
    <t>12 - Crist IWW Sampling System</t>
  </si>
  <si>
    <t>13 - Sodium Injection System</t>
  </si>
  <si>
    <t>14 - Smith Stormwater Collection System</t>
  </si>
  <si>
    <t>15 - Smith Waste Water Treatment Facility</t>
  </si>
  <si>
    <t>16 - Daniel Ash Management Project</t>
  </si>
  <si>
    <t>17 - Smith Water Conservation</t>
  </si>
  <si>
    <t>18 - Underground Fuel Tank Replacement</t>
  </si>
  <si>
    <t>19 - Crist FDEP Agreement for Ozone Attainment</t>
  </si>
  <si>
    <t>20 - SPCC Compliance</t>
  </si>
  <si>
    <t>21 - Crist Common FTIR Monitor</t>
  </si>
  <si>
    <t>22 - Precipitator Upgrades for CAM Compliance</t>
  </si>
  <si>
    <t>23 - Plant Groundwater Contamination</t>
  </si>
  <si>
    <t>24 - Crist Water Conservation</t>
  </si>
  <si>
    <t>25 - Plant NPDES Permit Compliance Projects</t>
  </si>
  <si>
    <t>26 - Air Quality Compliance Program</t>
  </si>
  <si>
    <t>27 - General Water Quality</t>
  </si>
  <si>
    <t xml:space="preserve">28 - Coal Combustion Residual </t>
  </si>
  <si>
    <t>29 - Steam Electric Effluent Limitations Guidelines</t>
  </si>
  <si>
    <t xml:space="preserve">30 - 316(b) Cooling Water Intake Structure Regulation </t>
  </si>
  <si>
    <t>31 - Mercury Allowances</t>
  </si>
  <si>
    <t>32 - Annual NOx Allowances</t>
  </si>
  <si>
    <t>33 - Seasonal NOx Allowances</t>
  </si>
  <si>
    <t>34 - SO2 Allowances</t>
  </si>
  <si>
    <t xml:space="preserve">35 - Scherer/Flint Credit - Energy </t>
  </si>
  <si>
    <t xml:space="preserve">36 - Scherer/Flint Credit - Demand </t>
  </si>
  <si>
    <t xml:space="preserve">37 - Regulatory Asset Smith Units 1 &amp; 2 </t>
  </si>
  <si>
    <r>
      <rPr>
        <vertAlign val="superscript"/>
        <sz val="8"/>
        <rFont val="Arial"/>
        <family val="2"/>
      </rPr>
      <t xml:space="preserve">(a) </t>
    </r>
    <r>
      <rPr>
        <sz val="8"/>
        <rFont val="Arial"/>
        <family val="2"/>
      </rPr>
      <t>The 12-Month Totals on Form 42-7E</t>
    </r>
  </si>
  <si>
    <t>Check Figure (Line 2 - 3 - 4)</t>
  </si>
  <si>
    <t>CAPITAL INVESTMENT PROJECTS-RECOVERABLE COSTS</t>
  </si>
  <si>
    <r>
      <t>Capital Project</t>
    </r>
    <r>
      <rPr>
        <vertAlign val="superscript"/>
        <sz val="8"/>
        <color theme="1"/>
        <rFont val="Arial"/>
        <family val="2"/>
      </rPr>
      <t>(a)</t>
    </r>
  </si>
  <si>
    <t>Description of Capital Investment Projects</t>
  </si>
  <si>
    <t>Air Quality Assurance Testing</t>
  </si>
  <si>
    <t>Crist 5, 6 &amp; 7 Precipitator Projects</t>
  </si>
  <si>
    <t>Crist 7 Flue Gas Conditioning</t>
  </si>
  <si>
    <t>Low NOx Burners, Crist 6 &amp; 7</t>
  </si>
  <si>
    <t>CEMS - Plants Crist &amp; Daniel</t>
  </si>
  <si>
    <t>Substation Contamination Remediation</t>
  </si>
  <si>
    <t>Raw Water Well Flowmeters - Plants Crist &amp; Smith</t>
  </si>
  <si>
    <t>Crist Cooling Tower Cell</t>
  </si>
  <si>
    <t>Crist Dechlorination System</t>
  </si>
  <si>
    <t>Crist Diesel Fuel Oil Remediation</t>
  </si>
  <si>
    <t>Crist Bulk Tanker Unloading Secondary Containment</t>
  </si>
  <si>
    <t>Crist IWW Sampling System</t>
  </si>
  <si>
    <t>Sodium Injection System</t>
  </si>
  <si>
    <t>Smith Stormwater Collection System</t>
  </si>
  <si>
    <t>Smith Waste Water Treatment Facility</t>
  </si>
  <si>
    <t>Daniel Ash Management Project</t>
  </si>
  <si>
    <t>Underground Fuel Tank Replacement</t>
  </si>
  <si>
    <t>Crist FDEP Agreement for Ozone Attainment</t>
  </si>
  <si>
    <t>SPCC Compliance</t>
  </si>
  <si>
    <t>Crist Common FTIR Monitor</t>
  </si>
  <si>
    <t>Precipitator Upgrades for CAM Compliance</t>
  </si>
  <si>
    <t>Plant Groundwater Investigation</t>
  </si>
  <si>
    <t>Plant NPDES Permit Compliance Projects</t>
  </si>
  <si>
    <t xml:space="preserve">Steam Electric Effluent Limitations Guidelines </t>
  </si>
  <si>
    <t xml:space="preserve">316(B) Intake Structure Regulation </t>
  </si>
  <si>
    <t xml:space="preserve">Scherer/Flint Credit - Energy </t>
  </si>
  <si>
    <t xml:space="preserve">Scherer/Flint Credit - Demand </t>
  </si>
  <si>
    <t>Regulatory Asset Smith Units 1 &amp; 2</t>
  </si>
  <si>
    <t>Total Investment Programs - Recoverable Costs</t>
  </si>
  <si>
    <t>Jurisdictional Energy Recoverable Costs (B)</t>
  </si>
  <si>
    <t>Jurisdictional Demand Recoverable Costs (C)</t>
  </si>
  <si>
    <t>for Investment Programs (Lines 7 + 8)</t>
  </si>
  <si>
    <t>Pages 1-30 of FORM 42- 8E (Line 14), Pages 31-34 (Line 14), and Page 35 (Line 12)</t>
  </si>
  <si>
    <t xml:space="preserve">Line 3 x Line 5 x Line loss multiplier </t>
  </si>
  <si>
    <t>(C)</t>
  </si>
  <si>
    <t>For Program:  Air Quality Assurance Testing</t>
  </si>
  <si>
    <t>Beginning of</t>
  </si>
  <si>
    <t>Twelve Month</t>
  </si>
  <si>
    <t>Description</t>
  </si>
  <si>
    <t>Period Amount</t>
  </si>
  <si>
    <t>Investments</t>
  </si>
  <si>
    <t>a</t>
  </si>
  <si>
    <t>Expenditures/Additions</t>
  </si>
  <si>
    <t>b</t>
  </si>
  <si>
    <t>Clearings to Plant</t>
  </si>
  <si>
    <t>c</t>
  </si>
  <si>
    <t>Retirements</t>
  </si>
  <si>
    <t>d</t>
  </si>
  <si>
    <t>Other</t>
  </si>
  <si>
    <t>e</t>
  </si>
  <si>
    <t>Salvage</t>
  </si>
  <si>
    <t>Plant-in-Service/Depreciation Base (B)</t>
  </si>
  <si>
    <t>Less:  Accumulated Depreciation (C)</t>
  </si>
  <si>
    <t>CWIP - Non Interest Bearing</t>
  </si>
  <si>
    <t>Net Investment (Lines 2 + 3 + 4) (A)</t>
  </si>
  <si>
    <t>Average Net Investment</t>
  </si>
  <si>
    <t>Return on Average Net Investment</t>
  </si>
  <si>
    <t>Equity Component (Line 6 x Equity Component x 1/12) (D)</t>
  </si>
  <si>
    <t>Debt Component (Line 6 x Debt Component x 1/12)</t>
  </si>
  <si>
    <t>Investment Expenses</t>
  </si>
  <si>
    <t>Depreciation (E)</t>
  </si>
  <si>
    <t>Amortization (F)</t>
  </si>
  <si>
    <t>Dismantlement</t>
  </si>
  <si>
    <t>Property Taxes</t>
  </si>
  <si>
    <t>Other (G)</t>
  </si>
  <si>
    <t>Total System Recoverable Expenses (Lines 7 + 8)</t>
  </si>
  <si>
    <t>Energy Jurisdictional Factor (J)</t>
  </si>
  <si>
    <t>Demand Jurisdictional Factor (K)</t>
  </si>
  <si>
    <t>Retail Energy-Related Recoverable Costs (H)</t>
  </si>
  <si>
    <t>Retail Demand-Related Recoverable Costs (I)</t>
  </si>
  <si>
    <t>Total Jurisdictional Recoverable Costs (Lines 12 + 13)</t>
  </si>
  <si>
    <t>Description and reason for 'Other' adjustments to net investment for this program, if applicable.</t>
  </si>
  <si>
    <t>Applicable beginning of period and end of period depreciable base by production plant name(s), unit(s), or plant account(s).</t>
  </si>
  <si>
    <t>Description of Adjustments to Reserve for Gross Salvage and Other Recoveries and Cost of Removal.</t>
  </si>
  <si>
    <t>(D)</t>
  </si>
  <si>
    <t xml:space="preserve">The equity component has been grossed up for taxes.  The approved ROE is 10.25%. </t>
  </si>
  <si>
    <t>(E)</t>
  </si>
  <si>
    <t>Applicable depreciation rate or rates.</t>
  </si>
  <si>
    <t>(F)</t>
  </si>
  <si>
    <t>Applicable amortization period.</t>
  </si>
  <si>
    <t>(G)</t>
  </si>
  <si>
    <t>Description and reason for "Other" adjustments to investment expenses for this program.</t>
  </si>
  <si>
    <t>(H)</t>
  </si>
  <si>
    <t>Line 9a x Line 10 x line loss multiplier</t>
  </si>
  <si>
    <t>(I)</t>
  </si>
  <si>
    <t>Line 9b x Line 11.</t>
  </si>
  <si>
    <t>(J)</t>
  </si>
  <si>
    <t xml:space="preserve">The energy jurisdictional factors for each month are the same as that used in the fuel clause, or 100%, pending final calculation of the stratified jurisdictional energy factors. </t>
  </si>
  <si>
    <t>(K)</t>
  </si>
  <si>
    <t>The demand jurisdictional is based upon Gulf Power’s 2018 Cost of Service Load Research Study results filed with the Commission in accordance with Rule 25-6.0437, F.A.C.</t>
  </si>
  <si>
    <t>For Program:  Crist 5, 6 &amp; 7 Precipitator Programs</t>
  </si>
  <si>
    <t>PIS Adjustment</t>
  </si>
  <si>
    <t>f</t>
  </si>
  <si>
    <t xml:space="preserve">Accumulated Depreciation Adjustment </t>
  </si>
  <si>
    <t>3b</t>
  </si>
  <si>
    <t>Less: Capital Recovery Unamortized Balance</t>
  </si>
  <si>
    <t>For Program:  Crist 7 Flue Gas Conditioning</t>
  </si>
  <si>
    <t>For Program:  Low NOx Burners, Crist 6 &amp; 7</t>
  </si>
  <si>
    <t>For Program:  CEMS - Plants Crist &amp; Daniel</t>
  </si>
  <si>
    <t>Accumulated Depreciation Adjustment</t>
  </si>
  <si>
    <t>Due to automation of Gulf Clause schedules and corresponding calculations, we have made adjustments to Plant in Service and Depreciation expense in order properly account for all ECRC capital costs.</t>
  </si>
  <si>
    <t>For Program:  Substation Contamination Remediation</t>
  </si>
  <si>
    <t>For Program:  Raw Water Well Flowmeters - Plants Crist &amp; Smith</t>
  </si>
  <si>
    <t>For Program:  Crist Cooling Tower Cell</t>
  </si>
  <si>
    <t>For Program:  Crist Dechlorination System</t>
  </si>
  <si>
    <t>For Program:  Crist Diesel Fuel Oil Remediation</t>
  </si>
  <si>
    <t>Prior period adjustment to reserve balance made in May 2020.</t>
  </si>
  <si>
    <t>For Program:  Crist Bulk Tanker Unloading Secondary Containment</t>
  </si>
  <si>
    <t>For Program:  Crist IWW Sampling System</t>
  </si>
  <si>
    <t>For Program:  Sodium Injection System</t>
  </si>
  <si>
    <t>For Program:  Smith Stormwater Collection System</t>
  </si>
  <si>
    <t>For Program:  Smith Waste Water Treatment Facility</t>
  </si>
  <si>
    <t>Timing of CWIP transfers, under the new automated data environment, creates the need for catchup adjustments until fully implemented.</t>
  </si>
  <si>
    <t>For Program:  Daniel Ash Management Program</t>
  </si>
  <si>
    <t>For Program:  Smith Water Conservation</t>
  </si>
  <si>
    <t>For Program:  Underground Fuel Tank Replacement</t>
  </si>
  <si>
    <t>For Program:  Crist FDEP Agreement for Ozone Attainment</t>
  </si>
  <si>
    <t>Adjustment to reserve balance in January and June 2020.</t>
  </si>
  <si>
    <t>For Program:  SPCC Compliance</t>
  </si>
  <si>
    <t>For Program:  Crist Common FTIR Monitor</t>
  </si>
  <si>
    <t>For Program:  Precipitator Upgrades for CAM Compliance</t>
  </si>
  <si>
    <t xml:space="preserve">PIS Adjustment </t>
  </si>
  <si>
    <t xml:space="preserve">Accumulated Deprecation Adjustment </t>
  </si>
  <si>
    <t>For Program:  Plant Groundwater Investigation</t>
  </si>
  <si>
    <t>For Program: Crist Water Conservation Program</t>
  </si>
  <si>
    <t>For Program:  Plant NPDES Permit Compliance Programs</t>
  </si>
  <si>
    <t xml:space="preserve">For Program:  Air Quality Compliance Program </t>
  </si>
  <si>
    <t>PIS Adjustments</t>
  </si>
  <si>
    <t>Accumulated Depreciation Adjustments</t>
  </si>
  <si>
    <t>For Program:  General Water Quality</t>
  </si>
  <si>
    <t>Crist Closed Ash Landfill Reg Asset</t>
  </si>
  <si>
    <t>Month Year</t>
  </si>
  <si>
    <t>Beginning GL Balance</t>
  </si>
  <si>
    <t>Current Month Spend</t>
  </si>
  <si>
    <t>Monthly Amortization</t>
  </si>
  <si>
    <t>Ending GL Balance</t>
  </si>
  <si>
    <t xml:space="preserve">For Program:  Coal Combustion Residuals </t>
  </si>
  <si>
    <t xml:space="preserve">Ash Pond Closure Regulatory Asset </t>
  </si>
  <si>
    <t xml:space="preserve">Scholz </t>
  </si>
  <si>
    <t xml:space="preserve">Smith </t>
  </si>
  <si>
    <t xml:space="preserve">For Program:  Steam Electric Effluent Limitations Guidelines </t>
  </si>
  <si>
    <t xml:space="preserve">For Program:  316(b) Intake Structure Regulation </t>
  </si>
  <si>
    <t>Return on Working Capital, Annual NOx Expenses</t>
  </si>
  <si>
    <t>For Project:  Annual NOx Allowances</t>
  </si>
  <si>
    <t>Purchases/Transfers</t>
  </si>
  <si>
    <t>Sales/Transfers</t>
  </si>
  <si>
    <t>Auction Proceeds/Other</t>
  </si>
  <si>
    <t>Working Capital</t>
  </si>
  <si>
    <t>FERC 158.1 Allowance Inventory</t>
  </si>
  <si>
    <t>FERC 158.2 Allowances Withheld</t>
  </si>
  <si>
    <t>FERC 182.3 Other Reg. Assets - Losses</t>
  </si>
  <si>
    <t>FERC 254 Regulatory Liabilities - Gains</t>
  </si>
  <si>
    <t>Total Working Capital Balance</t>
  </si>
  <si>
    <t>Average Net Working Capital Balance</t>
  </si>
  <si>
    <t>Return on Average Net Working Capital Balance</t>
  </si>
  <si>
    <t>Equity Component (Line 4 x Equity Component x 1/12) (A)</t>
  </si>
  <si>
    <t>Debt Component (Line 4 x Debt Component x 1/12)</t>
  </si>
  <si>
    <t>Total Return Component (D)</t>
  </si>
  <si>
    <t>Expenses</t>
  </si>
  <si>
    <t>Gains</t>
  </si>
  <si>
    <t>Losses</t>
  </si>
  <si>
    <t>Annual NOx Allowance Expense</t>
  </si>
  <si>
    <t>Net Expenses (E)</t>
  </si>
  <si>
    <t>Total System Recoverable Expenses (Lines 6 + 8)</t>
  </si>
  <si>
    <t>Energy Jurisdictional Factor (F)</t>
  </si>
  <si>
    <t>Demand Jurisdictional Factor (G)</t>
  </si>
  <si>
    <t>Retail Energy-Related Recoverable Costs (B)</t>
  </si>
  <si>
    <t>Retail Demand-Related Recoverable Costs (C)</t>
  </si>
  <si>
    <t>Line 6 is reported on Schedule 3P.</t>
  </si>
  <si>
    <t>Line 8 is reported on Schedule 2P.</t>
  </si>
  <si>
    <t>Return on Working Capital, SO2 Expenses</t>
  </si>
  <si>
    <t>For Program:  SO2 Allowances</t>
  </si>
  <si>
    <t>SO2 Allowance Expense</t>
  </si>
  <si>
    <t>The demand jurisdictional factors for each month are based on actual 2018 retail kilowatt-hour sales expressed as a percentage of 2018 total territorial kilowatt-hour sales, pending final calculation of the stratified jurisdictional demand factors.</t>
  </si>
  <si>
    <t>Total System Recoverable Expenses (Line 8 ONLY)</t>
  </si>
  <si>
    <t>Calculation of the Current Period Estimated True-up Amount</t>
  </si>
  <si>
    <t>JANUARY 2020 THROUGH DECEMBER 2020</t>
  </si>
  <si>
    <t>Return on Working Capital, SO2 Allowance Expenses</t>
  </si>
  <si>
    <t>SO2 Allowances (Acid Rain)</t>
  </si>
  <si>
    <t xml:space="preserve">Actual </t>
  </si>
  <si>
    <t>Estimated</t>
  </si>
  <si>
    <t>Seasonal NOx Allowance Expense</t>
  </si>
  <si>
    <t>Line 9b x Line 11</t>
  </si>
  <si>
    <t>CSAPR SO2 Allowances</t>
  </si>
  <si>
    <t>Projected</t>
  </si>
  <si>
    <t>End of</t>
  </si>
  <si>
    <t>CAIR Seasonal NOx Allowance Expense</t>
  </si>
  <si>
    <t>Energy Jurisdictional Factor</t>
  </si>
  <si>
    <t>Demand Jurisdictional Factor</t>
  </si>
  <si>
    <t>Return on Working Capital, Seasonal NOx Expenses</t>
  </si>
  <si>
    <t>For Program:  Seasonal NOx Allowances</t>
  </si>
  <si>
    <t>Return on Working Capital, Amortization Expense</t>
  </si>
  <si>
    <t xml:space="preserve">For Program:  Regulatory Asset Smith Units 1 &amp; 2 </t>
  </si>
  <si>
    <t>For Retired P.E.s 1413, 1440, 1441, 1442, 1444, 1454, 1459, 1460, 1461, 1462, 1468, 1469, 1647, 1620, 1638</t>
  </si>
  <si>
    <t>12-Month</t>
  </si>
  <si>
    <t>Regulatory Asset Balance 182.2 (B)</t>
  </si>
  <si>
    <t>Less Amortization (C)</t>
  </si>
  <si>
    <t>Net Regulatory Asset Balance (Lines 1 + 2) (A)</t>
  </si>
  <si>
    <t>Average Regulatory Asset Balance</t>
  </si>
  <si>
    <t>Return on Average Regulatory Asset Balance</t>
  </si>
  <si>
    <t>Amortization Expense</t>
  </si>
  <si>
    <t>Other (F)</t>
  </si>
  <si>
    <t>Total System Recoverable Expenses (Lines 5 + 6)</t>
  </si>
  <si>
    <t>Energy Jurisdictional Factor (I)</t>
  </si>
  <si>
    <t>Demand Jurisdictional Factor (J)</t>
  </si>
  <si>
    <t>Retail Energy-Related Recoverable Costs (G)</t>
  </si>
  <si>
    <t>Retail Demand-Related Recoverable Costs (H)</t>
  </si>
  <si>
    <t>Total Jurisdictional Recoverable Costs (Lines 10 + 11)</t>
  </si>
  <si>
    <t>End of period Regulatory Asset Balance.</t>
  </si>
  <si>
    <t>Beginning of period Regulatory Asset Balance.</t>
  </si>
  <si>
    <t>Regulatory Asset has a 15 year amortization period.</t>
  </si>
  <si>
    <t>Description and reason for "Other" adjustments to regulatory asset.</t>
  </si>
  <si>
    <t>Line 7a x Line 8 x line loss multiplier</t>
  </si>
  <si>
    <t>Line 7b x Line 9.</t>
  </si>
  <si>
    <t>2020 Depreciation Schedule</t>
  </si>
  <si>
    <t>Project Number</t>
  </si>
  <si>
    <t>Project</t>
  </si>
  <si>
    <t>Plant</t>
  </si>
  <si>
    <t xml:space="preserve">Amortization /Depreciation </t>
  </si>
  <si>
    <t>CWIP</t>
  </si>
  <si>
    <t>AccDep</t>
  </si>
  <si>
    <t>AccDism</t>
  </si>
  <si>
    <t xml:space="preserve">Plant </t>
  </si>
  <si>
    <t xml:space="preserve">Monthly Depr Rate </t>
  </si>
  <si>
    <t>401-Air Quality Assurance Testing</t>
  </si>
  <si>
    <t>A</t>
  </si>
  <si>
    <t>402-Crist 5, 6 &amp; 7 Precipitator Projects</t>
  </si>
  <si>
    <t>Crist</t>
  </si>
  <si>
    <t>D</t>
  </si>
  <si>
    <t>403-Crist 7 Flue Gas Conditioning</t>
  </si>
  <si>
    <t>404-Low NOx Burners, Crist 6 &amp; 7</t>
  </si>
  <si>
    <t>Crist Amort</t>
  </si>
  <si>
    <t>405-CEMS - Plants Crist &amp; Daniel</t>
  </si>
  <si>
    <t>Daniel</t>
  </si>
  <si>
    <t>Daniel CEMs</t>
  </si>
  <si>
    <t>406-Substation Contamination Remediation</t>
  </si>
  <si>
    <t xml:space="preserve">Ft Walton </t>
  </si>
  <si>
    <t>Laguna</t>
  </si>
  <si>
    <t xml:space="preserve">Distribution </t>
  </si>
  <si>
    <t>407-Raw Water Well Flowmeters Plants Crist &amp; Smith</t>
  </si>
  <si>
    <t>Smith (355)</t>
  </si>
  <si>
    <t>408-Crist Cooling Tower Cell</t>
  </si>
  <si>
    <t>409-Crist Dechlorination System</t>
  </si>
  <si>
    <t>410-Crist Diesel Fuel Oil Remediation</t>
  </si>
  <si>
    <t>411-Crist Bulk Tanker Unloading Second Containment</t>
  </si>
  <si>
    <t>412-Crist IWW Sampling System</t>
  </si>
  <si>
    <t>413-Sodium Injection System</t>
  </si>
  <si>
    <t xml:space="preserve">Crist </t>
  </si>
  <si>
    <t>414-Smith Stormwater Collection System</t>
  </si>
  <si>
    <t>415-Smith Waste Water Treatment Facility</t>
  </si>
  <si>
    <t>416-Daniel Ash Management Project</t>
  </si>
  <si>
    <t xml:space="preserve">Daniel </t>
  </si>
  <si>
    <t>417-Smith Water Conservation</t>
  </si>
  <si>
    <t>418-Underground Fuel Tank Replacement</t>
  </si>
  <si>
    <t>419-Crist FDEP Agreement for Ozone Attainment</t>
  </si>
  <si>
    <t>420-SPCC Compliance</t>
  </si>
  <si>
    <t>Other Amort</t>
  </si>
  <si>
    <t>421-Crist Common FTIR Monitor</t>
  </si>
  <si>
    <t>422-Precipitator Upgrades for CAM Compliance</t>
  </si>
  <si>
    <t>423-Plant Groundwater Investigation</t>
  </si>
  <si>
    <t>424-Crist Water Conservation</t>
  </si>
  <si>
    <t>425-Plant NPDES Permit Compliance Projects</t>
  </si>
  <si>
    <t>426-Air Quality Compliance Program</t>
  </si>
  <si>
    <t>Crist SCR</t>
  </si>
  <si>
    <t>Crist SCR Amort</t>
  </si>
  <si>
    <t>Crist Scrubber</t>
  </si>
  <si>
    <t>Crist Scrubber Amort</t>
  </si>
  <si>
    <t>Crist Scrubber (353)</t>
  </si>
  <si>
    <t>Crist Scrubber (352)</t>
  </si>
  <si>
    <t>Crist Scrubber (354)</t>
  </si>
  <si>
    <t>Crist Scrubber (355)</t>
  </si>
  <si>
    <t>Crist Scrubber (356)</t>
  </si>
  <si>
    <t xml:space="preserve">Daniel 1 Scrubber </t>
  </si>
  <si>
    <t xml:space="preserve">Daniel 2 Scrubber </t>
  </si>
  <si>
    <t>Scherer</t>
  </si>
  <si>
    <t>Scherer Scrubber</t>
  </si>
  <si>
    <t>Scherer Scrubber Amort</t>
  </si>
  <si>
    <t>Scherer Scrubber (352)</t>
  </si>
  <si>
    <t>Scherer Scrubber (353)</t>
  </si>
  <si>
    <t>Scherer Baghouse</t>
  </si>
  <si>
    <t>Scherer SCR</t>
  </si>
  <si>
    <t>Scholz</t>
  </si>
  <si>
    <t>427-General Water Quality</t>
  </si>
  <si>
    <t>Crist Sampling Boat</t>
  </si>
  <si>
    <t>428-Coal Combustion Residuals</t>
  </si>
  <si>
    <t>L</t>
  </si>
  <si>
    <t>Smith</t>
  </si>
  <si>
    <t xml:space="preserve">Smith Pond Closure </t>
  </si>
  <si>
    <t>Scholz Pond Closure</t>
  </si>
  <si>
    <t>CCR-C</t>
  </si>
  <si>
    <t>CCR-D</t>
  </si>
  <si>
    <t>CCR-S</t>
  </si>
  <si>
    <t>429-Steam Electric Effluent Limitations Guidelines</t>
  </si>
  <si>
    <t xml:space="preserve">430-316(B) Intake Structure Regulation </t>
  </si>
  <si>
    <t>Page 1 of 2</t>
  </si>
  <si>
    <t>January 2020 - June 2020</t>
  </si>
  <si>
    <t>FPSC Capital Structure and Cost Rates</t>
  </si>
  <si>
    <t xml:space="preserve">   (1)</t>
  </si>
  <si>
    <t>(6)</t>
  </si>
  <si>
    <t xml:space="preserve"> Monthly    </t>
  </si>
  <si>
    <t xml:space="preserve">Jurisdictional  </t>
  </si>
  <si>
    <t xml:space="preserve"> Revenue   </t>
  </si>
  <si>
    <t xml:space="preserve">   Rate Base    </t>
  </si>
  <si>
    <t xml:space="preserve">Cost  </t>
  </si>
  <si>
    <t>Weighted</t>
  </si>
  <si>
    <t>Requirement</t>
  </si>
  <si>
    <t>Capital Component</t>
  </si>
  <si>
    <t>Test Year</t>
  </si>
  <si>
    <t>Ratio</t>
  </si>
  <si>
    <t xml:space="preserve"> Rate  </t>
  </si>
  <si>
    <t>Cost Rate</t>
  </si>
  <si>
    <t xml:space="preserve">   Rate       </t>
  </si>
  <si>
    <t xml:space="preserve">($000's)    </t>
  </si>
  <si>
    <t xml:space="preserve">%   </t>
  </si>
  <si>
    <t xml:space="preserve">Original </t>
  </si>
  <si>
    <t xml:space="preserve">Adjusted </t>
  </si>
  <si>
    <t>Adjustment</t>
  </si>
  <si>
    <t>1</t>
  </si>
  <si>
    <t>Bonds</t>
  </si>
  <si>
    <t>2</t>
  </si>
  <si>
    <t>Short-Term Debt</t>
  </si>
  <si>
    <t>3</t>
  </si>
  <si>
    <t>Preferred Stock</t>
  </si>
  <si>
    <t>4</t>
  </si>
  <si>
    <t>Common Stock</t>
  </si>
  <si>
    <t>Equity Ratio - Investor Sources Only</t>
  </si>
  <si>
    <t>5</t>
  </si>
  <si>
    <t>Customer Deposits</t>
  </si>
  <si>
    <t>6</t>
  </si>
  <si>
    <t>Deferred Taxes</t>
  </si>
  <si>
    <t>7</t>
  </si>
  <si>
    <t>Investment Tax Credit</t>
  </si>
  <si>
    <t>ITC Component:</t>
  </si>
  <si>
    <t>Debt</t>
  </si>
  <si>
    <t>Equity-Preferred</t>
  </si>
  <si>
    <t xml:space="preserve">           -Common</t>
  </si>
  <si>
    <t>Breakdown of Revenue Requirement Rate of Return between Debt and Equity:</t>
  </si>
  <si>
    <t>Total Debt Component (Lines 1, 2, 5, and 9)</t>
  </si>
  <si>
    <t>Total Equity Component (Lines 3, 4, 10, and 11)</t>
  </si>
  <si>
    <t>Total Revenue Requirement Rate of Return</t>
  </si>
  <si>
    <t>Column:</t>
  </si>
  <si>
    <t>Based on the May 2019 Surveillance Report, Schedule 4.</t>
  </si>
  <si>
    <t xml:space="preserve">Adjusted to achieve the 53.5% equity ratio as prescribed in the 2018 Tax Reform Settlement </t>
  </si>
  <si>
    <t>Agreement in Docket No. 20180039-EI.</t>
  </si>
  <si>
    <t>Column (1) / Total Column (1)</t>
  </si>
  <si>
    <t>Column (2) x Column (3)</t>
  </si>
  <si>
    <t>For equity components:  Column (4) / (1-.245218);  24.5218% = effective income tax rate</t>
  </si>
  <si>
    <t>For debt components:  Column (4)</t>
  </si>
  <si>
    <t>Column (5) /12</t>
  </si>
  <si>
    <t>Effective Tax Rate:</t>
  </si>
  <si>
    <t>Revenue Expansion Factor:</t>
  </si>
  <si>
    <t>FPSC Assessment Fee</t>
  </si>
  <si>
    <t>Form 42-9E</t>
  </si>
  <si>
    <t>Page 2 of 2</t>
  </si>
  <si>
    <t>July 2020 - December 2020</t>
  </si>
  <si>
    <t>Long-Term Debt</t>
  </si>
  <si>
    <t>Based on the May 2020 Surveillance Report, Schedule 4.</t>
  </si>
  <si>
    <t>Interest Provision (Schedule 3E, Line 10)</t>
  </si>
  <si>
    <t>Return on Capital Investments, Depreciation and Taxes</t>
  </si>
  <si>
    <t>Form42-8E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</si>
</sst>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"/>
    <numFmt numFmtId="166" formatCode="mm/dd/yy_)"/>
    <numFmt numFmtId="167" formatCode="hh:mm\ AM/PM_)"/>
    <numFmt numFmtId="168" formatCode="0_)"/>
    <numFmt numFmtId="169" formatCode="#,##0.00000_);\(#,##0.00000\)"/>
    <numFmt numFmtId="170" formatCode="\$#,##0_);\(\$#,##0\);\$0_)"/>
    <numFmt numFmtId="171" formatCode="0.000%"/>
    <numFmt numFmtId="172" formatCode="0.0000_)"/>
    <numFmt numFmtId="173" formatCode="0.000000_)"/>
    <numFmt numFmtId="174" formatCode="0.00000_)"/>
    <numFmt numFmtId="175" formatCode="#,##0.00_);[Red]\(#,##0.00\);&quot; &quot;"/>
    <numFmt numFmtId="176" formatCode="#,##0.00000%_);[Red]\(#,##0.00000%\);&quot; &quot;"/>
    <numFmt numFmtId="177" formatCode="#,##0.0%_);\(#,##0.0%\);&quot; &quot;"/>
    <numFmt numFmtId="178" formatCode="#,##0.0_);\(#,##0.0\)"/>
    <numFmt numFmtId="179" formatCode="0.0%"/>
    <numFmt numFmtId="180" formatCode="0.0000000_)"/>
    <numFmt numFmtId="181" formatCode="#,##0.000000_);\(#,##0.000000\)"/>
    <numFmt numFmtId="182" formatCode="0.0000%"/>
    <numFmt numFmtId="183" formatCode="0_);\(0\)"/>
    <numFmt numFmtId="184" formatCode="_(* #,##0_);_(* \(#,##0\);_(* &quot;-&quot;??_);_(@_)"/>
    <numFmt numFmtId="185" formatCode="_(* #,##0.00_);_(* \(#,##0.00\);_(* &quot;-&quot;_);_(@_)"/>
    <numFmt numFmtId="186" formatCode="#,##0.0000000_);\(#,##0.0000000\)"/>
    <numFmt numFmtId="187" formatCode="#,##0.0000_);\(#,##0.0000\)"/>
    <numFmt numFmtId="188" formatCode="#,##0_);[Red]\(#,##0\);&quot; &quot;"/>
    <numFmt numFmtId="189" formatCode="#,##0.000_);\(#,##0.000\)"/>
  </numFmts>
  <fonts count="2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color theme="1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u val="double"/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u val="doub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0">
    <xf numFmtId="37" fontId="0" fillId="0" borderId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5" fillId="0" borderId="0"/>
    <xf numFmtId="187" fontId="15" fillId="0" borderId="0"/>
    <xf numFmtId="187" fontId="15" fillId="0" borderId="0"/>
    <xf numFmtId="9" fontId="15" fillId="0" borderId="0" applyFont="0" applyFill="0" applyBorder="0" applyAlignment="0" applyProtection="0"/>
    <xf numFmtId="0" fontId="1" fillId="0" borderId="0"/>
  </cellStyleXfs>
  <cellXfs count="343">
    <xf numFmtId="37" fontId="0" fillId="0" borderId="0" xfId="0"/>
    <xf numFmtId="37" fontId="2" fillId="0" borderId="0" xfId="0" applyFont="1"/>
    <xf numFmtId="37" fontId="3" fillId="0" borderId="0" xfId="0" quotePrefix="1" applyFont="1" applyAlignment="1">
      <alignment horizontal="right"/>
    </xf>
    <xf numFmtId="37" fontId="4" fillId="0" borderId="1" xfId="0" applyFont="1" applyBorder="1" applyAlignment="1">
      <alignment horizontal="center"/>
    </xf>
    <xf numFmtId="37" fontId="0" fillId="0" borderId="2" xfId="0" applyBorder="1"/>
    <xf numFmtId="37" fontId="5" fillId="0" borderId="0" xfId="0" applyFont="1" applyAlignment="1">
      <alignment horizontal="center"/>
    </xf>
    <xf numFmtId="37" fontId="2" fillId="0" borderId="3" xfId="0" applyFont="1" applyBorder="1"/>
    <xf numFmtId="37" fontId="0" fillId="0" borderId="3" xfId="0" applyBorder="1"/>
    <xf numFmtId="37" fontId="6" fillId="0" borderId="4" xfId="0" applyFont="1" applyBorder="1" applyAlignment="1">
      <alignment horizontal="center" vertical="center" wrapText="1"/>
    </xf>
    <xf numFmtId="37" fontId="6" fillId="0" borderId="5" xfId="0" quotePrefix="1" applyFont="1" applyBorder="1" applyAlignment="1">
      <alignment horizontal="center" vertical="center" wrapText="1"/>
    </xf>
    <xf numFmtId="37" fontId="2" fillId="0" borderId="0" xfId="0" applyFont="1" applyAlignment="1">
      <alignment horizontal="right"/>
    </xf>
    <xf numFmtId="37" fontId="2" fillId="0" borderId="0" xfId="0" quotePrefix="1" applyFont="1" applyAlignment="1">
      <alignment horizontal="left"/>
    </xf>
    <xf numFmtId="164" fontId="2" fillId="0" borderId="0" xfId="3" applyNumberFormat="1" applyFont="1" applyAlignment="1">
      <alignment horizontal="center"/>
    </xf>
    <xf numFmtId="37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7" fontId="6" fillId="0" borderId="0" xfId="0" applyFont="1" applyAlignment="1">
      <alignment horizontal="left"/>
    </xf>
    <xf numFmtId="37" fontId="2" fillId="0" borderId="0" xfId="0" quotePrefix="1" applyFont="1" applyAlignment="1" applyProtection="1">
      <alignment horizontal="left"/>
      <protection locked="0"/>
    </xf>
    <xf numFmtId="37" fontId="7" fillId="0" borderId="0" xfId="0" applyFont="1" applyAlignment="1">
      <alignment horizontal="left"/>
    </xf>
    <xf numFmtId="164" fontId="2" fillId="0" borderId="6" xfId="3" applyNumberFormat="1" applyFont="1" applyBorder="1" applyAlignment="1">
      <alignment horizontal="center"/>
    </xf>
    <xf numFmtId="37" fontId="2" fillId="0" borderId="0" xfId="0" quotePrefix="1" applyFont="1" applyAlignment="1">
      <alignment horizontal="center"/>
    </xf>
    <xf numFmtId="37" fontId="2" fillId="0" borderId="0" xfId="0" applyFont="1" applyAlignment="1" applyProtection="1">
      <alignment horizontal="left"/>
      <protection locked="0"/>
    </xf>
    <xf numFmtId="37" fontId="2" fillId="0" borderId="0" xfId="0" quotePrefix="1" applyFont="1"/>
    <xf numFmtId="37" fontId="2" fillId="0" borderId="0" xfId="0" applyFont="1" applyAlignment="1">
      <alignment horizontal="left" indent="2"/>
    </xf>
    <xf numFmtId="37" fontId="2" fillId="0" borderId="0" xfId="0" applyFont="1" applyAlignment="1">
      <alignment horizontal="left"/>
    </xf>
    <xf numFmtId="39" fontId="2" fillId="0" borderId="0" xfId="0" applyNumberFormat="1" applyFont="1"/>
    <xf numFmtId="37" fontId="5" fillId="0" borderId="0" xfId="0" applyFont="1"/>
    <xf numFmtId="165" fontId="2" fillId="0" borderId="0" xfId="0" applyNumberFormat="1" applyFont="1"/>
    <xf numFmtId="37" fontId="6" fillId="0" borderId="0" xfId="0" applyFont="1"/>
    <xf numFmtId="166" fontId="6" fillId="0" borderId="0" xfId="0" applyNumberFormat="1" applyFont="1" applyAlignment="1">
      <alignment horizontal="left"/>
    </xf>
    <xf numFmtId="37" fontId="8" fillId="0" borderId="0" xfId="0" applyFont="1"/>
    <xf numFmtId="37" fontId="8" fillId="0" borderId="0" xfId="0" quotePrefix="1" applyFont="1" applyAlignment="1">
      <alignment horizontal="left"/>
    </xf>
    <xf numFmtId="37" fontId="6" fillId="0" borderId="7" xfId="0" applyFont="1" applyBorder="1"/>
    <xf numFmtId="167" fontId="6" fillId="0" borderId="7" xfId="0" applyNumberFormat="1" applyFont="1" applyBorder="1" applyAlignment="1">
      <alignment horizontal="left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168" fontId="8" fillId="0" borderId="0" xfId="0" applyNumberFormat="1" applyFont="1"/>
    <xf numFmtId="168" fontId="6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/>
    </xf>
    <xf numFmtId="37" fontId="8" fillId="0" borderId="0" xfId="0" applyFont="1" applyAlignment="1">
      <alignment horizontal="centerContinuous"/>
    </xf>
    <xf numFmtId="168" fontId="6" fillId="0" borderId="0" xfId="0" applyNumberFormat="1" applyFont="1" applyAlignment="1">
      <alignment horizontal="centerContinuous"/>
    </xf>
    <xf numFmtId="169" fontId="6" fillId="0" borderId="0" xfId="0" applyNumberFormat="1" applyFont="1"/>
    <xf numFmtId="37" fontId="6" fillId="0" borderId="7" xfId="0" applyFont="1" applyBorder="1" applyAlignment="1">
      <alignment horizontal="center"/>
    </xf>
    <xf numFmtId="37" fontId="6" fillId="0" borderId="8" xfId="0" applyFont="1" applyBorder="1"/>
    <xf numFmtId="37" fontId="6" fillId="0" borderId="0" xfId="0" applyFont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37" fontId="6" fillId="0" borderId="10" xfId="0" applyFont="1" applyBorder="1" applyAlignment="1">
      <alignment horizontal="center"/>
    </xf>
    <xf numFmtId="37" fontId="10" fillId="0" borderId="11" xfId="0" applyFont="1" applyBorder="1" applyAlignment="1">
      <alignment horizontal="left"/>
    </xf>
    <xf numFmtId="37" fontId="10" fillId="0" borderId="12" xfId="0" applyFont="1" applyBorder="1" applyAlignment="1">
      <alignment horizontal="center"/>
    </xf>
    <xf numFmtId="37" fontId="10" fillId="0" borderId="13" xfId="0" applyFont="1" applyBorder="1" applyAlignment="1">
      <alignment horizontal="center"/>
    </xf>
    <xf numFmtId="37" fontId="6" fillId="0" borderId="11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quotePrefix="1" applyFont="1" applyAlignment="1">
      <alignment horizontal="center"/>
    </xf>
    <xf numFmtId="170" fontId="6" fillId="0" borderId="0" xfId="0" applyNumberFormat="1" applyFont="1" applyAlignment="1">
      <alignment horizontal="right" wrapText="1"/>
    </xf>
    <xf numFmtId="170" fontId="6" fillId="0" borderId="7" xfId="0" applyNumberFormat="1" applyFont="1" applyBorder="1" applyAlignment="1">
      <alignment horizontal="right" wrapText="1"/>
    </xf>
    <xf numFmtId="170" fontId="6" fillId="0" borderId="15" xfId="0" applyNumberFormat="1" applyFont="1" applyBorder="1" applyAlignment="1">
      <alignment horizontal="right" wrapText="1"/>
    </xf>
    <xf numFmtId="37" fontId="6" fillId="0" borderId="0" xfId="0" quotePrefix="1" applyFont="1" applyAlignment="1">
      <alignment horizontal="left"/>
    </xf>
    <xf numFmtId="39" fontId="6" fillId="0" borderId="0" xfId="0" applyNumberFormat="1" applyFont="1"/>
    <xf numFmtId="37" fontId="6" fillId="0" borderId="0" xfId="0" applyFont="1" applyAlignment="1">
      <alignment vertical="top"/>
    </xf>
    <xf numFmtId="37" fontId="6" fillId="0" borderId="0" xfId="0" applyFont="1" applyAlignment="1">
      <alignment wrapText="1"/>
    </xf>
    <xf numFmtId="37" fontId="6" fillId="0" borderId="0" xfId="0" applyFont="1" applyAlignment="1" applyProtection="1">
      <alignment horizontal="left"/>
      <protection locked="0"/>
    </xf>
    <xf numFmtId="171" fontId="6" fillId="0" borderId="0" xfId="0" applyNumberFormat="1" applyFont="1"/>
    <xf numFmtId="170" fontId="6" fillId="0" borderId="16" xfId="0" applyNumberFormat="1" applyFont="1" applyBorder="1" applyAlignment="1">
      <alignment horizontal="right" wrapText="1"/>
    </xf>
    <xf numFmtId="37" fontId="6" fillId="0" borderId="0" xfId="0" applyFont="1" applyProtection="1">
      <protection locked="0"/>
    </xf>
    <xf numFmtId="37" fontId="6" fillId="0" borderId="0" xfId="0" applyFont="1" applyAlignment="1">
      <alignment horizontal="right"/>
    </xf>
    <xf numFmtId="37" fontId="10" fillId="0" borderId="0" xfId="0" applyFont="1" applyAlignment="1">
      <alignment horizontal="left"/>
    </xf>
    <xf numFmtId="172" fontId="6" fillId="0" borderId="0" xfId="0" applyNumberFormat="1" applyFont="1" applyProtection="1">
      <protection locked="0"/>
    </xf>
    <xf numFmtId="173" fontId="6" fillId="0" borderId="0" xfId="0" applyNumberFormat="1" applyFont="1"/>
    <xf numFmtId="172" fontId="6" fillId="0" borderId="0" xfId="0" applyNumberFormat="1" applyFont="1"/>
    <xf numFmtId="169" fontId="6" fillId="0" borderId="0" xfId="0" applyNumberFormat="1" applyFont="1" applyProtection="1">
      <protection locked="0"/>
    </xf>
    <xf numFmtId="174" fontId="6" fillId="0" borderId="0" xfId="0" applyNumberFormat="1" applyFont="1"/>
    <xf numFmtId="175" fontId="11" fillId="0" borderId="0" xfId="0" applyNumberFormat="1" applyFont="1" applyAlignment="1">
      <alignment horizontal="right"/>
    </xf>
    <xf numFmtId="37" fontId="6" fillId="0" borderId="17" xfId="0" applyFont="1" applyBorder="1"/>
    <xf numFmtId="37" fontId="6" fillId="0" borderId="15" xfId="0" applyFont="1" applyBorder="1"/>
    <xf numFmtId="37" fontId="6" fillId="0" borderId="15" xfId="0" applyFont="1" applyBorder="1" applyAlignment="1">
      <alignment horizontal="center"/>
    </xf>
    <xf numFmtId="37" fontId="6" fillId="0" borderId="17" xfId="0" applyFont="1" applyBorder="1" applyAlignment="1">
      <alignment horizontal="center"/>
    </xf>
    <xf numFmtId="37" fontId="6" fillId="0" borderId="18" xfId="0" applyFont="1" applyBorder="1" applyAlignment="1">
      <alignment horizontal="center"/>
    </xf>
    <xf numFmtId="37" fontId="6" fillId="0" borderId="19" xfId="0" applyFont="1" applyBorder="1" applyAlignment="1">
      <alignment horizontal="center"/>
    </xf>
    <xf numFmtId="37" fontId="10" fillId="0" borderId="20" xfId="0" applyFont="1" applyBorder="1" applyAlignment="1">
      <alignment horizontal="left"/>
    </xf>
    <xf numFmtId="37" fontId="10" fillId="0" borderId="7" xfId="0" applyFont="1" applyBorder="1" applyAlignment="1">
      <alignment horizontal="center"/>
    </xf>
    <xf numFmtId="37" fontId="10" fillId="0" borderId="21" xfId="0" applyFont="1" applyBorder="1" applyAlignment="1">
      <alignment horizontal="center"/>
    </xf>
    <xf numFmtId="37" fontId="6" fillId="0" borderId="20" xfId="0" applyFont="1" applyBorder="1" applyAlignment="1">
      <alignment horizontal="center"/>
    </xf>
    <xf numFmtId="37" fontId="6" fillId="0" borderId="22" xfId="0" applyFont="1" applyBorder="1" applyAlignment="1">
      <alignment horizontal="center"/>
    </xf>
    <xf numFmtId="37" fontId="6" fillId="0" borderId="21" xfId="0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/>
    <xf numFmtId="37" fontId="13" fillId="0" borderId="0" xfId="0" quotePrefix="1" applyFont="1" applyAlignment="1">
      <alignment horizontal="left"/>
    </xf>
    <xf numFmtId="37" fontId="4" fillId="0" borderId="2" xfId="0" applyFont="1" applyBorder="1"/>
    <xf numFmtId="37" fontId="4" fillId="0" borderId="0" xfId="0" applyFont="1"/>
    <xf numFmtId="37" fontId="4" fillId="0" borderId="23" xfId="0" applyFont="1" applyBorder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4" xfId="0" applyFont="1" applyBorder="1" applyAlignment="1">
      <alignment horizontal="center" vertical="center" wrapText="1"/>
    </xf>
    <xf numFmtId="37" fontId="4" fillId="0" borderId="25" xfId="0" applyFont="1" applyBorder="1" applyAlignment="1">
      <alignment horizontal="center" vertical="center" wrapText="1"/>
    </xf>
    <xf numFmtId="37" fontId="4" fillId="0" borderId="26" xfId="0" applyFont="1" applyBorder="1" applyAlignment="1">
      <alignment horizontal="center" vertical="center" wrapText="1"/>
    </xf>
    <xf numFmtId="37" fontId="13" fillId="0" borderId="0" xfId="5" applyFont="1"/>
    <xf numFmtId="164" fontId="13" fillId="0" borderId="0" xfId="5" applyNumberFormat="1" applyFont="1"/>
    <xf numFmtId="170" fontId="4" fillId="0" borderId="0" xfId="0" applyNumberFormat="1" applyFont="1" applyAlignment="1">
      <alignment horizontal="right" wrapText="1"/>
    </xf>
    <xf numFmtId="177" fontId="4" fillId="0" borderId="0" xfId="0" applyNumberFormat="1" applyFont="1" applyAlignment="1">
      <alignment horizontal="right"/>
    </xf>
    <xf numFmtId="178" fontId="13" fillId="0" borderId="0" xfId="5" applyNumberFormat="1" applyFont="1"/>
    <xf numFmtId="164" fontId="13" fillId="0" borderId="15" xfId="5" applyNumberFormat="1" applyFont="1" applyBorder="1"/>
    <xf numFmtId="170" fontId="4" fillId="0" borderId="15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horizontal="right"/>
    </xf>
    <xf numFmtId="37" fontId="13" fillId="0" borderId="15" xfId="5" applyFont="1" applyBorder="1"/>
    <xf numFmtId="179" fontId="13" fillId="0" borderId="0" xfId="5" applyNumberFormat="1" applyFont="1"/>
    <xf numFmtId="37" fontId="16" fillId="0" borderId="0" xfId="5" quotePrefix="1" applyFont="1" applyAlignment="1">
      <alignment horizontal="left"/>
    </xf>
    <xf numFmtId="37" fontId="17" fillId="0" borderId="0" xfId="0" quotePrefix="1" applyFont="1" applyAlignment="1">
      <alignment horizontal="right"/>
    </xf>
    <xf numFmtId="37" fontId="13" fillId="0" borderId="0" xfId="5" applyFont="1" applyAlignment="1">
      <alignment horizontal="left"/>
    </xf>
    <xf numFmtId="37" fontId="18" fillId="0" borderId="0" xfId="5" applyFont="1" applyAlignment="1">
      <alignment horizontal="centerContinuous"/>
    </xf>
    <xf numFmtId="37" fontId="13" fillId="0" borderId="0" xfId="5" applyFont="1" applyAlignment="1">
      <alignment horizontal="centerContinuous"/>
    </xf>
    <xf numFmtId="37" fontId="13" fillId="0" borderId="0" xfId="5" applyFont="1" applyAlignment="1">
      <alignment horizontal="center"/>
    </xf>
    <xf numFmtId="37" fontId="13" fillId="0" borderId="0" xfId="5" applyFont="1" applyAlignment="1">
      <alignment horizontal="center"/>
    </xf>
    <xf numFmtId="37" fontId="13" fillId="0" borderId="0" xfId="5" applyFont="1" applyAlignment="1">
      <alignment horizontal="left"/>
    </xf>
    <xf numFmtId="37" fontId="19" fillId="0" borderId="0" xfId="5" applyFont="1" applyAlignment="1">
      <alignment horizontal="center"/>
    </xf>
    <xf numFmtId="37" fontId="13" fillId="0" borderId="0" xfId="5" applyFont="1" applyAlignment="1">
      <alignment horizontal="center" wrapText="1"/>
    </xf>
    <xf numFmtId="37" fontId="13" fillId="0" borderId="0" xfId="5" applyFont="1" applyAlignment="1">
      <alignment horizontal="center" wrapText="1"/>
    </xf>
    <xf numFmtId="37" fontId="4" fillId="0" borderId="27" xfId="0" applyFont="1" applyBorder="1"/>
    <xf numFmtId="37" fontId="16" fillId="0" borderId="18" xfId="0" applyFont="1" applyBorder="1" applyAlignment="1">
      <alignment horizontal="center"/>
    </xf>
    <xf numFmtId="37" fontId="16" fillId="0" borderId="17" xfId="0" applyFont="1" applyBorder="1" applyAlignment="1">
      <alignment horizontal="center"/>
    </xf>
    <xf numFmtId="37" fontId="16" fillId="0" borderId="15" xfId="0" applyFont="1" applyBorder="1" applyAlignment="1">
      <alignment horizontal="center"/>
    </xf>
    <xf numFmtId="37" fontId="16" fillId="0" borderId="19" xfId="0" applyFont="1" applyBorder="1" applyAlignment="1">
      <alignment horizontal="center"/>
    </xf>
    <xf numFmtId="37" fontId="17" fillId="0" borderId="17" xfId="0" applyFont="1" applyBorder="1" applyAlignment="1">
      <alignment horizontal="center"/>
    </xf>
    <xf numFmtId="37" fontId="17" fillId="0" borderId="18" xfId="0" applyFont="1" applyBorder="1" applyAlignment="1">
      <alignment horizontal="center"/>
    </xf>
    <xf numFmtId="37" fontId="17" fillId="0" borderId="19" xfId="0" applyFont="1" applyBorder="1" applyAlignment="1">
      <alignment horizontal="center"/>
    </xf>
    <xf numFmtId="37" fontId="17" fillId="0" borderId="17" xfId="0" applyFont="1" applyBorder="1" applyAlignment="1">
      <alignment horizontal="center"/>
    </xf>
    <xf numFmtId="37" fontId="17" fillId="0" borderId="19" xfId="0" applyFont="1" applyBorder="1" applyAlignment="1">
      <alignment horizontal="center"/>
    </xf>
    <xf numFmtId="37" fontId="16" fillId="0" borderId="0" xfId="0" applyFont="1"/>
    <xf numFmtId="37" fontId="16" fillId="0" borderId="22" xfId="0" applyFont="1" applyBorder="1" applyAlignment="1">
      <alignment horizontal="center"/>
    </xf>
    <xf numFmtId="37" fontId="16" fillId="0" borderId="20" xfId="0" applyFont="1" applyBorder="1" applyAlignment="1">
      <alignment horizontal="center"/>
    </xf>
    <xf numFmtId="37" fontId="16" fillId="0" borderId="7" xfId="0" applyFont="1" applyBorder="1" applyAlignment="1">
      <alignment horizontal="center"/>
    </xf>
    <xf numFmtId="37" fontId="16" fillId="0" borderId="21" xfId="0" applyFont="1" applyBorder="1" applyAlignment="1">
      <alignment horizontal="center"/>
    </xf>
    <xf numFmtId="37" fontId="17" fillId="0" borderId="20" xfId="0" applyFont="1" applyBorder="1" applyAlignment="1">
      <alignment horizontal="center"/>
    </xf>
    <xf numFmtId="37" fontId="17" fillId="0" borderId="22" xfId="0" applyFont="1" applyBorder="1" applyAlignment="1">
      <alignment horizontal="center"/>
    </xf>
    <xf numFmtId="37" fontId="17" fillId="0" borderId="21" xfId="0" applyFont="1" applyBorder="1" applyAlignment="1">
      <alignment horizontal="center"/>
    </xf>
    <xf numFmtId="37" fontId="19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37" fontId="13" fillId="0" borderId="0" xfId="0" applyFont="1" applyAlignment="1">
      <alignment horizontal="right"/>
    </xf>
    <xf numFmtId="168" fontId="13" fillId="0" borderId="0" xfId="0" quotePrefix="1" applyNumberFormat="1" applyFont="1" applyAlignment="1">
      <alignment horizontal="center"/>
    </xf>
    <xf numFmtId="39" fontId="13" fillId="0" borderId="0" xfId="0" applyNumberFormat="1" applyFont="1"/>
    <xf numFmtId="168" fontId="13" fillId="0" borderId="0" xfId="0" quotePrefix="1" applyNumberFormat="1" applyFont="1" applyAlignment="1">
      <alignment horizontal="left"/>
    </xf>
    <xf numFmtId="37" fontId="13" fillId="0" borderId="0" xfId="0" quotePrefix="1" applyFont="1" applyAlignment="1">
      <alignment horizontal="right"/>
    </xf>
    <xf numFmtId="37" fontId="20" fillId="0" borderId="0" xfId="0" applyFont="1"/>
    <xf numFmtId="39" fontId="20" fillId="0" borderId="0" xfId="0" applyNumberFormat="1" applyFont="1"/>
    <xf numFmtId="168" fontId="21" fillId="0" borderId="0" xfId="0" applyNumberFormat="1" applyFont="1" applyAlignment="1">
      <alignment horizontal="center"/>
    </xf>
    <xf numFmtId="180" fontId="13" fillId="0" borderId="0" xfId="0" applyNumberFormat="1" applyFont="1"/>
    <xf numFmtId="180" fontId="13" fillId="0" borderId="0" xfId="0" applyNumberFormat="1" applyFont="1" applyAlignment="1">
      <alignment horizontal="right"/>
    </xf>
    <xf numFmtId="37" fontId="19" fillId="0" borderId="0" xfId="0" applyFont="1"/>
    <xf numFmtId="170" fontId="4" fillId="0" borderId="16" xfId="0" applyNumberFormat="1" applyFont="1" applyBorder="1" applyAlignment="1">
      <alignment horizontal="right" wrapText="1"/>
    </xf>
    <xf numFmtId="37" fontId="13" fillId="0" borderId="0" xfId="0" applyFont="1" applyAlignment="1" applyProtection="1">
      <alignment horizontal="left"/>
      <protection locked="0"/>
    </xf>
    <xf numFmtId="166" fontId="13" fillId="0" borderId="0" xfId="0" applyNumberFormat="1" applyFont="1" applyAlignment="1">
      <alignment horizontal="left"/>
    </xf>
    <xf numFmtId="37" fontId="13" fillId="0" borderId="0" xfId="0" quotePrefix="1" applyFont="1"/>
    <xf numFmtId="37" fontId="4" fillId="0" borderId="1" xfId="0" applyFont="1" applyBorder="1" applyAlignment="1">
      <alignment horizontal="center"/>
    </xf>
    <xf numFmtId="37" fontId="4" fillId="0" borderId="5" xfId="0" applyFont="1" applyBorder="1" applyAlignment="1">
      <alignment horizontal="center" vertical="center" wrapText="1"/>
    </xf>
    <xf numFmtId="37" fontId="4" fillId="0" borderId="0" xfId="5" applyFont="1" applyAlignment="1">
      <alignment horizontal="center"/>
    </xf>
    <xf numFmtId="37" fontId="19" fillId="0" borderId="0" xfId="5" applyFont="1"/>
    <xf numFmtId="37" fontId="13" fillId="0" borderId="28" xfId="5" applyFont="1" applyBorder="1"/>
    <xf numFmtId="37" fontId="13" fillId="0" borderId="29" xfId="5" applyFont="1" applyBorder="1"/>
    <xf numFmtId="37" fontId="20" fillId="0" borderId="0" xfId="5" applyFont="1"/>
    <xf numFmtId="37" fontId="13" fillId="0" borderId="0" xfId="5" applyFont="1" applyProtection="1">
      <protection locked="0"/>
    </xf>
    <xf numFmtId="37" fontId="4" fillId="0" borderId="15" xfId="0" applyFont="1" applyBorder="1" applyAlignment="1">
      <alignment horizontal="center"/>
    </xf>
    <xf numFmtId="37" fontId="13" fillId="0" borderId="18" xfId="0" applyFont="1" applyBorder="1" applyAlignment="1">
      <alignment horizontal="center"/>
    </xf>
    <xf numFmtId="37" fontId="13" fillId="0" borderId="17" xfId="0" applyFont="1" applyBorder="1" applyAlignment="1">
      <alignment horizontal="center"/>
    </xf>
    <xf numFmtId="37" fontId="13" fillId="0" borderId="19" xfId="0" applyFont="1" applyBorder="1"/>
    <xf numFmtId="37" fontId="4" fillId="0" borderId="17" xfId="0" applyFont="1" applyBorder="1" applyAlignment="1">
      <alignment horizontal="center"/>
    </xf>
    <xf numFmtId="37" fontId="4" fillId="0" borderId="18" xfId="0" applyFont="1" applyBorder="1" applyAlignment="1">
      <alignment horizontal="center"/>
    </xf>
    <xf numFmtId="37" fontId="4" fillId="0" borderId="19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19" xfId="0" applyFont="1" applyBorder="1" applyAlignment="1">
      <alignment horizontal="center"/>
    </xf>
    <xf numFmtId="37" fontId="13" fillId="0" borderId="22" xfId="0" applyFont="1" applyBorder="1" applyAlignment="1">
      <alignment horizontal="center"/>
    </xf>
    <xf numFmtId="37" fontId="13" fillId="0" borderId="20" xfId="0" applyFont="1" applyBorder="1" applyAlignment="1">
      <alignment horizontal="center"/>
    </xf>
    <xf numFmtId="37" fontId="13" fillId="0" borderId="21" xfId="0" applyFont="1" applyBorder="1" applyAlignment="1">
      <alignment horizontal="center"/>
    </xf>
    <xf numFmtId="37" fontId="4" fillId="0" borderId="20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9" fontId="13" fillId="0" borderId="0" xfId="4" applyFont="1"/>
    <xf numFmtId="168" fontId="13" fillId="0" borderId="0" xfId="0" applyNumberFormat="1" applyFont="1" applyAlignment="1">
      <alignment horizontal="right"/>
    </xf>
    <xf numFmtId="170" fontId="4" fillId="0" borderId="27" xfId="0" applyNumberFormat="1" applyFont="1" applyBorder="1" applyAlignment="1">
      <alignment horizontal="right" wrapText="1"/>
    </xf>
    <xf numFmtId="181" fontId="13" fillId="0" borderId="0" xfId="0" applyNumberFormat="1" applyFont="1"/>
    <xf numFmtId="37" fontId="13" fillId="2" borderId="0" xfId="0" applyFont="1" applyFill="1"/>
    <xf numFmtId="39" fontId="13" fillId="2" borderId="0" xfId="0" applyNumberFormat="1" applyFont="1" applyFill="1"/>
    <xf numFmtId="37" fontId="2" fillId="0" borderId="27" xfId="0" applyFont="1" applyBorder="1"/>
    <xf numFmtId="37" fontId="2" fillId="0" borderId="27" xfId="0" quotePrefix="1" applyFont="1" applyBorder="1" applyAlignment="1" applyProtection="1">
      <alignment horizontal="right"/>
      <protection locked="0"/>
    </xf>
    <xf numFmtId="37" fontId="3" fillId="0" borderId="0" xfId="0" applyFont="1" applyAlignment="1">
      <alignment horizontal="centerContinuous"/>
    </xf>
    <xf numFmtId="37" fontId="23" fillId="0" borderId="0" xfId="0" applyFont="1" applyAlignment="1">
      <alignment horizontal="centerContinuous"/>
    </xf>
    <xf numFmtId="37" fontId="2" fillId="0" borderId="0" xfId="0" applyFont="1" applyAlignment="1">
      <alignment horizontal="centerContinuous"/>
    </xf>
    <xf numFmtId="37" fontId="2" fillId="0" borderId="27" xfId="0" applyFont="1" applyBorder="1" applyAlignment="1" applyProtection="1">
      <alignment horizontal="centerContinuous"/>
      <protection locked="0"/>
    </xf>
    <xf numFmtId="37" fontId="2" fillId="0" borderId="27" xfId="0" applyFont="1" applyBorder="1" applyAlignment="1">
      <alignment horizontal="centerContinuous"/>
    </xf>
    <xf numFmtId="37" fontId="2" fillId="0" borderId="8" xfId="0" applyFont="1" applyBorder="1"/>
    <xf numFmtId="37" fontId="2" fillId="0" borderId="9" xfId="0" applyFont="1" applyBorder="1"/>
    <xf numFmtId="37" fontId="2" fillId="0" borderId="9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20" xfId="0" applyFont="1" applyBorder="1" applyAlignment="1">
      <alignment horizontal="center"/>
    </xf>
    <xf numFmtId="37" fontId="2" fillId="0" borderId="27" xfId="0" applyFont="1" applyBorder="1" applyAlignment="1">
      <alignment horizontal="center"/>
    </xf>
    <xf numFmtId="37" fontId="2" fillId="0" borderId="22" xfId="0" applyFont="1" applyBorder="1" applyAlignment="1">
      <alignment horizontal="center"/>
    </xf>
    <xf numFmtId="37" fontId="2" fillId="0" borderId="21" xfId="0" applyFont="1" applyBorder="1" applyAlignment="1">
      <alignment horizontal="center"/>
    </xf>
    <xf numFmtId="37" fontId="2" fillId="0" borderId="30" xfId="0" applyFont="1" applyBorder="1"/>
    <xf numFmtId="37" fontId="2" fillId="0" borderId="0" xfId="0" applyFont="1" applyAlignment="1" applyProtection="1">
      <alignment horizontal="center"/>
      <protection locked="0"/>
    </xf>
    <xf numFmtId="182" fontId="2" fillId="0" borderId="0" xfId="0" applyNumberFormat="1" applyFont="1"/>
    <xf numFmtId="37" fontId="2" fillId="0" borderId="0" xfId="0" applyFont="1" applyProtection="1">
      <protection locked="0"/>
    </xf>
    <xf numFmtId="180" fontId="2" fillId="0" borderId="0" xfId="0" applyNumberFormat="1" applyFont="1"/>
    <xf numFmtId="37" fontId="2" fillId="0" borderId="31" xfId="0" applyFont="1" applyBorder="1"/>
    <xf numFmtId="37" fontId="24" fillId="0" borderId="0" xfId="0" applyFont="1"/>
    <xf numFmtId="37" fontId="2" fillId="0" borderId="0" xfId="0" applyFont="1" applyAlignment="1" applyProtection="1">
      <alignment horizontal="centerContinuous"/>
      <protection locked="0"/>
    </xf>
    <xf numFmtId="37" fontId="5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 horizontal="left"/>
      <protection locked="0"/>
    </xf>
    <xf numFmtId="183" fontId="2" fillId="0" borderId="0" xfId="0" applyNumberFormat="1" applyFont="1" applyAlignment="1">
      <alignment horizontal="left"/>
    </xf>
    <xf numFmtId="37" fontId="5" fillId="0" borderId="0" xfId="0" applyFont="1" applyAlignment="1">
      <alignment horizontal="left"/>
    </xf>
    <xf numFmtId="37" fontId="2" fillId="0" borderId="0" xfId="0" applyFont="1" applyAlignment="1">
      <alignment horizontal="center"/>
    </xf>
    <xf numFmtId="37" fontId="2" fillId="0" borderId="27" xfId="0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left" indent="1"/>
    </xf>
    <xf numFmtId="37" fontId="23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37" fontId="2" fillId="0" borderId="0" xfId="0" applyFont="1" applyAlignment="1" applyProtection="1">
      <alignment horizontal="right"/>
      <protection locked="0"/>
    </xf>
    <xf numFmtId="37" fontId="2" fillId="0" borderId="10" xfId="0" applyFont="1" applyBorder="1"/>
    <xf numFmtId="37" fontId="2" fillId="0" borderId="30" xfId="0" applyFont="1" applyBorder="1" applyProtection="1">
      <protection locked="0"/>
    </xf>
    <xf numFmtId="37" fontId="2" fillId="0" borderId="21" xfId="0" applyFont="1" applyBorder="1" applyAlignment="1">
      <alignment horizontal="left"/>
    </xf>
    <xf numFmtId="178" fontId="2" fillId="0" borderId="0" xfId="0" applyNumberFormat="1" applyFont="1"/>
    <xf numFmtId="183" fontId="2" fillId="0" borderId="0" xfId="0" applyNumberFormat="1" applyFont="1" applyAlignment="1">
      <alignment horizontal="centerContinuous"/>
    </xf>
    <xf numFmtId="37" fontId="2" fillId="0" borderId="0" xfId="0" quotePrefix="1" applyFont="1" applyAlignment="1">
      <alignment horizontal="right"/>
    </xf>
    <xf numFmtId="37" fontId="3" fillId="0" borderId="0" xfId="0" applyFont="1" applyAlignment="1">
      <alignment horizontal="center"/>
    </xf>
    <xf numFmtId="37" fontId="2" fillId="0" borderId="29" xfId="0" applyFont="1" applyBorder="1"/>
    <xf numFmtId="37" fontId="2" fillId="0" borderId="32" xfId="0" applyFont="1" applyBorder="1"/>
    <xf numFmtId="37" fontId="3" fillId="0" borderId="0" xfId="0" applyFont="1"/>
    <xf numFmtId="0" fontId="2" fillId="0" borderId="0" xfId="0" applyNumberFormat="1" applyFont="1" applyAlignment="1">
      <alignment horizontal="left"/>
    </xf>
    <xf numFmtId="37" fontId="6" fillId="0" borderId="0" xfId="0" applyFont="1" applyAlignment="1">
      <alignment vertical="center"/>
    </xf>
    <xf numFmtId="1" fontId="2" fillId="0" borderId="0" xfId="1" quotePrefix="1" applyNumberFormat="1" applyFont="1" applyAlignment="1">
      <alignment horizontal="center"/>
    </xf>
    <xf numFmtId="1" fontId="2" fillId="0" borderId="0" xfId="1" applyNumberFormat="1" applyFont="1" applyAlignment="1">
      <alignment horizontal="left"/>
    </xf>
    <xf numFmtId="183" fontId="2" fillId="0" borderId="0" xfId="1" applyNumberFormat="1" applyFont="1" applyAlignment="1">
      <alignment horizontal="left"/>
    </xf>
    <xf numFmtId="183" fontId="2" fillId="0" borderId="0" xfId="0" quotePrefix="1" applyNumberFormat="1" applyFont="1" applyAlignment="1">
      <alignment horizontal="center"/>
    </xf>
    <xf numFmtId="184" fontId="2" fillId="0" borderId="0" xfId="1" quotePrefix="1" applyNumberFormat="1" applyFont="1"/>
    <xf numFmtId="183" fontId="2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37" fontId="2" fillId="0" borderId="12" xfId="0" applyFont="1" applyBorder="1"/>
    <xf numFmtId="0" fontId="2" fillId="0" borderId="0" xfId="0" applyNumberFormat="1" applyFont="1" applyAlignment="1">
      <alignment horizontal="center"/>
    </xf>
    <xf numFmtId="37" fontId="2" fillId="0" borderId="0" xfId="0" applyFont="1" applyAlignment="1">
      <alignment horizontal="center" wrapText="1"/>
    </xf>
    <xf numFmtId="172" fontId="2" fillId="0" borderId="0" xfId="0" applyNumberFormat="1" applyFont="1" applyAlignment="1">
      <alignment horizontal="center"/>
    </xf>
    <xf numFmtId="37" fontId="6" fillId="0" borderId="0" xfId="0" quotePrefix="1" applyFont="1"/>
    <xf numFmtId="37" fontId="6" fillId="0" borderId="30" xfId="0" applyFont="1" applyBorder="1"/>
    <xf numFmtId="14" fontId="6" fillId="0" borderId="0" xfId="0" applyNumberFormat="1" applyFont="1"/>
    <xf numFmtId="37" fontId="2" fillId="0" borderId="12" xfId="0" applyFont="1" applyBorder="1" applyAlignment="1">
      <alignment horizontal="center"/>
    </xf>
    <xf numFmtId="37" fontId="6" fillId="0" borderId="0" xfId="0" applyFont="1" applyAlignment="1">
      <alignment horizontal="center" wrapText="1"/>
    </xf>
    <xf numFmtId="185" fontId="6" fillId="0" borderId="0" xfId="2" applyNumberFormat="1" applyFont="1" applyAlignment="1">
      <alignment horizontal="center" wrapText="1"/>
    </xf>
    <xf numFmtId="185" fontId="6" fillId="0" borderId="0" xfId="2" applyNumberFormat="1" applyFont="1"/>
    <xf numFmtId="43" fontId="6" fillId="0" borderId="0" xfId="0" applyNumberFormat="1" applyFont="1"/>
    <xf numFmtId="175" fontId="6" fillId="0" borderId="0" xfId="0" applyNumberFormat="1" applyFont="1" applyAlignment="1">
      <alignment horizontal="right"/>
    </xf>
    <xf numFmtId="1" fontId="2" fillId="0" borderId="0" xfId="1" quotePrefix="1" applyNumberFormat="1" applyFont="1"/>
    <xf numFmtId="184" fontId="2" fillId="0" borderId="0" xfId="1" applyNumberFormat="1" applyFont="1"/>
    <xf numFmtId="37" fontId="2" fillId="0" borderId="0" xfId="0" applyFont="1" applyAlignment="1">
      <alignment horizontal="right" vertical="top"/>
    </xf>
    <xf numFmtId="37" fontId="2" fillId="0" borderId="27" xfId="0" applyFont="1" applyBorder="1" applyAlignment="1">
      <alignment horizontal="right"/>
    </xf>
    <xf numFmtId="37" fontId="2" fillId="0" borderId="18" xfId="0" applyFont="1" applyBorder="1" applyAlignment="1">
      <alignment horizontal="center"/>
    </xf>
    <xf numFmtId="37" fontId="5" fillId="0" borderId="22" xfId="0" applyFont="1" applyBorder="1" applyAlignment="1">
      <alignment horizontal="center"/>
    </xf>
    <xf numFmtId="37" fontId="8" fillId="0" borderId="0" xfId="0" quotePrefix="1" applyFont="1" applyAlignment="1">
      <alignment horizontal="right"/>
    </xf>
    <xf numFmtId="37" fontId="6" fillId="0" borderId="27" xfId="0" applyFont="1" applyBorder="1"/>
    <xf numFmtId="37" fontId="6" fillId="0" borderId="27" xfId="0" quotePrefix="1" applyFont="1" applyBorder="1" applyAlignment="1" applyProtection="1">
      <alignment horizontal="right"/>
      <protection locked="0"/>
    </xf>
    <xf numFmtId="37" fontId="6" fillId="0" borderId="0" xfId="0" applyFont="1" applyAlignment="1">
      <alignment horizontal="center"/>
    </xf>
    <xf numFmtId="183" fontId="6" fillId="0" borderId="0" xfId="0" applyNumberFormat="1" applyFont="1" applyAlignment="1">
      <alignment horizontal="center"/>
    </xf>
    <xf numFmtId="37" fontId="6" fillId="0" borderId="27" xfId="0" applyFont="1" applyBorder="1" applyAlignment="1" applyProtection="1">
      <alignment horizontal="centerContinuous"/>
      <protection locked="0"/>
    </xf>
    <xf numFmtId="37" fontId="24" fillId="0" borderId="27" xfId="0" applyFont="1" applyBorder="1" applyAlignment="1">
      <alignment horizontal="centerContinuous"/>
    </xf>
    <xf numFmtId="37" fontId="6" fillId="0" borderId="27" xfId="0" applyFont="1" applyBorder="1" applyAlignment="1">
      <alignment horizontal="centerContinuous"/>
    </xf>
    <xf numFmtId="37" fontId="6" fillId="0" borderId="10" xfId="0" applyFont="1" applyBorder="1"/>
    <xf numFmtId="37" fontId="6" fillId="0" borderId="9" xfId="0" applyFont="1" applyBorder="1"/>
    <xf numFmtId="37" fontId="6" fillId="0" borderId="33" xfId="0" applyFont="1" applyBorder="1"/>
    <xf numFmtId="37" fontId="6" fillId="0" borderId="0" xfId="0" applyFont="1" applyAlignment="1" applyProtection="1">
      <alignment horizontal="center"/>
      <protection locked="0"/>
    </xf>
    <xf numFmtId="182" fontId="6" fillId="0" borderId="0" xfId="0" applyNumberFormat="1" applyFont="1"/>
    <xf numFmtId="37" fontId="6" fillId="0" borderId="30" xfId="0" applyFont="1" applyBorder="1" applyProtection="1">
      <protection locked="0"/>
    </xf>
    <xf numFmtId="180" fontId="6" fillId="0" borderId="0" xfId="0" applyNumberFormat="1" applyFont="1"/>
    <xf numFmtId="37" fontId="6" fillId="0" borderId="31" xfId="0" applyFont="1" applyBorder="1"/>
    <xf numFmtId="37" fontId="25" fillId="0" borderId="0" xfId="0" applyFont="1" applyAlignment="1">
      <alignment horizontal="left"/>
    </xf>
    <xf numFmtId="168" fontId="9" fillId="0" borderId="0" xfId="0" applyNumberFormat="1" applyFont="1" applyAlignment="1">
      <alignment horizontal="center"/>
    </xf>
    <xf numFmtId="37" fontId="10" fillId="0" borderId="0" xfId="0" applyFont="1"/>
    <xf numFmtId="37" fontId="6" fillId="0" borderId="0" xfId="0" quotePrefix="1" applyFont="1" applyAlignment="1" applyProtection="1">
      <alignment horizontal="right"/>
      <protection locked="0"/>
    </xf>
    <xf numFmtId="186" fontId="6" fillId="0" borderId="0" xfId="0" applyNumberFormat="1" applyFont="1"/>
    <xf numFmtId="37" fontId="8" fillId="0" borderId="34" xfId="0" applyFont="1" applyBorder="1" applyAlignment="1">
      <alignment horizontal="center" wrapText="1"/>
    </xf>
    <xf numFmtId="37" fontId="8" fillId="0" borderId="34" xfId="0" applyFont="1" applyBorder="1" applyAlignment="1">
      <alignment horizontal="center"/>
    </xf>
    <xf numFmtId="168" fontId="8" fillId="0" borderId="34" xfId="0" applyNumberFormat="1" applyFont="1" applyBorder="1" applyAlignment="1">
      <alignment horizontal="center"/>
    </xf>
    <xf numFmtId="168" fontId="8" fillId="0" borderId="34" xfId="0" applyNumberFormat="1" applyFont="1" applyBorder="1" applyAlignment="1">
      <alignment horizontal="center" wrapText="1"/>
    </xf>
    <xf numFmtId="37" fontId="8" fillId="0" borderId="35" xfId="0" applyFont="1" applyBorder="1" applyAlignment="1">
      <alignment horizontal="center"/>
    </xf>
    <xf numFmtId="186" fontId="8" fillId="0" borderId="36" xfId="0" applyNumberFormat="1" applyFont="1" applyBorder="1" applyAlignment="1">
      <alignment horizontal="center" wrapText="1"/>
    </xf>
    <xf numFmtId="37" fontId="8" fillId="0" borderId="0" xfId="0" applyFont="1" applyAlignment="1">
      <alignment horizontal="center" wrapText="1"/>
    </xf>
    <xf numFmtId="168" fontId="6" fillId="0" borderId="0" xfId="0" applyNumberFormat="1" applyFont="1" applyAlignment="1">
      <alignment horizontal="left"/>
    </xf>
    <xf numFmtId="187" fontId="6" fillId="0" borderId="0" xfId="6" applyFont="1"/>
    <xf numFmtId="37" fontId="3" fillId="0" borderId="0" xfId="5" quotePrefix="1" applyFont="1" applyAlignment="1">
      <alignment horizontal="right"/>
    </xf>
    <xf numFmtId="187" fontId="26" fillId="0" borderId="0" xfId="6" applyFont="1" applyAlignment="1">
      <alignment horizontal="left"/>
    </xf>
    <xf numFmtId="187" fontId="2" fillId="0" borderId="0" xfId="7" applyFont="1"/>
    <xf numFmtId="187" fontId="2" fillId="0" borderId="0" xfId="7" applyFont="1" applyAlignment="1">
      <alignment horizontal="right"/>
    </xf>
    <xf numFmtId="187" fontId="9" fillId="0" borderId="0" xfId="6" applyFont="1" applyAlignment="1">
      <alignment horizontal="centerContinuous"/>
    </xf>
    <xf numFmtId="187" fontId="6" fillId="0" borderId="0" xfId="6" applyFont="1" applyAlignment="1">
      <alignment horizontal="centerContinuous"/>
    </xf>
    <xf numFmtId="37" fontId="2" fillId="0" borderId="0" xfId="5" applyFont="1" applyAlignment="1">
      <alignment horizontal="centerContinuous"/>
    </xf>
    <xf numFmtId="167" fontId="6" fillId="0" borderId="0" xfId="6" applyNumberFormat="1" applyFont="1" applyAlignment="1">
      <alignment horizontal="centerContinuous"/>
    </xf>
    <xf numFmtId="187" fontId="8" fillId="0" borderId="17" xfId="6" quotePrefix="1" applyFont="1" applyBorder="1" applyAlignment="1">
      <alignment horizontal="centerContinuous"/>
    </xf>
    <xf numFmtId="187" fontId="8" fillId="0" borderId="15" xfId="6" applyFont="1" applyBorder="1" applyAlignment="1">
      <alignment horizontal="centerContinuous"/>
    </xf>
    <xf numFmtId="167" fontId="8" fillId="0" borderId="19" xfId="6" applyNumberFormat="1" applyFont="1" applyBorder="1" applyAlignment="1">
      <alignment horizontal="centerContinuous"/>
    </xf>
    <xf numFmtId="187" fontId="8" fillId="0" borderId="8" xfId="6" applyFont="1" applyBorder="1"/>
    <xf numFmtId="187" fontId="8" fillId="0" borderId="0" xfId="6" applyFont="1"/>
    <xf numFmtId="187" fontId="8" fillId="0" borderId="10" xfId="6" applyFont="1" applyBorder="1"/>
    <xf numFmtId="187" fontId="3" fillId="0" borderId="20" xfId="7" applyFont="1" applyBorder="1" applyAlignment="1">
      <alignment horizontal="center"/>
    </xf>
    <xf numFmtId="187" fontId="3" fillId="0" borderId="27" xfId="7" applyFont="1" applyBorder="1" applyAlignment="1">
      <alignment horizontal="center"/>
    </xf>
    <xf numFmtId="187" fontId="3" fillId="0" borderId="21" xfId="7" applyFont="1" applyBorder="1" applyAlignment="1">
      <alignment horizontal="center"/>
    </xf>
    <xf numFmtId="187" fontId="6" fillId="0" borderId="0" xfId="6" applyFont="1" applyAlignment="1">
      <alignment horizontal="center"/>
    </xf>
    <xf numFmtId="187" fontId="6" fillId="0" borderId="0" xfId="6" quotePrefix="1" applyFont="1" applyAlignment="1">
      <alignment horizontal="center"/>
    </xf>
    <xf numFmtId="187" fontId="6" fillId="0" borderId="0" xfId="6" applyFont="1" applyAlignment="1">
      <alignment horizontal="right"/>
    </xf>
    <xf numFmtId="187" fontId="10" fillId="0" borderId="0" xfId="6" applyFont="1"/>
    <xf numFmtId="187" fontId="10" fillId="0" borderId="0" xfId="6" quotePrefix="1" applyFont="1" applyAlignment="1">
      <alignment horizontal="center"/>
    </xf>
    <xf numFmtId="187" fontId="10" fillId="0" borderId="0" xfId="6" applyFont="1" applyAlignment="1">
      <alignment horizontal="center"/>
    </xf>
    <xf numFmtId="187" fontId="10" fillId="0" borderId="0" xfId="6" applyFont="1" applyAlignment="1">
      <alignment horizontal="right"/>
    </xf>
    <xf numFmtId="10" fontId="6" fillId="0" borderId="0" xfId="8" applyNumberFormat="1" applyFont="1"/>
    <xf numFmtId="37" fontId="6" fillId="0" borderId="0" xfId="6" applyNumberFormat="1" applyFont="1"/>
    <xf numFmtId="168" fontId="6" fillId="0" borderId="0" xfId="6" applyNumberFormat="1" applyFont="1" applyAlignment="1">
      <alignment horizontal="center"/>
    </xf>
    <xf numFmtId="39" fontId="6" fillId="0" borderId="0" xfId="6" applyNumberFormat="1" applyFont="1"/>
    <xf numFmtId="37" fontId="6" fillId="0" borderId="0" xfId="6" applyNumberFormat="1" applyFont="1" applyAlignment="1">
      <alignment horizontal="right"/>
    </xf>
    <xf numFmtId="188" fontId="2" fillId="0" borderId="0" xfId="9" applyNumberFormat="1" applyFont="1" applyAlignment="1">
      <alignment horizontal="left"/>
    </xf>
    <xf numFmtId="187" fontId="24" fillId="0" borderId="0" xfId="6" applyFont="1"/>
    <xf numFmtId="37" fontId="24" fillId="0" borderId="0" xfId="6" applyNumberFormat="1" applyFont="1"/>
    <xf numFmtId="187" fontId="6" fillId="3" borderId="0" xfId="6" applyFont="1" applyFill="1" applyAlignment="1">
      <alignment horizontal="left"/>
    </xf>
    <xf numFmtId="10" fontId="6" fillId="3" borderId="0" xfId="8" applyNumberFormat="1" applyFont="1" applyFill="1"/>
    <xf numFmtId="10" fontId="6" fillId="0" borderId="0" xfId="4" applyNumberFormat="1"/>
    <xf numFmtId="187" fontId="6" fillId="0" borderId="0" xfId="6" quotePrefix="1" applyFont="1" applyAlignment="1">
      <alignment horizontal="left"/>
    </xf>
    <xf numFmtId="37" fontId="10" fillId="0" borderId="0" xfId="6" applyNumberFormat="1" applyFont="1"/>
    <xf numFmtId="189" fontId="6" fillId="0" borderId="0" xfId="6" applyNumberFormat="1" applyFont="1" applyAlignment="1">
      <alignment horizontal="right"/>
    </xf>
    <xf numFmtId="168" fontId="6" fillId="0" borderId="0" xfId="6" applyNumberFormat="1" applyFont="1"/>
    <xf numFmtId="187" fontId="24" fillId="0" borderId="37" xfId="6" applyFont="1" applyBorder="1" applyAlignment="1">
      <alignment horizontal="center"/>
    </xf>
    <xf numFmtId="37" fontId="27" fillId="0" borderId="0" xfId="6" applyNumberFormat="1" applyFont="1"/>
    <xf numFmtId="187" fontId="27" fillId="0" borderId="0" xfId="6" applyFont="1"/>
    <xf numFmtId="186" fontId="6" fillId="0" borderId="0" xfId="6" applyNumberFormat="1" applyFont="1"/>
    <xf numFmtId="187" fontId="6" fillId="0" borderId="0" xfId="6" applyFont="1" applyAlignment="1">
      <alignment horizontal="left"/>
    </xf>
    <xf numFmtId="172" fontId="26" fillId="0" borderId="0" xfId="6" applyNumberFormat="1" applyFont="1"/>
    <xf numFmtId="187" fontId="6" fillId="0" borderId="37" xfId="6" applyFont="1" applyBorder="1"/>
    <xf numFmtId="174" fontId="6" fillId="0" borderId="0" xfId="6" applyNumberFormat="1" applyFont="1"/>
    <xf numFmtId="187" fontId="8" fillId="0" borderId="0" xfId="6" quotePrefix="1" applyFont="1" applyAlignment="1">
      <alignment horizontal="right"/>
    </xf>
    <xf numFmtId="187" fontId="6" fillId="0" borderId="27" xfId="6" applyFont="1" applyBorder="1"/>
    <xf numFmtId="187" fontId="8" fillId="0" borderId="0" xfId="6" applyFont="1" applyAlignment="1">
      <alignment horizontal="centerContinuous"/>
    </xf>
    <xf numFmtId="187" fontId="8" fillId="0" borderId="27" xfId="6" applyFont="1" applyBorder="1" applyAlignment="1">
      <alignment horizontal="centerContinuous"/>
    </xf>
    <xf numFmtId="187" fontId="6" fillId="0" borderId="27" xfId="6" applyFont="1" applyBorder="1" applyAlignment="1">
      <alignment horizontal="centerContinuous"/>
    </xf>
    <xf numFmtId="167" fontId="6" fillId="0" borderId="27" xfId="6" applyNumberFormat="1" applyFont="1" applyBorder="1" applyAlignment="1">
      <alignment horizontal="centerContinuous"/>
    </xf>
    <xf numFmtId="188" fontId="6" fillId="0" borderId="0" xfId="9" applyNumberFormat="1" applyFont="1" applyAlignment="1">
      <alignment horizontal="left"/>
    </xf>
    <xf numFmtId="10" fontId="6" fillId="0" borderId="0" xfId="8" applyNumberFormat="1" applyFont="1" applyAlignment="1">
      <alignment horizontal="right"/>
    </xf>
    <xf numFmtId="9" fontId="6" fillId="0" borderId="0" xfId="8" applyFont="1"/>
    <xf numFmtId="172" fontId="6" fillId="0" borderId="0" xfId="6" applyNumberFormat="1" applyFont="1"/>
    <xf numFmtId="181" fontId="6" fillId="0" borderId="0" xfId="6" applyNumberFormat="1" applyFont="1"/>
  </cellXfs>
  <cellStyles count="10">
    <cellStyle name="Comma" xfId="1" builtinId="3"/>
    <cellStyle name="Comma [0]" xfId="2" builtinId="6"/>
    <cellStyle name="Currency" xfId="3" builtinId="4"/>
    <cellStyle name="Normal" xfId="0" builtinId="0"/>
    <cellStyle name="Normal 12 2 4" xfId="5" xr:uid="{9A934941-A32E-473C-8D58-85D11AE99492}"/>
    <cellStyle name="Normal 20 3 2" xfId="9" xr:uid="{E6C4206F-7A60-4C2B-BAF5-8FFCFFDA0EEB}"/>
    <cellStyle name="Normal 3 10" xfId="6" xr:uid="{08EED183-7562-4A25-BFDB-0DFF5A406B13}"/>
    <cellStyle name="Normal 3 3" xfId="7" xr:uid="{5E53F763-0AA1-4804-B733-0E323ABBE309}"/>
    <cellStyle name="Percent" xfId="4" builtinId="5"/>
    <cellStyle name="Percent 15" xfId="8" xr:uid="{31F557E2-E3F4-4156-B5D8-15B9B4926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63" Type="http://schemas.openxmlformats.org/officeDocument/2006/relationships/externalLink" Target="externalLinks/externalLink19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externalLink" Target="externalLinks/externalLink14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61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externalLink" Target="externalLinks/externalLink16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64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15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6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Workgroups/FPC%20AFT/Critical/Financial%20Planning/ROE/ROE/2019/01-%20January/01_2019%20Budget%20Deviation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Workgroups/FPC%20AFT/Critical/Financial%20Planning/ROE/ROE/2019/01-%20January/ACTUALS%20INTERFACE%202019%20January%20schedule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1sf100\GPRoot$\Workgroups\FPC%20AFT\Critical\Financial%20Planning\Actuals\Fuel%20Sheets\2019\01%20-%20January\01-19%20Fuel%20Shee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Workgroups/FPC%20AFT/Critical/Financial%20Planning/Actuals/Fuel%20Sheets/2019/01%20-%20January/01-19%20Fuel%20Shee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GP.fpl.com\UserGP$\Workgroups\FPC%20AFT\Critical\Rates%20&amp;%20Regulatory\Environmental\2018\Est-Actual\ECRC%202018%20Est_Actual-clea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GP.fpl.com\UserGP$\Workgroups\FPC%20AFT\Critical\Rates%20&amp;%20Regulatory\Environmental\Actual\2018\12.%20December\ECRC%202018%20Final%20True%20-Dec%20Tru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FT\Critical\Rates%20&amp;%20Regulatory\Environmental\2012\Estimated%20Actual%20Filing\Gulf%20Power%202012%20estimated%20actual%20filing-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nvironmental\2017\Reprojection%20Analysis\2017%20Est_Actual%20-May%20True-No%20Dismantelment%20Tansfer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ccounting\Operating%20Report\2003\Mar2003\March%202003%20OR%20Pag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FPC%20AFT\Critical\Financial%20Planning\Rate%20Case%20Planning%20-%202011\Budret%20-%20Rate%20Case\BUDRET%20REPORTS%202010.12%20RC%20v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1sf100\GPRoot$\Workgroups\FPC%20AFT\Critical\Financial%20Planning\ROE\ROE\2019\01-%20January\01_2019%20Budget%20Deviation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FPC%20AFT\Critical\Financial%20&amp;%20Regulatory%20Reporting\InterChange\Historical\Pool%20Bill\2011%20Pool%20Bill\2011%20Scherer%20YTD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Workgroups/FPC%20AFT/Critical/Financial%20Planning/ROE/ROE/2019/05%20-%20May/Surveillance/Inputs%20Only%20Surveillance%2005_2019.v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1sf100\GPRoot$\Workgroups\FPC%20AFT\Critical\Financial%20Planning\ROE\ROE\2019\05%20-%20May\Surveillance\Inputs%20Only%20Surveillance%2005_2019.v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g0f47\AppData\Local\Microsoft\Windows\INetCache\Content.Outlook\EWR2SB6J\FINAL%20ECRC%202020%20Actual%20Estimated%20Midcourse%20Schedu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FT\Critical\Rates%20&amp;%20Regulatory\Environmental\2010%20Scenario\2010%20scenario%209-29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orkgroups\FPC%20AFT\Critical\Financial%20&amp;%20Regulatory%20Reporting\InterChange\Historical\Pool%20Bill\2010%20Pool%20Bill\July%202010%20CASPRized%20Power%20Pool%20V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ctuals\2010\01-January\ACTUALS%20INTERFACE%202010%20January%20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1sf100\GPRoot$\Workgroups\FPC%20AFT\Critical\Financial%20Planning\ROE\ROE\2019\01-%20January\ACTUALS%20INTERFACE%202019%20January%20schedu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 Surveillance"/>
      <sheetName val="Clauses-Reports"/>
      <sheetName val="Detailed"/>
      <sheetName val="STDCOST Rate"/>
      <sheetName val="Pref Stk"/>
      <sheetName val="37mil"/>
      <sheetName val="3.93mil"/>
      <sheetName val="42mil"/>
      <sheetName val="29.075M"/>
      <sheetName val="32.55M"/>
      <sheetName val="65.4 mil"/>
      <sheetName val="BASE RATES"/>
      <sheetName val="VOM"/>
      <sheetName val="UPSSALES"/>
      <sheetName val="Comp Sales"/>
      <sheetName val="Financial Book Outs"/>
      <sheetName val="Econ Develop"/>
      <sheetName val="Gross Receipts"/>
      <sheetName val="PPOWER"/>
      <sheetName val="Scherer GA ITC"/>
      <sheetName val="Unamort ITC"/>
      <sheetName val="12MTD O&amp;M NOI"/>
      <sheetName val="Pension and Insurance Cap"/>
      <sheetName val="Liaison"/>
      <sheetName val="Sofia Liasion"/>
      <sheetName val="Payroll Factors"/>
      <sheetName val="2019 Cap Clause"/>
      <sheetName val="2019 Revenue"/>
      <sheetName val="Advanced Int "/>
      <sheetName val="Int Analysis"/>
      <sheetName val="ECRC O&amp;M"/>
      <sheetName val="ECRC Rev Req &amp; formula"/>
      <sheetName val="ECRC Recovery Bal"/>
      <sheetName val="ECRC Revenue Mandy"/>
      <sheetName val="RECOVERY2006 Paul S."/>
      <sheetName val="ECCR Recovery"/>
      <sheetName val="ECCR Expense"/>
      <sheetName val="ECCR"/>
      <sheetName val="ECCR Pyrll OH"/>
      <sheetName val="FERC CREC Charlotte"/>
      <sheetName val="Schedule Charlotte"/>
      <sheetName val="CRFACTOR Charlotte"/>
      <sheetName val="Wholesale Charlotte"/>
      <sheetName val="Wholesale Alloc Charlotte"/>
      <sheetName val="Data Total"/>
      <sheetName val="REVENUELoc Stats"/>
      <sheetName val="Sch 4"/>
      <sheetName val="Sch 5"/>
      <sheetName val="Sch 10"/>
      <sheetName val="Sch 10-A"/>
      <sheetName val="Sch 11 Sht 1"/>
      <sheetName val="Sch 13"/>
      <sheetName val="Sch 16"/>
      <sheetName val="Sch 60"/>
      <sheetName val="Sch 60 Supp 2"/>
      <sheetName val="CASPR Totals - CM"/>
      <sheetName val="Stats"/>
      <sheetName val="Bud Input"/>
      <sheetName val="Budget "/>
      <sheetName val="ESRI_MAPINFO_SHEET"/>
    </sheetNames>
    <sheetDataSet>
      <sheetData sheetId="0">
        <row r="2">
          <cell r="E2" t="str">
            <v>December '18</v>
          </cell>
        </row>
      </sheetData>
      <sheetData sheetId="1"/>
      <sheetData sheetId="2"/>
      <sheetData sheetId="3">
        <row r="2">
          <cell r="A2" t="str">
            <v>1015100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F46">
            <v>2422774.5099999998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B10">
            <v>7789542.5300000003</v>
          </cell>
        </row>
      </sheetData>
      <sheetData sheetId="48">
        <row r="82">
          <cell r="B82">
            <v>64993302.43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8">
          <cell r="B18">
            <v>0</v>
          </cell>
        </row>
      </sheetData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I Output"/>
      <sheetName val="FIN MOD"/>
      <sheetName val="SURVEILLANCE"/>
      <sheetName val="BUDRET"/>
      <sheetName val="VOM"/>
      <sheetName val="Scherer Environ"/>
      <sheetName val="ZBRAND Excl."/>
      <sheetName val="Scherer Capacity"/>
      <sheetName val="UPS Income Statement"/>
      <sheetName val="UPS Cap Rate"/>
      <sheetName val="UPS Sales"/>
      <sheetName val="Econ Dev"/>
      <sheetName val="cm"/>
      <sheetName val="Inj &amp; Damages"/>
      <sheetName val="Detail"/>
      <sheetName val="Totals"/>
      <sheetName val="Nuclear Def Dr in PS&amp;I"/>
      <sheetName val="Nuclear Def Dr in PHFU"/>
      <sheetName val="Scherer Timber Sales"/>
      <sheetName val="N Escambia Timber"/>
      <sheetName val="N Escambia Rents"/>
      <sheetName val="D &amp; O Ins"/>
      <sheetName val="Peabody Lit"/>
      <sheetName val="Mgmt Perq"/>
      <sheetName val="Bulk Power Energy"/>
      <sheetName val="Scherer GA ITC"/>
      <sheetName val="ARO Entry Joy"/>
      <sheetName val="CASPR Sofia Q"/>
      <sheetName val="CASPR Totals - CM"/>
      <sheetName val="CASPR Totals - EB"/>
      <sheetName val="37M PCB"/>
      <sheetName val="3.93M PCB"/>
      <sheetName val="42M PCB"/>
      <sheetName val="29.075M PCB"/>
      <sheetName val="32.55M PCB"/>
      <sheetName val="65.4M PCB"/>
      <sheetName val="BASE RATES"/>
      <sheetName val="Int Bearing CWIP Joy"/>
      <sheetName val="Depr Accrual Sofia"/>
      <sheetName val="All Needed Sofia Query"/>
      <sheetName val="Liaison"/>
      <sheetName val="Transmission Mandy"/>
      <sheetName val="FPU Not used"/>
      <sheetName val="Capacity_Mandy"/>
      <sheetName val="Capacity Rev Mandy"/>
      <sheetName val="Capacity"/>
      <sheetName val="Flint Revenue Credit Calc"/>
      <sheetName val="Economy and Markup"/>
      <sheetName val="Int Analysis"/>
      <sheetName val="ECRC O&amp;M Mandy"/>
      <sheetName val="ECRC Rev Req"/>
      <sheetName val="ECRC Revenue Mandy"/>
      <sheetName val="ECCR Rev Paul"/>
      <sheetName val="ECCR Exp Paul"/>
      <sheetName val="ECCR Pyrll OH"/>
      <sheetName val="FUEL"/>
      <sheetName val="FERCREC Charl"/>
      <sheetName val="Schedule Charl"/>
      <sheetName val="CRFACTOR Charl"/>
      <sheetName val="Data Total Charlotte"/>
      <sheetName val="Total Transmission PIS"/>
      <sheetName val="12MTD O&amp;M NOI"/>
      <sheetName val="Sch 4"/>
      <sheetName val="Sch 4-A"/>
      <sheetName val="Sch 5"/>
      <sheetName val="Sch 10"/>
      <sheetName val="Sch 10-A"/>
      <sheetName val="Sch 11"/>
      <sheetName val="Sch 13"/>
      <sheetName val="Sch 14"/>
      <sheetName val="Sch 16"/>
      <sheetName val="Sch 36"/>
      <sheetName val="Sch 39"/>
      <sheetName val="Sch 57"/>
      <sheetName val="Sch 58"/>
      <sheetName val="Sch 60"/>
      <sheetName val="Sch 60 PM"/>
      <sheetName val="Sch 60 Supp 2"/>
      <sheetName val="Sch 71-B"/>
      <sheetName val="Sch 71-C"/>
      <sheetName val="Sch 72"/>
      <sheetName val="Sch 73"/>
      <sheetName val="Sch 73 All"/>
      <sheetName val="Sch 75-B"/>
      <sheetName val="GLA"/>
      <sheetName val="ESRI_MAPINFO_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Ferc</v>
          </cell>
        </row>
      </sheetData>
      <sheetData sheetId="16">
        <row r="1">
          <cell r="B1" t="str">
            <v>Ferc</v>
          </cell>
          <cell r="C1" t="str">
            <v>SUB</v>
          </cell>
          <cell r="D1" t="str">
            <v>CM Activity</v>
          </cell>
          <cell r="E1" t="str">
            <v>Ending Balance</v>
          </cell>
        </row>
        <row r="2">
          <cell r="B2">
            <v>101</v>
          </cell>
          <cell r="C2">
            <v>0</v>
          </cell>
          <cell r="D2">
            <v>43094960.770000003</v>
          </cell>
          <cell r="E2">
            <v>6176327458.0600004</v>
          </cell>
        </row>
        <row r="3">
          <cell r="B3">
            <v>105</v>
          </cell>
          <cell r="C3">
            <v>0</v>
          </cell>
          <cell r="D3">
            <v>0</v>
          </cell>
          <cell r="E3">
            <v>14109787.689999999</v>
          </cell>
        </row>
        <row r="4">
          <cell r="B4">
            <v>106</v>
          </cell>
          <cell r="C4">
            <v>0</v>
          </cell>
          <cell r="D4">
            <v>6416631.5</v>
          </cell>
          <cell r="E4">
            <v>219224896.68000001</v>
          </cell>
        </row>
        <row r="5">
          <cell r="B5">
            <v>107</v>
          </cell>
          <cell r="C5">
            <v>0</v>
          </cell>
          <cell r="D5">
            <v>-35069244.840000004</v>
          </cell>
          <cell r="E5">
            <v>-3789858897.8000002</v>
          </cell>
        </row>
        <row r="6">
          <cell r="B6">
            <v>108</v>
          </cell>
          <cell r="C6">
            <v>0</v>
          </cell>
          <cell r="D6">
            <v>-19241884.199999999</v>
          </cell>
          <cell r="E6">
            <v>-2876341877.4299998</v>
          </cell>
        </row>
        <row r="7">
          <cell r="B7">
            <v>111</v>
          </cell>
          <cell r="C7">
            <v>0</v>
          </cell>
          <cell r="D7">
            <v>2877774.03</v>
          </cell>
          <cell r="E7">
            <v>-64026626.549999997</v>
          </cell>
        </row>
        <row r="8">
          <cell r="B8">
            <v>114</v>
          </cell>
          <cell r="C8">
            <v>0</v>
          </cell>
          <cell r="D8">
            <v>-21276</v>
          </cell>
          <cell r="E8">
            <v>754348.24</v>
          </cell>
        </row>
        <row r="9">
          <cell r="B9">
            <v>121</v>
          </cell>
          <cell r="C9">
            <v>0</v>
          </cell>
          <cell r="D9">
            <v>6326</v>
          </cell>
          <cell r="E9">
            <v>17529524.68</v>
          </cell>
        </row>
        <row r="10">
          <cell r="B10">
            <v>122</v>
          </cell>
          <cell r="C10">
            <v>0</v>
          </cell>
          <cell r="D10">
            <v>-17630.310000000001</v>
          </cell>
          <cell r="E10">
            <v>-4576109.32</v>
          </cell>
        </row>
        <row r="11">
          <cell r="B11">
            <v>123</v>
          </cell>
          <cell r="C11">
            <v>0</v>
          </cell>
          <cell r="D11">
            <v>-1552075.04</v>
          </cell>
          <cell r="E11">
            <v>11711131.699999999</v>
          </cell>
        </row>
        <row r="12">
          <cell r="B12">
            <v>128</v>
          </cell>
          <cell r="C12">
            <v>0</v>
          </cell>
          <cell r="D12">
            <v>-26257921.25</v>
          </cell>
          <cell r="E12">
            <v>145966082</v>
          </cell>
        </row>
        <row r="13">
          <cell r="B13">
            <v>131</v>
          </cell>
          <cell r="C13">
            <v>0</v>
          </cell>
          <cell r="D13">
            <v>22889786.489999998</v>
          </cell>
          <cell r="E13">
            <v>4442840.92</v>
          </cell>
        </row>
        <row r="14">
          <cell r="B14">
            <v>135</v>
          </cell>
          <cell r="C14">
            <v>0</v>
          </cell>
          <cell r="D14">
            <v>0</v>
          </cell>
          <cell r="E14">
            <v>792922.62</v>
          </cell>
        </row>
        <row r="15">
          <cell r="B15">
            <v>142</v>
          </cell>
          <cell r="C15">
            <v>0</v>
          </cell>
          <cell r="D15">
            <v>6635651.3899999997</v>
          </cell>
          <cell r="E15">
            <v>74900312.980000004</v>
          </cell>
        </row>
        <row r="16">
          <cell r="B16">
            <v>143</v>
          </cell>
          <cell r="C16">
            <v>0</v>
          </cell>
          <cell r="D16">
            <v>2539300.77</v>
          </cell>
          <cell r="E16">
            <v>7290321.5199999996</v>
          </cell>
        </row>
        <row r="17">
          <cell r="B17">
            <v>144</v>
          </cell>
          <cell r="C17">
            <v>0</v>
          </cell>
          <cell r="D17">
            <v>68386</v>
          </cell>
          <cell r="E17">
            <v>-999200.33</v>
          </cell>
        </row>
        <row r="18">
          <cell r="B18">
            <v>146</v>
          </cell>
          <cell r="C18">
            <v>0</v>
          </cell>
          <cell r="D18">
            <v>-23553965.359999999</v>
          </cell>
          <cell r="E18">
            <v>0</v>
          </cell>
        </row>
        <row r="19">
          <cell r="B19">
            <v>151</v>
          </cell>
          <cell r="C19">
            <v>0</v>
          </cell>
          <cell r="D19">
            <v>8041665.4199999999</v>
          </cell>
          <cell r="E19">
            <v>55142161.009999998</v>
          </cell>
        </row>
        <row r="20">
          <cell r="B20">
            <v>152</v>
          </cell>
          <cell r="C20">
            <v>0</v>
          </cell>
          <cell r="D20">
            <v>26969.65</v>
          </cell>
          <cell r="E20">
            <v>26969.65</v>
          </cell>
        </row>
        <row r="21">
          <cell r="B21">
            <v>154</v>
          </cell>
          <cell r="C21">
            <v>0</v>
          </cell>
          <cell r="D21">
            <v>70922.09</v>
          </cell>
          <cell r="E21">
            <v>66462777.460000001</v>
          </cell>
        </row>
        <row r="22">
          <cell r="B22">
            <v>158</v>
          </cell>
          <cell r="C22">
            <v>0</v>
          </cell>
          <cell r="D22">
            <v>-3609.79</v>
          </cell>
          <cell r="E22">
            <v>6329744.96</v>
          </cell>
        </row>
        <row r="23">
          <cell r="B23">
            <v>165</v>
          </cell>
          <cell r="C23">
            <v>0</v>
          </cell>
          <cell r="D23">
            <v>449057.06</v>
          </cell>
          <cell r="E23">
            <v>20153323.289999999</v>
          </cell>
        </row>
        <row r="24">
          <cell r="B24">
            <v>171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172</v>
          </cell>
          <cell r="C25">
            <v>0</v>
          </cell>
          <cell r="D25">
            <v>-221393.03</v>
          </cell>
          <cell r="E25">
            <v>670099.61</v>
          </cell>
        </row>
        <row r="26">
          <cell r="B26">
            <v>173</v>
          </cell>
          <cell r="C26">
            <v>0</v>
          </cell>
          <cell r="D26">
            <v>-991032.27</v>
          </cell>
          <cell r="E26">
            <v>56649753.549999997</v>
          </cell>
        </row>
        <row r="27">
          <cell r="B27">
            <v>175</v>
          </cell>
          <cell r="C27">
            <v>0</v>
          </cell>
          <cell r="D27">
            <v>-4650.49</v>
          </cell>
          <cell r="E27">
            <v>79176.539999999994</v>
          </cell>
        </row>
        <row r="28">
          <cell r="B28">
            <v>176</v>
          </cell>
          <cell r="C28">
            <v>0</v>
          </cell>
          <cell r="D28">
            <v>-566570.88</v>
          </cell>
          <cell r="E28">
            <v>23044.51</v>
          </cell>
        </row>
        <row r="29">
          <cell r="B29">
            <v>181</v>
          </cell>
          <cell r="C29">
            <v>0</v>
          </cell>
          <cell r="D29">
            <v>-94632.06</v>
          </cell>
          <cell r="E29">
            <v>9095550.6600000001</v>
          </cell>
        </row>
        <row r="30">
          <cell r="B30">
            <v>182</v>
          </cell>
          <cell r="C30">
            <v>0</v>
          </cell>
          <cell r="D30">
            <v>-2515074.08</v>
          </cell>
          <cell r="E30">
            <v>552723572.42999995</v>
          </cell>
        </row>
        <row r="31">
          <cell r="B31">
            <v>184</v>
          </cell>
          <cell r="C31">
            <v>0</v>
          </cell>
          <cell r="D31">
            <v>18895.64</v>
          </cell>
          <cell r="E31">
            <v>27057.59</v>
          </cell>
        </row>
        <row r="32">
          <cell r="B32">
            <v>185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186</v>
          </cell>
          <cell r="C33">
            <v>0</v>
          </cell>
          <cell r="D33">
            <v>4041145.61</v>
          </cell>
          <cell r="E33">
            <v>15386408.380000001</v>
          </cell>
        </row>
        <row r="34">
          <cell r="B34">
            <v>189</v>
          </cell>
          <cell r="C34">
            <v>0</v>
          </cell>
          <cell r="D34">
            <v>-98445.51</v>
          </cell>
          <cell r="E34">
            <v>15146147.82</v>
          </cell>
        </row>
        <row r="35">
          <cell r="B35">
            <v>190</v>
          </cell>
          <cell r="C35">
            <v>0</v>
          </cell>
          <cell r="D35">
            <v>4083312.26</v>
          </cell>
          <cell r="E35">
            <v>182170338.88</v>
          </cell>
        </row>
        <row r="36">
          <cell r="B36">
            <v>201</v>
          </cell>
          <cell r="C36">
            <v>0</v>
          </cell>
          <cell r="D36">
            <v>0</v>
          </cell>
          <cell r="E36">
            <v>-678060000</v>
          </cell>
        </row>
        <row r="37">
          <cell r="B37">
            <v>211</v>
          </cell>
          <cell r="C37">
            <v>0</v>
          </cell>
          <cell r="D37">
            <v>-345245127.61000001</v>
          </cell>
          <cell r="E37">
            <v>-983098089.84000003</v>
          </cell>
        </row>
        <row r="38">
          <cell r="B38">
            <v>216</v>
          </cell>
          <cell r="C38">
            <v>0</v>
          </cell>
          <cell r="D38">
            <v>0</v>
          </cell>
          <cell r="E38">
            <v>-259071170.33000001</v>
          </cell>
        </row>
        <row r="39">
          <cell r="B39">
            <v>219</v>
          </cell>
          <cell r="C39">
            <v>0</v>
          </cell>
          <cell r="D39">
            <v>2815.32</v>
          </cell>
          <cell r="E39">
            <v>528594.87</v>
          </cell>
        </row>
        <row r="40">
          <cell r="B40">
            <v>224</v>
          </cell>
          <cell r="C40">
            <v>0</v>
          </cell>
          <cell r="D40">
            <v>0</v>
          </cell>
          <cell r="E40">
            <v>-1298955000</v>
          </cell>
        </row>
        <row r="41">
          <cell r="B41">
            <v>226</v>
          </cell>
          <cell r="C41">
            <v>0</v>
          </cell>
          <cell r="D41">
            <v>-32913.03</v>
          </cell>
          <cell r="E41">
            <v>4358327.3</v>
          </cell>
        </row>
        <row r="42">
          <cell r="B42">
            <v>228</v>
          </cell>
          <cell r="C42">
            <v>0</v>
          </cell>
          <cell r="D42">
            <v>-3498175.33</v>
          </cell>
          <cell r="E42">
            <v>-296782330</v>
          </cell>
        </row>
        <row r="43">
          <cell r="B43">
            <v>229</v>
          </cell>
          <cell r="C43">
            <v>0</v>
          </cell>
          <cell r="D43">
            <v>-322206</v>
          </cell>
          <cell r="E43">
            <v>-472090.2</v>
          </cell>
        </row>
        <row r="44">
          <cell r="B44">
            <v>230</v>
          </cell>
          <cell r="C44">
            <v>0</v>
          </cell>
          <cell r="D44">
            <v>-14607075.66</v>
          </cell>
          <cell r="E44">
            <v>-78285431.069999993</v>
          </cell>
        </row>
        <row r="45">
          <cell r="B45">
            <v>232</v>
          </cell>
          <cell r="C45">
            <v>0</v>
          </cell>
          <cell r="D45">
            <v>56810476.630000003</v>
          </cell>
          <cell r="E45">
            <v>-190619107.33000001</v>
          </cell>
        </row>
        <row r="46">
          <cell r="B46">
            <v>233</v>
          </cell>
          <cell r="C46">
            <v>0</v>
          </cell>
          <cell r="D46">
            <v>109937802.77</v>
          </cell>
          <cell r="E46">
            <v>0</v>
          </cell>
        </row>
        <row r="47">
          <cell r="B47">
            <v>234</v>
          </cell>
          <cell r="C47">
            <v>0</v>
          </cell>
          <cell r="D47">
            <v>133331177.31999999</v>
          </cell>
          <cell r="E47">
            <v>0</v>
          </cell>
        </row>
        <row r="48">
          <cell r="B48">
            <v>235</v>
          </cell>
          <cell r="C48">
            <v>0</v>
          </cell>
          <cell r="D48">
            <v>183766.62</v>
          </cell>
          <cell r="E48">
            <v>-34412173.780000001</v>
          </cell>
        </row>
        <row r="49">
          <cell r="B49">
            <v>236</v>
          </cell>
          <cell r="C49">
            <v>0</v>
          </cell>
          <cell r="D49">
            <v>-51097873.380000003</v>
          </cell>
          <cell r="E49">
            <v>-17895274.84</v>
          </cell>
        </row>
        <row r="50">
          <cell r="B50">
            <v>237</v>
          </cell>
          <cell r="C50">
            <v>0</v>
          </cell>
          <cell r="D50">
            <v>-711372.09</v>
          </cell>
          <cell r="E50">
            <v>-8560855.4299999997</v>
          </cell>
        </row>
        <row r="51">
          <cell r="B51">
            <v>238</v>
          </cell>
          <cell r="C51">
            <v>0</v>
          </cell>
          <cell r="D51">
            <v>38201000</v>
          </cell>
          <cell r="E51">
            <v>0</v>
          </cell>
        </row>
        <row r="52">
          <cell r="B52">
            <v>241</v>
          </cell>
          <cell r="C52">
            <v>0</v>
          </cell>
          <cell r="D52">
            <v>-276254.34999999998</v>
          </cell>
          <cell r="E52">
            <v>-1463547.8</v>
          </cell>
        </row>
        <row r="53">
          <cell r="B53">
            <v>242</v>
          </cell>
          <cell r="C53">
            <v>0</v>
          </cell>
          <cell r="D53">
            <v>27010357.920000002</v>
          </cell>
          <cell r="E53">
            <v>-13268221.35</v>
          </cell>
        </row>
        <row r="54">
          <cell r="B54">
            <v>244</v>
          </cell>
          <cell r="C54">
            <v>0</v>
          </cell>
          <cell r="D54">
            <v>-7806.52</v>
          </cell>
          <cell r="E54">
            <v>-40213.17</v>
          </cell>
        </row>
        <row r="55">
          <cell r="B55">
            <v>245</v>
          </cell>
          <cell r="C55">
            <v>0</v>
          </cell>
          <cell r="D55">
            <v>-1321354.25</v>
          </cell>
          <cell r="E55">
            <v>-6362271.0700000003</v>
          </cell>
        </row>
        <row r="56">
          <cell r="B56">
            <v>253</v>
          </cell>
          <cell r="C56">
            <v>0</v>
          </cell>
          <cell r="D56">
            <v>17923560.359999999</v>
          </cell>
          <cell r="E56">
            <v>-249691723.74000001</v>
          </cell>
        </row>
        <row r="57">
          <cell r="B57">
            <v>254</v>
          </cell>
          <cell r="C57">
            <v>0</v>
          </cell>
          <cell r="D57">
            <v>6212589.4800000004</v>
          </cell>
          <cell r="E57">
            <v>-435909111.14999998</v>
          </cell>
        </row>
        <row r="58">
          <cell r="B58">
            <v>255</v>
          </cell>
          <cell r="C58">
            <v>0</v>
          </cell>
          <cell r="D58">
            <v>27018.21</v>
          </cell>
          <cell r="E58">
            <v>-966065.35</v>
          </cell>
        </row>
        <row r="59">
          <cell r="B59">
            <v>281</v>
          </cell>
          <cell r="C59">
            <v>0</v>
          </cell>
          <cell r="D59">
            <v>-378892.55</v>
          </cell>
          <cell r="E59">
            <v>-152030729.44</v>
          </cell>
        </row>
        <row r="60">
          <cell r="B60">
            <v>282</v>
          </cell>
          <cell r="C60">
            <v>0</v>
          </cell>
          <cell r="D60">
            <v>-4503814.54</v>
          </cell>
          <cell r="E60">
            <v>-518024471.82999998</v>
          </cell>
        </row>
        <row r="61">
          <cell r="B61">
            <v>283</v>
          </cell>
          <cell r="C61">
            <v>0</v>
          </cell>
          <cell r="D61">
            <v>-5673866.0700000003</v>
          </cell>
          <cell r="E61">
            <v>-130031594.53</v>
          </cell>
        </row>
        <row r="62">
          <cell r="B62">
            <v>403</v>
          </cell>
          <cell r="C62">
            <v>0</v>
          </cell>
          <cell r="D62">
            <v>15530747.029999999</v>
          </cell>
          <cell r="E62">
            <v>182669988.66999999</v>
          </cell>
        </row>
        <row r="63">
          <cell r="B63">
            <v>404</v>
          </cell>
          <cell r="C63">
            <v>0</v>
          </cell>
          <cell r="D63">
            <v>493674.8</v>
          </cell>
          <cell r="E63">
            <v>6066789.8600000003</v>
          </cell>
        </row>
        <row r="64">
          <cell r="B64">
            <v>407</v>
          </cell>
          <cell r="C64">
            <v>0</v>
          </cell>
          <cell r="D64">
            <v>-98752.6</v>
          </cell>
          <cell r="E64">
            <v>-171021.19</v>
          </cell>
        </row>
        <row r="65">
          <cell r="B65">
            <v>408</v>
          </cell>
          <cell r="C65">
            <v>0</v>
          </cell>
          <cell r="D65">
            <v>8564397.1799999997</v>
          </cell>
          <cell r="E65">
            <v>117976148.36</v>
          </cell>
        </row>
        <row r="66">
          <cell r="B66">
            <v>409</v>
          </cell>
          <cell r="C66">
            <v>0</v>
          </cell>
          <cell r="D66">
            <v>-3006906.7</v>
          </cell>
          <cell r="E66">
            <v>-23082681.620000001</v>
          </cell>
        </row>
        <row r="67">
          <cell r="B67">
            <v>410</v>
          </cell>
          <cell r="C67">
            <v>0</v>
          </cell>
          <cell r="D67">
            <v>22091771.399999999</v>
          </cell>
          <cell r="E67">
            <v>158930355.61000001</v>
          </cell>
        </row>
        <row r="68">
          <cell r="B68">
            <v>411</v>
          </cell>
          <cell r="C68">
            <v>0</v>
          </cell>
          <cell r="D68">
            <v>-22750982.809999999</v>
          </cell>
          <cell r="E68">
            <v>-153594251.22999999</v>
          </cell>
        </row>
        <row r="69">
          <cell r="B69">
            <v>415</v>
          </cell>
          <cell r="C69">
            <v>0</v>
          </cell>
          <cell r="D69">
            <v>-169646.6</v>
          </cell>
          <cell r="E69">
            <v>-2405609.2000000002</v>
          </cell>
        </row>
        <row r="70">
          <cell r="B70">
            <v>416</v>
          </cell>
          <cell r="C70">
            <v>0</v>
          </cell>
          <cell r="D70">
            <v>81947.259999999995</v>
          </cell>
          <cell r="E70">
            <v>1331772.3999999999</v>
          </cell>
        </row>
        <row r="71">
          <cell r="B71">
            <v>418</v>
          </cell>
          <cell r="C71">
            <v>0</v>
          </cell>
          <cell r="D71">
            <v>-20388.93</v>
          </cell>
          <cell r="E71">
            <v>65489.33</v>
          </cell>
        </row>
        <row r="72">
          <cell r="B72">
            <v>419</v>
          </cell>
          <cell r="C72">
            <v>0</v>
          </cell>
          <cell r="D72">
            <v>-8544.64</v>
          </cell>
          <cell r="E72">
            <v>-163130.65</v>
          </cell>
        </row>
        <row r="73">
          <cell r="B73">
            <v>421</v>
          </cell>
          <cell r="C73">
            <v>0</v>
          </cell>
          <cell r="D73">
            <v>-20710.82</v>
          </cell>
          <cell r="E73">
            <v>-591153.35</v>
          </cell>
        </row>
        <row r="74">
          <cell r="B74">
            <v>425</v>
          </cell>
          <cell r="C74">
            <v>0</v>
          </cell>
          <cell r="D74">
            <v>21276</v>
          </cell>
          <cell r="E74">
            <v>255312</v>
          </cell>
        </row>
        <row r="75">
          <cell r="B75">
            <v>426</v>
          </cell>
          <cell r="C75">
            <v>0</v>
          </cell>
          <cell r="D75">
            <v>3700119.25</v>
          </cell>
          <cell r="E75">
            <v>19085194.010000002</v>
          </cell>
        </row>
        <row r="76">
          <cell r="B76">
            <v>427</v>
          </cell>
          <cell r="C76">
            <v>0</v>
          </cell>
          <cell r="D76">
            <v>3994170.02</v>
          </cell>
          <cell r="E76">
            <v>47587233</v>
          </cell>
        </row>
        <row r="77">
          <cell r="B77">
            <v>428</v>
          </cell>
          <cell r="C77">
            <v>0</v>
          </cell>
          <cell r="D77">
            <v>230041.96</v>
          </cell>
          <cell r="E77">
            <v>2332913.7599999998</v>
          </cell>
        </row>
        <row r="78">
          <cell r="B78">
            <v>430</v>
          </cell>
          <cell r="C78">
            <v>0</v>
          </cell>
          <cell r="D78">
            <v>394675.11</v>
          </cell>
          <cell r="E78">
            <v>1513433.09</v>
          </cell>
        </row>
        <row r="79">
          <cell r="B79">
            <v>431</v>
          </cell>
          <cell r="C79">
            <v>0</v>
          </cell>
          <cell r="D79">
            <v>195830.45</v>
          </cell>
          <cell r="E79">
            <v>1843861.01</v>
          </cell>
        </row>
        <row r="80">
          <cell r="B80">
            <v>432</v>
          </cell>
          <cell r="C80">
            <v>0</v>
          </cell>
          <cell r="D80">
            <v>-3456.91</v>
          </cell>
          <cell r="E80">
            <v>-40435.46</v>
          </cell>
        </row>
        <row r="81">
          <cell r="B81">
            <v>438</v>
          </cell>
          <cell r="C81">
            <v>0</v>
          </cell>
          <cell r="D81">
            <v>0</v>
          </cell>
          <cell r="E81">
            <v>153370000</v>
          </cell>
        </row>
        <row r="82">
          <cell r="B82">
            <v>439</v>
          </cell>
          <cell r="C82">
            <v>0</v>
          </cell>
          <cell r="D82">
            <v>0</v>
          </cell>
          <cell r="E82">
            <v>-105720.5</v>
          </cell>
        </row>
        <row r="83">
          <cell r="B83">
            <v>440</v>
          </cell>
          <cell r="C83">
            <v>0</v>
          </cell>
          <cell r="D83">
            <v>-53431718.799999997</v>
          </cell>
          <cell r="E83">
            <v>-728193758.29999995</v>
          </cell>
        </row>
        <row r="84">
          <cell r="B84">
            <v>442</v>
          </cell>
          <cell r="C84">
            <v>0</v>
          </cell>
          <cell r="D84">
            <v>-37430447.990000002</v>
          </cell>
          <cell r="E84">
            <v>-540359975.42999995</v>
          </cell>
        </row>
        <row r="85">
          <cell r="B85">
            <v>444</v>
          </cell>
          <cell r="C85">
            <v>0</v>
          </cell>
          <cell r="D85">
            <v>-414144.61</v>
          </cell>
          <cell r="E85">
            <v>-5126034.46</v>
          </cell>
        </row>
        <row r="86">
          <cell r="B86">
            <v>447</v>
          </cell>
          <cell r="C86">
            <v>0</v>
          </cell>
          <cell r="D86">
            <v>-23916910.719999999</v>
          </cell>
          <cell r="E86">
            <v>-186897749.91</v>
          </cell>
        </row>
        <row r="87">
          <cell r="B87">
            <v>449</v>
          </cell>
          <cell r="C87">
            <v>0</v>
          </cell>
          <cell r="D87">
            <v>322206</v>
          </cell>
          <cell r="E87">
            <v>292775.46000000002</v>
          </cell>
        </row>
        <row r="88">
          <cell r="B88">
            <v>451</v>
          </cell>
          <cell r="C88">
            <v>0</v>
          </cell>
          <cell r="D88">
            <v>-3606089.07</v>
          </cell>
          <cell r="E88">
            <v>-49220341.590000004</v>
          </cell>
        </row>
        <row r="89">
          <cell r="B89">
            <v>454</v>
          </cell>
          <cell r="C89">
            <v>0</v>
          </cell>
          <cell r="D89">
            <v>-553051.09</v>
          </cell>
          <cell r="E89">
            <v>-5943313.6600000001</v>
          </cell>
        </row>
        <row r="90">
          <cell r="B90">
            <v>456</v>
          </cell>
          <cell r="C90">
            <v>0</v>
          </cell>
          <cell r="D90">
            <v>-3952608.37</v>
          </cell>
          <cell r="E90">
            <v>49694982.920000002</v>
          </cell>
        </row>
        <row r="91">
          <cell r="B91">
            <v>500</v>
          </cell>
          <cell r="C91">
            <v>0</v>
          </cell>
          <cell r="D91">
            <v>893643.05</v>
          </cell>
          <cell r="E91">
            <v>9843093.9000000004</v>
          </cell>
        </row>
        <row r="92">
          <cell r="B92">
            <v>501</v>
          </cell>
          <cell r="C92">
            <v>0</v>
          </cell>
          <cell r="D92">
            <v>18046301.920000002</v>
          </cell>
          <cell r="E92">
            <v>181503675.31999999</v>
          </cell>
        </row>
        <row r="93">
          <cell r="B93">
            <v>502</v>
          </cell>
          <cell r="C93">
            <v>0</v>
          </cell>
          <cell r="D93">
            <v>1663260.16</v>
          </cell>
          <cell r="E93">
            <v>15745452.26</v>
          </cell>
        </row>
        <row r="94">
          <cell r="B94">
            <v>505</v>
          </cell>
          <cell r="C94">
            <v>0</v>
          </cell>
          <cell r="D94">
            <v>370598.48</v>
          </cell>
          <cell r="E94">
            <v>4274298.67</v>
          </cell>
        </row>
        <row r="95">
          <cell r="B95">
            <v>506</v>
          </cell>
          <cell r="C95">
            <v>0</v>
          </cell>
          <cell r="D95">
            <v>2052167.01</v>
          </cell>
          <cell r="E95">
            <v>17670502.140000001</v>
          </cell>
        </row>
        <row r="96">
          <cell r="B96">
            <v>509</v>
          </cell>
          <cell r="C96">
            <v>0</v>
          </cell>
          <cell r="D96">
            <v>3609.79</v>
          </cell>
          <cell r="E96">
            <v>58543.7</v>
          </cell>
        </row>
        <row r="97">
          <cell r="B97">
            <v>510</v>
          </cell>
          <cell r="C97">
            <v>0</v>
          </cell>
          <cell r="D97">
            <v>503490.2</v>
          </cell>
          <cell r="E97">
            <v>6613463.1799999997</v>
          </cell>
        </row>
        <row r="98">
          <cell r="B98">
            <v>511</v>
          </cell>
          <cell r="C98">
            <v>0</v>
          </cell>
          <cell r="D98">
            <v>1056065.1599999999</v>
          </cell>
          <cell r="E98">
            <v>7490600.8799999999</v>
          </cell>
        </row>
        <row r="99">
          <cell r="B99">
            <v>512</v>
          </cell>
          <cell r="C99">
            <v>0</v>
          </cell>
          <cell r="D99">
            <v>2949730.2</v>
          </cell>
          <cell r="E99">
            <v>36655275.770000003</v>
          </cell>
        </row>
        <row r="100">
          <cell r="B100">
            <v>513</v>
          </cell>
          <cell r="C100">
            <v>0</v>
          </cell>
          <cell r="D100">
            <v>453910.19</v>
          </cell>
          <cell r="E100">
            <v>3956678.86</v>
          </cell>
        </row>
        <row r="101">
          <cell r="B101">
            <v>514</v>
          </cell>
          <cell r="C101">
            <v>0</v>
          </cell>
          <cell r="D101">
            <v>482866.69</v>
          </cell>
          <cell r="E101">
            <v>4843503.53</v>
          </cell>
        </row>
        <row r="102">
          <cell r="B102">
            <v>546</v>
          </cell>
          <cell r="C102">
            <v>0</v>
          </cell>
          <cell r="D102">
            <v>215474.5</v>
          </cell>
          <cell r="E102">
            <v>2389044.8199999998</v>
          </cell>
        </row>
        <row r="103">
          <cell r="B103">
            <v>547</v>
          </cell>
          <cell r="C103">
            <v>0</v>
          </cell>
          <cell r="D103">
            <v>22640842.219999999</v>
          </cell>
          <cell r="E103">
            <v>238949620.66999999</v>
          </cell>
        </row>
        <row r="104">
          <cell r="B104">
            <v>548</v>
          </cell>
          <cell r="C104">
            <v>0</v>
          </cell>
          <cell r="D104">
            <v>146700.09</v>
          </cell>
          <cell r="E104">
            <v>1217834.42</v>
          </cell>
        </row>
        <row r="105">
          <cell r="B105">
            <v>549</v>
          </cell>
          <cell r="C105">
            <v>0</v>
          </cell>
          <cell r="D105">
            <v>305313.53000000003</v>
          </cell>
          <cell r="E105">
            <v>2238800.73</v>
          </cell>
        </row>
        <row r="106">
          <cell r="B106">
            <v>551</v>
          </cell>
          <cell r="C106">
            <v>0</v>
          </cell>
          <cell r="D106">
            <v>79726.84</v>
          </cell>
          <cell r="E106">
            <v>948488.4</v>
          </cell>
        </row>
        <row r="107">
          <cell r="B107">
            <v>552</v>
          </cell>
          <cell r="C107">
            <v>0</v>
          </cell>
          <cell r="D107">
            <v>215962.96</v>
          </cell>
          <cell r="E107">
            <v>1000459.82</v>
          </cell>
        </row>
        <row r="108">
          <cell r="B108">
            <v>553</v>
          </cell>
          <cell r="C108">
            <v>0</v>
          </cell>
          <cell r="D108">
            <v>1109387.1299999999</v>
          </cell>
          <cell r="E108">
            <v>8110504.7599999998</v>
          </cell>
        </row>
        <row r="109">
          <cell r="B109">
            <v>554</v>
          </cell>
          <cell r="C109">
            <v>0</v>
          </cell>
          <cell r="D109">
            <v>49048.87</v>
          </cell>
          <cell r="E109">
            <v>655383.24</v>
          </cell>
        </row>
        <row r="110">
          <cell r="B110">
            <v>555</v>
          </cell>
          <cell r="C110">
            <v>0</v>
          </cell>
          <cell r="D110">
            <v>12966951.300000001</v>
          </cell>
          <cell r="E110">
            <v>177488596.19</v>
          </cell>
        </row>
        <row r="111">
          <cell r="B111">
            <v>556</v>
          </cell>
          <cell r="C111">
            <v>0</v>
          </cell>
          <cell r="D111">
            <v>144420.32999999999</v>
          </cell>
          <cell r="E111">
            <v>1341411.25</v>
          </cell>
        </row>
        <row r="112">
          <cell r="B112">
            <v>557</v>
          </cell>
          <cell r="C112">
            <v>0</v>
          </cell>
          <cell r="D112">
            <v>196200.29</v>
          </cell>
          <cell r="E112">
            <v>2007101.09</v>
          </cell>
        </row>
        <row r="113">
          <cell r="B113">
            <v>560</v>
          </cell>
          <cell r="C113">
            <v>0</v>
          </cell>
          <cell r="D113">
            <v>347658.3</v>
          </cell>
          <cell r="E113">
            <v>1892293.57</v>
          </cell>
        </row>
        <row r="114">
          <cell r="B114">
            <v>561</v>
          </cell>
          <cell r="C114">
            <v>0</v>
          </cell>
          <cell r="D114">
            <v>321264.74</v>
          </cell>
          <cell r="E114">
            <v>3686008.42</v>
          </cell>
        </row>
        <row r="115">
          <cell r="B115">
            <v>562</v>
          </cell>
          <cell r="C115">
            <v>0</v>
          </cell>
          <cell r="D115">
            <v>19384.669999999998</v>
          </cell>
          <cell r="E115">
            <v>261570.58</v>
          </cell>
        </row>
        <row r="116">
          <cell r="B116">
            <v>563</v>
          </cell>
          <cell r="C116">
            <v>0</v>
          </cell>
          <cell r="D116">
            <v>0</v>
          </cell>
          <cell r="E116">
            <v>28440.53</v>
          </cell>
        </row>
        <row r="117">
          <cell r="B117">
            <v>565</v>
          </cell>
          <cell r="C117">
            <v>0</v>
          </cell>
          <cell r="D117">
            <v>5226.62</v>
          </cell>
          <cell r="E117">
            <v>63875.32</v>
          </cell>
        </row>
        <row r="118">
          <cell r="B118">
            <v>566</v>
          </cell>
          <cell r="C118">
            <v>0</v>
          </cell>
          <cell r="D118">
            <v>557566.86</v>
          </cell>
          <cell r="E118">
            <v>1428897.69</v>
          </cell>
        </row>
        <row r="119">
          <cell r="B119">
            <v>567</v>
          </cell>
          <cell r="C119">
            <v>0</v>
          </cell>
          <cell r="D119">
            <v>1064017.1599999999</v>
          </cell>
          <cell r="E119">
            <v>12843147.18</v>
          </cell>
        </row>
        <row r="120">
          <cell r="B120">
            <v>568</v>
          </cell>
          <cell r="C120">
            <v>0</v>
          </cell>
          <cell r="D120">
            <v>125847.45</v>
          </cell>
          <cell r="E120">
            <v>1027772.84</v>
          </cell>
        </row>
        <row r="121">
          <cell r="B121">
            <v>569</v>
          </cell>
          <cell r="C121">
            <v>0</v>
          </cell>
          <cell r="D121">
            <v>64996.27</v>
          </cell>
          <cell r="E121">
            <v>513461.82</v>
          </cell>
        </row>
        <row r="122">
          <cell r="B122">
            <v>570</v>
          </cell>
          <cell r="C122">
            <v>0</v>
          </cell>
          <cell r="D122">
            <v>58098.47</v>
          </cell>
          <cell r="E122">
            <v>759881.78</v>
          </cell>
        </row>
        <row r="123">
          <cell r="B123">
            <v>571</v>
          </cell>
          <cell r="C123">
            <v>0</v>
          </cell>
          <cell r="D123">
            <v>875097.94</v>
          </cell>
          <cell r="E123">
            <v>3196118.83</v>
          </cell>
        </row>
        <row r="124">
          <cell r="B124">
            <v>572</v>
          </cell>
          <cell r="C124">
            <v>0</v>
          </cell>
          <cell r="D124">
            <v>0</v>
          </cell>
          <cell r="E124">
            <v>939.28</v>
          </cell>
        </row>
        <row r="125">
          <cell r="B125">
            <v>573</v>
          </cell>
          <cell r="C125">
            <v>0</v>
          </cell>
          <cell r="D125">
            <v>26122.93</v>
          </cell>
          <cell r="E125">
            <v>191492.37</v>
          </cell>
        </row>
        <row r="126">
          <cell r="B126">
            <v>580</v>
          </cell>
          <cell r="C126">
            <v>0</v>
          </cell>
          <cell r="D126">
            <v>663070.75</v>
          </cell>
          <cell r="E126">
            <v>5905550.1299999999</v>
          </cell>
        </row>
        <row r="127">
          <cell r="B127">
            <v>581</v>
          </cell>
          <cell r="C127">
            <v>0</v>
          </cell>
          <cell r="D127">
            <v>69755.820000000007</v>
          </cell>
          <cell r="E127">
            <v>642581.64</v>
          </cell>
        </row>
        <row r="128">
          <cell r="B128">
            <v>582</v>
          </cell>
          <cell r="C128">
            <v>0</v>
          </cell>
          <cell r="D128">
            <v>36503.199999999997</v>
          </cell>
          <cell r="E128">
            <v>633483.41</v>
          </cell>
        </row>
        <row r="129">
          <cell r="B129">
            <v>583</v>
          </cell>
          <cell r="C129">
            <v>0</v>
          </cell>
          <cell r="D129">
            <v>-304950.98</v>
          </cell>
          <cell r="E129">
            <v>2158614.86</v>
          </cell>
        </row>
        <row r="130">
          <cell r="B130">
            <v>584</v>
          </cell>
          <cell r="C130">
            <v>0</v>
          </cell>
          <cell r="D130">
            <v>-206802.81</v>
          </cell>
          <cell r="E130">
            <v>1749072.06</v>
          </cell>
        </row>
        <row r="131">
          <cell r="B131">
            <v>585</v>
          </cell>
          <cell r="C131">
            <v>0</v>
          </cell>
          <cell r="D131">
            <v>60668.76</v>
          </cell>
          <cell r="E131">
            <v>724926.78</v>
          </cell>
        </row>
        <row r="132">
          <cell r="B132">
            <v>586</v>
          </cell>
          <cell r="C132">
            <v>0</v>
          </cell>
          <cell r="D132">
            <v>323008.46999999997</v>
          </cell>
          <cell r="E132">
            <v>2187236.67</v>
          </cell>
        </row>
        <row r="133">
          <cell r="B133">
            <v>587</v>
          </cell>
          <cell r="C133">
            <v>0</v>
          </cell>
          <cell r="D133">
            <v>142701.56</v>
          </cell>
          <cell r="E133">
            <v>1490398.05</v>
          </cell>
        </row>
        <row r="134">
          <cell r="B134">
            <v>588</v>
          </cell>
          <cell r="C134">
            <v>0</v>
          </cell>
          <cell r="D134">
            <v>1453005.06</v>
          </cell>
          <cell r="E134">
            <v>5269494.9800000004</v>
          </cell>
        </row>
        <row r="135">
          <cell r="B135">
            <v>590</v>
          </cell>
          <cell r="C135">
            <v>0</v>
          </cell>
          <cell r="D135">
            <v>292375.71000000002</v>
          </cell>
          <cell r="E135">
            <v>3044777.47</v>
          </cell>
        </row>
        <row r="136">
          <cell r="B136">
            <v>591</v>
          </cell>
          <cell r="C136">
            <v>0</v>
          </cell>
          <cell r="D136">
            <v>-111879.88</v>
          </cell>
          <cell r="E136">
            <v>3179782.33</v>
          </cell>
        </row>
        <row r="137">
          <cell r="B137">
            <v>592</v>
          </cell>
          <cell r="C137">
            <v>0</v>
          </cell>
          <cell r="D137">
            <v>126683.63</v>
          </cell>
          <cell r="E137">
            <v>1245818.81</v>
          </cell>
        </row>
        <row r="138">
          <cell r="B138">
            <v>593</v>
          </cell>
          <cell r="C138">
            <v>0</v>
          </cell>
          <cell r="D138">
            <v>1273764.97</v>
          </cell>
          <cell r="E138">
            <v>15054811.060000001</v>
          </cell>
        </row>
        <row r="139">
          <cell r="B139">
            <v>594</v>
          </cell>
          <cell r="C139">
            <v>0</v>
          </cell>
          <cell r="D139">
            <v>247008.77</v>
          </cell>
          <cell r="E139">
            <v>1796181.06</v>
          </cell>
        </row>
        <row r="140">
          <cell r="B140">
            <v>595</v>
          </cell>
          <cell r="C140">
            <v>0</v>
          </cell>
          <cell r="D140">
            <v>66792.89</v>
          </cell>
          <cell r="E140">
            <v>747565.07</v>
          </cell>
        </row>
        <row r="141">
          <cell r="B141">
            <v>596</v>
          </cell>
          <cell r="C141">
            <v>0</v>
          </cell>
          <cell r="D141">
            <v>24251.61</v>
          </cell>
          <cell r="E141">
            <v>499751.6</v>
          </cell>
        </row>
        <row r="142">
          <cell r="B142">
            <v>597</v>
          </cell>
          <cell r="C142">
            <v>0</v>
          </cell>
          <cell r="D142">
            <v>24522.57</v>
          </cell>
          <cell r="E142">
            <v>181437.08</v>
          </cell>
        </row>
        <row r="143">
          <cell r="B143">
            <v>598</v>
          </cell>
          <cell r="C143">
            <v>0</v>
          </cell>
          <cell r="D143">
            <v>-29653.9</v>
          </cell>
          <cell r="E143">
            <v>626807.27</v>
          </cell>
        </row>
        <row r="144">
          <cell r="B144">
            <v>701</v>
          </cell>
          <cell r="C144">
            <v>0</v>
          </cell>
          <cell r="D144">
            <v>0</v>
          </cell>
          <cell r="E144">
            <v>0</v>
          </cell>
        </row>
        <row r="145">
          <cell r="B145">
            <v>703</v>
          </cell>
          <cell r="C145">
            <v>0</v>
          </cell>
          <cell r="D145">
            <v>0</v>
          </cell>
          <cell r="E145">
            <v>0</v>
          </cell>
        </row>
        <row r="146">
          <cell r="B146">
            <v>712</v>
          </cell>
          <cell r="C146">
            <v>0</v>
          </cell>
          <cell r="D146">
            <v>0</v>
          </cell>
          <cell r="E146">
            <v>0</v>
          </cell>
        </row>
        <row r="147">
          <cell r="B147">
            <v>713</v>
          </cell>
          <cell r="C147">
            <v>0</v>
          </cell>
          <cell r="D147">
            <v>0</v>
          </cell>
          <cell r="E147">
            <v>0</v>
          </cell>
        </row>
        <row r="148">
          <cell r="B148">
            <v>717</v>
          </cell>
          <cell r="C148">
            <v>0</v>
          </cell>
          <cell r="D148">
            <v>0</v>
          </cell>
          <cell r="E148">
            <v>0</v>
          </cell>
        </row>
        <row r="149">
          <cell r="B149">
            <v>718</v>
          </cell>
          <cell r="C149">
            <v>0</v>
          </cell>
          <cell r="D149">
            <v>-17.21</v>
          </cell>
          <cell r="E149">
            <v>15</v>
          </cell>
        </row>
        <row r="150">
          <cell r="B150">
            <v>729</v>
          </cell>
          <cell r="C150">
            <v>0</v>
          </cell>
          <cell r="D150">
            <v>-108089.32</v>
          </cell>
          <cell r="E150">
            <v>44206</v>
          </cell>
        </row>
        <row r="151">
          <cell r="B151">
            <v>735</v>
          </cell>
          <cell r="C151">
            <v>0</v>
          </cell>
          <cell r="D151">
            <v>0</v>
          </cell>
          <cell r="E151">
            <v>0</v>
          </cell>
        </row>
        <row r="152">
          <cell r="B152">
            <v>737</v>
          </cell>
          <cell r="C152">
            <v>0</v>
          </cell>
          <cell r="D152">
            <v>-5126.58</v>
          </cell>
          <cell r="E152">
            <v>0</v>
          </cell>
        </row>
        <row r="153">
          <cell r="B153">
            <v>740</v>
          </cell>
          <cell r="C153">
            <v>0</v>
          </cell>
          <cell r="D153">
            <v>-855222.34</v>
          </cell>
          <cell r="E153">
            <v>-399859.75</v>
          </cell>
        </row>
        <row r="154">
          <cell r="B154">
            <v>801</v>
          </cell>
          <cell r="C154">
            <v>0</v>
          </cell>
          <cell r="D154">
            <v>182635.56</v>
          </cell>
          <cell r="E154">
            <v>343732.62</v>
          </cell>
        </row>
        <row r="155">
          <cell r="B155">
            <v>802</v>
          </cell>
          <cell r="C155">
            <v>0</v>
          </cell>
          <cell r="D155">
            <v>-24800.25</v>
          </cell>
          <cell r="E155">
            <v>-10014.879999999999</v>
          </cell>
        </row>
        <row r="156">
          <cell r="B156">
            <v>805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809</v>
          </cell>
          <cell r="C157">
            <v>0</v>
          </cell>
          <cell r="D157">
            <v>-893.82</v>
          </cell>
          <cell r="E157">
            <v>0</v>
          </cell>
        </row>
        <row r="158">
          <cell r="B158">
            <v>812</v>
          </cell>
          <cell r="C158">
            <v>0</v>
          </cell>
          <cell r="D158">
            <v>73.2</v>
          </cell>
          <cell r="E158">
            <v>1942.47</v>
          </cell>
        </row>
        <row r="159">
          <cell r="B159">
            <v>820</v>
          </cell>
          <cell r="C159">
            <v>0</v>
          </cell>
          <cell r="D159">
            <v>-8019621.8799999999</v>
          </cell>
          <cell r="E159">
            <v>292039948.36000001</v>
          </cell>
        </row>
        <row r="160">
          <cell r="B160">
            <v>821</v>
          </cell>
          <cell r="C160">
            <v>0</v>
          </cell>
          <cell r="D160">
            <v>-3638.89</v>
          </cell>
          <cell r="E160">
            <v>35429.97</v>
          </cell>
        </row>
        <row r="161">
          <cell r="B161">
            <v>822</v>
          </cell>
          <cell r="C161">
            <v>0</v>
          </cell>
          <cell r="D161">
            <v>420169</v>
          </cell>
          <cell r="E161">
            <v>420193.9</v>
          </cell>
        </row>
        <row r="162">
          <cell r="B162">
            <v>891</v>
          </cell>
          <cell r="C162">
            <v>0</v>
          </cell>
          <cell r="D162">
            <v>57513.86</v>
          </cell>
          <cell r="E162">
            <v>431320.16</v>
          </cell>
        </row>
        <row r="163">
          <cell r="B163">
            <v>892</v>
          </cell>
          <cell r="C163">
            <v>0</v>
          </cell>
          <cell r="D163">
            <v>-514615.33</v>
          </cell>
          <cell r="E163">
            <v>6549909.5800000001</v>
          </cell>
        </row>
        <row r="164">
          <cell r="B164">
            <v>901</v>
          </cell>
          <cell r="C164">
            <v>0</v>
          </cell>
          <cell r="D164">
            <v>22672.92</v>
          </cell>
          <cell r="E164">
            <v>447293.89</v>
          </cell>
        </row>
        <row r="165">
          <cell r="B165">
            <v>902</v>
          </cell>
          <cell r="C165">
            <v>0</v>
          </cell>
          <cell r="D165">
            <v>88231.81</v>
          </cell>
          <cell r="E165">
            <v>851939.36</v>
          </cell>
        </row>
        <row r="166">
          <cell r="B166">
            <v>903</v>
          </cell>
          <cell r="C166">
            <v>0</v>
          </cell>
          <cell r="D166">
            <v>1812797.78</v>
          </cell>
          <cell r="E166">
            <v>16747400.49</v>
          </cell>
        </row>
        <row r="167">
          <cell r="B167">
            <v>904</v>
          </cell>
          <cell r="C167">
            <v>0</v>
          </cell>
          <cell r="D167">
            <v>352940.9</v>
          </cell>
          <cell r="E167">
            <v>4049175.35</v>
          </cell>
        </row>
        <row r="168">
          <cell r="B168">
            <v>905</v>
          </cell>
          <cell r="C168">
            <v>0</v>
          </cell>
          <cell r="D168">
            <v>77282.98</v>
          </cell>
          <cell r="E168">
            <v>1085814.75</v>
          </cell>
        </row>
        <row r="169">
          <cell r="B169">
            <v>907</v>
          </cell>
          <cell r="C169">
            <v>0</v>
          </cell>
          <cell r="D169">
            <v>683240.24</v>
          </cell>
          <cell r="E169">
            <v>1774644.9</v>
          </cell>
        </row>
        <row r="170">
          <cell r="B170">
            <v>908</v>
          </cell>
          <cell r="C170">
            <v>0</v>
          </cell>
          <cell r="D170">
            <v>2057927.55</v>
          </cell>
          <cell r="E170">
            <v>16391784.9</v>
          </cell>
        </row>
        <row r="171">
          <cell r="B171">
            <v>909</v>
          </cell>
          <cell r="C171">
            <v>0</v>
          </cell>
          <cell r="D171">
            <v>329728.14</v>
          </cell>
          <cell r="E171">
            <v>1289286.68</v>
          </cell>
        </row>
        <row r="172">
          <cell r="B172">
            <v>910</v>
          </cell>
          <cell r="C172">
            <v>0</v>
          </cell>
          <cell r="D172">
            <v>6751.34</v>
          </cell>
          <cell r="E172">
            <v>81016.09</v>
          </cell>
        </row>
        <row r="173">
          <cell r="B173">
            <v>912</v>
          </cell>
          <cell r="C173">
            <v>0</v>
          </cell>
          <cell r="D173">
            <v>724627.29</v>
          </cell>
          <cell r="E173">
            <v>2321722.2000000002</v>
          </cell>
        </row>
        <row r="174">
          <cell r="B174">
            <v>920</v>
          </cell>
          <cell r="C174">
            <v>0</v>
          </cell>
          <cell r="D174">
            <v>1370772.51</v>
          </cell>
          <cell r="E174">
            <v>19938490.510000002</v>
          </cell>
        </row>
        <row r="175">
          <cell r="B175">
            <v>921</v>
          </cell>
          <cell r="C175">
            <v>0</v>
          </cell>
          <cell r="D175">
            <v>493350.63</v>
          </cell>
          <cell r="E175">
            <v>3999741.64</v>
          </cell>
        </row>
        <row r="176">
          <cell r="B176">
            <v>922</v>
          </cell>
          <cell r="C176">
            <v>0</v>
          </cell>
          <cell r="D176">
            <v>-27594.49</v>
          </cell>
          <cell r="E176">
            <v>-349170.42</v>
          </cell>
        </row>
        <row r="177">
          <cell r="B177">
            <v>923</v>
          </cell>
          <cell r="C177">
            <v>0</v>
          </cell>
          <cell r="D177">
            <v>1885566.56</v>
          </cell>
          <cell r="E177">
            <v>19866731.390000001</v>
          </cell>
        </row>
        <row r="178">
          <cell r="B178">
            <v>924</v>
          </cell>
          <cell r="C178">
            <v>0</v>
          </cell>
          <cell r="D178">
            <v>6323955.1900000004</v>
          </cell>
          <cell r="E178">
            <v>30417128.829999998</v>
          </cell>
        </row>
        <row r="179">
          <cell r="B179">
            <v>925</v>
          </cell>
          <cell r="C179">
            <v>0</v>
          </cell>
          <cell r="D179">
            <v>184910.34</v>
          </cell>
          <cell r="E179">
            <v>2783428.05</v>
          </cell>
        </row>
        <row r="180">
          <cell r="B180">
            <v>926</v>
          </cell>
          <cell r="C180">
            <v>0</v>
          </cell>
          <cell r="D180">
            <v>707861.14</v>
          </cell>
          <cell r="E180">
            <v>16043458.640000001</v>
          </cell>
        </row>
        <row r="181">
          <cell r="B181">
            <v>928</v>
          </cell>
          <cell r="C181">
            <v>0</v>
          </cell>
          <cell r="D181">
            <v>89749.45</v>
          </cell>
          <cell r="E181">
            <v>947909.68</v>
          </cell>
        </row>
        <row r="182">
          <cell r="B182">
            <v>929</v>
          </cell>
          <cell r="C182">
            <v>0</v>
          </cell>
          <cell r="D182">
            <v>-41798.959999999999</v>
          </cell>
          <cell r="E182">
            <v>-1269793.8400000001</v>
          </cell>
        </row>
        <row r="183">
          <cell r="B183">
            <v>930</v>
          </cell>
          <cell r="C183">
            <v>0</v>
          </cell>
          <cell r="D183">
            <v>1244493.8799999999</v>
          </cell>
          <cell r="E183">
            <v>9213506.8699999992</v>
          </cell>
        </row>
        <row r="184">
          <cell r="B184">
            <v>931</v>
          </cell>
          <cell r="C184">
            <v>0</v>
          </cell>
          <cell r="D184">
            <v>18700.27</v>
          </cell>
          <cell r="E184">
            <v>217715.61</v>
          </cell>
        </row>
        <row r="185">
          <cell r="B185">
            <v>935</v>
          </cell>
          <cell r="C185">
            <v>0</v>
          </cell>
          <cell r="D185">
            <v>215479.64</v>
          </cell>
          <cell r="E185">
            <v>1723762.25</v>
          </cell>
        </row>
        <row r="186">
          <cell r="B186">
            <v>935</v>
          </cell>
          <cell r="C186">
            <v>0</v>
          </cell>
          <cell r="D186">
            <v>56836499.75</v>
          </cell>
          <cell r="E186">
            <v>4138594099.7600002</v>
          </cell>
        </row>
        <row r="187">
          <cell r="B187">
            <v>935</v>
          </cell>
          <cell r="C187">
            <v>0</v>
          </cell>
          <cell r="D187">
            <v>0</v>
          </cell>
          <cell r="E187">
            <v>0</v>
          </cell>
        </row>
        <row r="188">
          <cell r="B188">
            <v>0</v>
          </cell>
          <cell r="C188">
            <v>1</v>
          </cell>
          <cell r="D188">
            <v>0</v>
          </cell>
          <cell r="E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Overview"/>
      <sheetName val="Fuel Sheet"/>
      <sheetName val="Cost Summary"/>
      <sheetName val="IIC UPS"/>
      <sheetName val="Advance Interchange"/>
      <sheetName val="Variable O&amp;M Analysis Detailed"/>
      <sheetName val="Fuel Wash"/>
      <sheetName val="447"/>
      <sheetName val="Misc. Inputs"/>
      <sheetName val="Sch 13"/>
      <sheetName val="5000 RPT"/>
      <sheetName val="DO NOT ALTER"/>
      <sheetName val="Intchg_Anlys"/>
      <sheetName val="INVOICE"/>
      <sheetName val="VOM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Overview"/>
      <sheetName val="Fuel Sheet"/>
      <sheetName val="Cost Summary"/>
      <sheetName val="IIC UPS"/>
      <sheetName val="Advance Interchange"/>
      <sheetName val="Variable O&amp;M Analysis Detailed"/>
      <sheetName val="Fuel Wash"/>
      <sheetName val="447"/>
      <sheetName val="Misc. Inputs"/>
      <sheetName val="Sch 13"/>
      <sheetName val="5000 RPT"/>
      <sheetName val="DO NOT ALTER"/>
      <sheetName val="Intchg_Anlys"/>
      <sheetName val="INVOICE"/>
      <sheetName val="VOM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"/>
      <sheetName val="2ESumm3EInt"/>
      <sheetName val="4AOMVar"/>
      <sheetName val="5EOM"/>
      <sheetName val="6AInvVar"/>
      <sheetName val="7EInvSumm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Merc_Allow"/>
      <sheetName val="Ann_NOx"/>
      <sheetName val="Seas_NOx"/>
      <sheetName val="SO2"/>
      <sheetName val="Regulatory Asset"/>
      <sheetName val="9E"/>
      <sheetName val="9E 2"/>
      <sheetName val="10E"/>
      <sheetName val="O&amp;M"/>
      <sheetName val="O&amp;M Format"/>
      <sheetName val="Emissions"/>
      <sheetName val="C Check"/>
      <sheetName val="Exp"/>
      <sheetName val="Retirements"/>
      <sheetName val="Clear"/>
      <sheetName val="CostofRem"/>
      <sheetName val="Salvage"/>
      <sheetName val="Plant"/>
      <sheetName val="CWIP"/>
      <sheetName val="DepExp"/>
      <sheetName val="Dism"/>
      <sheetName val="AccDep"/>
      <sheetName val="AccDism"/>
      <sheetName val="AccDep&amp;Dism"/>
      <sheetName val="PEs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9">
          <cell r="C19">
            <v>1.0012000000000001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Summ3AInt"/>
      <sheetName val="4AOMVar"/>
      <sheetName val="5AOM"/>
      <sheetName val="6AInvVar"/>
      <sheetName val="7AInvSumm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Merc_Allow"/>
      <sheetName val="Ann_NOx"/>
      <sheetName val="Seas_NOx"/>
      <sheetName val="SO2"/>
      <sheetName val="Regulatory Asset"/>
      <sheetName val="9E"/>
      <sheetName val="9E 2"/>
      <sheetName val="10E"/>
      <sheetName val="O&amp;M"/>
      <sheetName val="O&amp;M Format"/>
      <sheetName val="Emissions"/>
      <sheetName val="C Check"/>
      <sheetName val="Exp"/>
      <sheetName val="Clear"/>
      <sheetName val="Retirements"/>
      <sheetName val="CostofRem"/>
      <sheetName val="Salvage"/>
      <sheetName val="Plant"/>
      <sheetName val="CWIP"/>
      <sheetName val="DepExp"/>
      <sheetName val="Dism"/>
      <sheetName val="AccDep"/>
      <sheetName val="AccDism"/>
      <sheetName val="AccDep&amp;Dism"/>
      <sheetName val="PEs"/>
      <sheetName val="Inputs"/>
      <sheetName val="Scherer Capital Inputs"/>
      <sheetName val="Scherer Expense Inputs"/>
      <sheetName val="Seas_NOx S3 Only"/>
      <sheetName val="SO2 S3 Onl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9">
          <cell r="C19">
            <v>1.0012000000000001</v>
          </cell>
        </row>
      </sheetData>
      <sheetData sheetId="61"/>
      <sheetData sheetId="62"/>
      <sheetData sheetId="63"/>
      <sheetData sheetId="6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"/>
      <sheetName val="2ESumm3EInt"/>
      <sheetName val="4EOMVar"/>
      <sheetName val="5EOM"/>
      <sheetName val="6EInvVar"/>
      <sheetName val="7EInvSumm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Merc_Allow"/>
      <sheetName val="Ann_NOx"/>
      <sheetName val="Seas_NOx"/>
      <sheetName val="SO2"/>
      <sheetName val="9E old"/>
      <sheetName val="9E"/>
      <sheetName val="O&amp;M Format"/>
      <sheetName val="O&amp;M"/>
      <sheetName val="Emissions"/>
      <sheetName val="CostofRem"/>
      <sheetName val="Exp"/>
      <sheetName val="Salvage"/>
      <sheetName val="Clear"/>
      <sheetName val="CWIP"/>
      <sheetName val="Retirements"/>
      <sheetName val="Plant"/>
      <sheetName val="DepExp"/>
      <sheetName val="Dism"/>
      <sheetName val="AccDism"/>
      <sheetName val="Dep&amp;Dism"/>
      <sheetName val="AccDep&amp;Dism"/>
      <sheetName val="AccDep"/>
      <sheetName val="PEs"/>
      <sheetName val="DepExp2010"/>
      <sheetName val="Inputs"/>
      <sheetName val="RevReq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4">
          <cell r="C34">
            <v>1.0006999999999999</v>
          </cell>
          <cell r="D34">
            <v>1.0015000000000001</v>
          </cell>
        </row>
      </sheetData>
      <sheetData sheetId="5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"/>
      <sheetName val="2ESumm3EInt"/>
      <sheetName val="4EOMVar"/>
      <sheetName val="5EOM"/>
      <sheetName val="6EInvVar"/>
      <sheetName val="7EInvSumm"/>
      <sheetName val="Scherer Only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Merc_Allow"/>
      <sheetName val="Ann_NOx"/>
      <sheetName val="Seas_NOx"/>
      <sheetName val="SO2"/>
      <sheetName val="Regulatory Asset"/>
      <sheetName val="9E"/>
      <sheetName val="9E 2"/>
      <sheetName val="C Check"/>
      <sheetName val="O&amp;M"/>
      <sheetName val="O&amp;M Format"/>
      <sheetName val="Emissions"/>
      <sheetName val="Exp"/>
      <sheetName val="Clear"/>
      <sheetName val="Retirements"/>
      <sheetName val="CostofRem"/>
      <sheetName val="Salvage"/>
      <sheetName val="CWIP"/>
      <sheetName val="Plant"/>
      <sheetName val="DepExp"/>
      <sheetName val="Dism"/>
      <sheetName val="AccDep"/>
      <sheetName val="AccDism"/>
      <sheetName val="AccDep&amp;Dism"/>
      <sheetName val="PEs"/>
      <sheetName val="Inputs"/>
      <sheetName val="Scherer Capital Inputs"/>
      <sheetName val="Scherer Expense Inpu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January</v>
          </cell>
        </row>
      </sheetData>
      <sheetData sheetId="7">
        <row r="69">
          <cell r="H69" t="str">
            <v>(in Dollars)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5">
          <cell r="B55" t="str">
            <v>Applicable amortization period.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53">
          <cell r="S153">
            <v>3281</v>
          </cell>
        </row>
      </sheetData>
      <sheetData sheetId="55"/>
      <sheetData sheetId="56"/>
      <sheetData sheetId="57"/>
      <sheetData sheetId="58"/>
      <sheetData sheetId="59"/>
      <sheetData sheetId="60">
        <row r="3">
          <cell r="A3" t="str">
            <v>Gulf Power Company</v>
          </cell>
        </row>
        <row r="15">
          <cell r="D15">
            <v>5.3400000000000001E-3</v>
          </cell>
        </row>
      </sheetData>
      <sheetData sheetId="61"/>
      <sheetData sheetId="62">
        <row r="2">
          <cell r="J2">
            <v>5.3399987518787384E-3</v>
          </cell>
        </row>
      </sheetData>
      <sheetData sheetId="6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MACROS"/>
      <sheetName val="VARIABLES"/>
      <sheetName val="Inputs"/>
      <sheetName val="NOI"/>
      <sheetName val="ROR SUMMARY"/>
      <sheetName val="MFR C-3 TY"/>
      <sheetName val="Global_Setting"/>
      <sheetName val="Hard Key Rounds"/>
      <sheetName val="Sch 1"/>
      <sheetName val="Int Synch"/>
      <sheetName val="Ratebase"/>
      <sheetName val="Rev Adj's"/>
      <sheetName val="Summary 1"/>
      <sheetName val="Exp Adj's"/>
      <sheetName val="MFR D-1b TY"/>
      <sheetName val="MFR D1-a TY"/>
      <sheetName val="FI 17 DD WP"/>
      <sheetName val="FI 17 DC WP"/>
      <sheetName val="COS Form FI 17"/>
      <sheetName val="COS Form FI 17 - Used"/>
      <sheetName val="MFR B-1 not used"/>
      <sheetName val="MFR B-1 TY"/>
      <sheetName val="MFR B-1 PY"/>
      <sheetName val="MFR B-1 HY"/>
      <sheetName val="MFR B-17 TY"/>
      <sheetName val="MFR B-17 PY"/>
      <sheetName val="MFR B-17 HY"/>
      <sheetName val="MFR B-2 TY"/>
      <sheetName val="MFR B-2 PY"/>
      <sheetName val="MFR B-2 HY"/>
      <sheetName val="MFR C-1 TY"/>
      <sheetName val="MFR C-1 PY"/>
      <sheetName val="MFR C-1 HY"/>
      <sheetName val="MFR C-2 TY"/>
      <sheetName val="MFR C-2 PY"/>
      <sheetName val="MFR C-2 HY"/>
      <sheetName val="MFR C-3 PY"/>
      <sheetName val="MFR C-3 HY"/>
      <sheetName val="MFR C-5 TY"/>
      <sheetName val="MFR C-5 PY"/>
      <sheetName val="MFR C-5 HY"/>
      <sheetName val="MFR D1-a PY"/>
      <sheetName val="MFR D1-a HY"/>
      <sheetName val="MFR D-1b PY"/>
      <sheetName val="MFR D-1b HY"/>
      <sheetName val="MFR D-9 TY,PY,HY"/>
      <sheetName val="RC-Exh. 3"/>
      <sheetName val="RC-Exh. 3 - Used"/>
      <sheetName val="RC-Exh. 5,6,7,8"/>
      <sheetName val="RC-Exh. DO NOT USE"/>
      <sheetName val="RC-Ex. 9"/>
      <sheetName val="RC-Ex. 10"/>
      <sheetName val="RC-Ex. 12"/>
      <sheetName val="RC-Ex. 12, p2"/>
      <sheetName val="RC-Ex. 13"/>
      <sheetName val="RC-Ex. 14"/>
      <sheetName val="PE.RORSUM"/>
      <sheetName val="ROR SUMMARY - 10YR"/>
      <sheetName val="FPU - 10YR"/>
      <sheetName val="GRAPHS"/>
      <sheetName val="ROE.RECON"/>
      <sheetName val="CURMO.NOI"/>
      <sheetName val="PE.NOI"/>
      <sheetName val="Clause Segments"/>
      <sheetName val="Segment Template"/>
      <sheetName val="NOI.RECON"/>
      <sheetName val="FPU &amp; Blountstown old version"/>
      <sheetName val="Total Wholesale - 10YR"/>
      <sheetName val="FPU &amp; Blountstown update"/>
      <sheetName val="FPU &amp; Blountstown O&amp;M Breakdown"/>
      <sheetName val="NOI - 10YR"/>
      <sheetName val="Blountstown - 10YR"/>
      <sheetName val="UPS - 10YR"/>
      <sheetName val="Total Wholesale - 12 Month"/>
      <sheetName val="Blountstown - 12 Month"/>
      <sheetName val="FPU - 12 Month"/>
      <sheetName val="UPS - 12 Month"/>
      <sheetName val="PE.NOI.RECON"/>
      <sheetName val="PE. Juris Factors"/>
      <sheetName val="PE.RORSUM - 10YR"/>
      <sheetName val="Wholesale Segments"/>
      <sheetName val="CURMO.NOI.RECON"/>
      <sheetName val="CURMO Jur Per Books"/>
      <sheetName val="Output Wholesale Info"/>
      <sheetName val="Segment"/>
      <sheetName val="SCH1 FORECAST"/>
      <sheetName val="SCH2_1OF3 FORECAST"/>
      <sheetName val="SCH2_2OF3 FORECAST"/>
      <sheetName val="SCH2_3OF3 FORECAST"/>
      <sheetName val="SCH3 FORECAST"/>
      <sheetName val="SCH4 FORECAST"/>
      <sheetName val="SCH5 FORECAST "/>
      <sheetName val="SCH SUPP FORECAST"/>
      <sheetName val="SCH2_1OF3 LOWER SECTION - 10YR"/>
      <sheetName val="SCH1"/>
      <sheetName val="SCH2_1OF3"/>
      <sheetName val="SCH2_2OF3"/>
      <sheetName val="SCH2_3OF3"/>
      <sheetName val="PE.SCH3_1OF3"/>
      <sheetName val="PE.SCH3_2OF3"/>
      <sheetName val="PE.SCH3_3OF3"/>
      <sheetName val="SCH4"/>
      <sheetName val="SCH5"/>
      <sheetName val="Jurisdictional Return - 10YR"/>
      <sheetName val="NOI Bud - Surv Recon"/>
      <sheetName val="UPS Reconcile"/>
      <sheetName val="FPU &amp; Blountstown Reg Adjust"/>
      <sheetName val="FPU - Blount Reconcile"/>
      <sheetName val="FPU &amp; Blountstown Reconcile CM"/>
      <sheetName val="FPU &amp; Blountstown Reconcile 12M"/>
      <sheetName val="ENVIRON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 Surveillance"/>
      <sheetName val="Clauses-Reports"/>
      <sheetName val="Detailed"/>
      <sheetName val="STDCOST Rate"/>
      <sheetName val="Pref Stk"/>
      <sheetName val="37mil"/>
      <sheetName val="3.93mil"/>
      <sheetName val="42mil"/>
      <sheetName val="29.075M"/>
      <sheetName val="32.55M"/>
      <sheetName val="65.4 mil"/>
      <sheetName val="BASE RATES"/>
      <sheetName val="VOM"/>
      <sheetName val="UPSSALES"/>
      <sheetName val="Comp Sales"/>
      <sheetName val="Financial Book Outs"/>
      <sheetName val="Econ Develop"/>
      <sheetName val="Gross Receipts"/>
      <sheetName val="PPOWER"/>
      <sheetName val="Scherer GA ITC"/>
      <sheetName val="Unamort ITC"/>
      <sheetName val="12MTD O&amp;M NOI"/>
      <sheetName val="Pension and Insurance Cap"/>
      <sheetName val="Liaison"/>
      <sheetName val="Sofia Liasion"/>
      <sheetName val="Payroll Factors"/>
      <sheetName val="2019 Cap Clause"/>
      <sheetName val="2019 Revenue"/>
      <sheetName val="Advanced Int "/>
      <sheetName val="Int Analysis"/>
      <sheetName val="ECRC O&amp;M"/>
      <sheetName val="ECRC Rev Req &amp; formula"/>
      <sheetName val="ECRC Recovery Bal"/>
      <sheetName val="ECRC Revenue Mandy"/>
      <sheetName val="RECOVERY2006 Paul S."/>
      <sheetName val="ECCR Recovery"/>
      <sheetName val="ECCR Expense"/>
      <sheetName val="ECCR"/>
      <sheetName val="ECCR Pyrll OH"/>
      <sheetName val="FERC CREC Charlotte"/>
      <sheetName val="Schedule Charlotte"/>
      <sheetName val="CRFACTOR Charlotte"/>
      <sheetName val="Wholesale Charlotte"/>
      <sheetName val="Wholesale Alloc Charlotte"/>
      <sheetName val="Data Total"/>
      <sheetName val="REVENUELoc Stats"/>
      <sheetName val="Sch 4"/>
      <sheetName val="Sch 5"/>
      <sheetName val="Sch 10"/>
      <sheetName val="Sch 10-A"/>
      <sheetName val="Sch 11 Sht 1"/>
      <sheetName val="Sch 13"/>
      <sheetName val="Sch 16"/>
      <sheetName val="Sch 60"/>
      <sheetName val="Sch 60 Supp 2"/>
      <sheetName val="CASPR Totals - CM"/>
      <sheetName val="Stats"/>
      <sheetName val="Bud Input"/>
      <sheetName val="Budget "/>
      <sheetName val="ESRI_MAPINFO_SHEET"/>
    </sheetNames>
    <sheetDataSet>
      <sheetData sheetId="0">
        <row r="2">
          <cell r="E2" t="str">
            <v>December '18</v>
          </cell>
        </row>
      </sheetData>
      <sheetData sheetId="1"/>
      <sheetData sheetId="2"/>
      <sheetData sheetId="3">
        <row r="2">
          <cell r="A2" t="str">
            <v>1015100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F46">
            <v>2422774.5099999998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B10">
            <v>7789542.5300000003</v>
          </cell>
        </row>
      </sheetData>
      <sheetData sheetId="48">
        <row r="82">
          <cell r="B82">
            <v>64993302.43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8">
          <cell r="B18">
            <v>0</v>
          </cell>
        </row>
      </sheetData>
      <sheetData sheetId="59"/>
      <sheetData sheetId="6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"/>
      <sheetName val="Jan Energy"/>
      <sheetName val="Feb Cap"/>
      <sheetName val="Feb Energy"/>
      <sheetName val="Mar Cap"/>
      <sheetName val="Mar Energy"/>
      <sheetName val="Apr Cap"/>
      <sheetName val="Apr Energy"/>
      <sheetName val="May Cap"/>
      <sheetName val="May Energy"/>
      <sheetName val="Jun Cap"/>
      <sheetName val="Jun Energy"/>
      <sheetName val="July Capacity"/>
      <sheetName val="July Ener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UPS Capacity</v>
          </cell>
        </row>
      </sheetData>
      <sheetData sheetId="13">
        <row r="2">
          <cell r="B2" t="str">
            <v xml:space="preserve">UPS Energy </v>
          </cell>
          <cell r="C2" t="str">
            <v>Del - Kwh</v>
          </cell>
          <cell r="D2" t="str">
            <v>Base $</v>
          </cell>
          <cell r="E2" t="str">
            <v>Fuel $</v>
          </cell>
          <cell r="F2" t="str">
            <v>Sale $</v>
          </cell>
        </row>
        <row r="3">
          <cell r="B3" t="str">
            <v>JEA - UPS/Base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 t="str">
            <v>JEA - UPS/ALT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 t="str">
            <v>JEA - UPS/SUP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B6" t="str">
            <v>JEA - UPS/Station Svc</v>
          </cell>
          <cell r="D6">
            <v>0</v>
          </cell>
          <cell r="E6">
            <v>0</v>
          </cell>
          <cell r="F6">
            <v>0</v>
          </cell>
        </row>
        <row r="7">
          <cell r="B7" t="str">
            <v>SUM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FPC - UPS/Base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FPC - UPS/ALT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FPC - UPS/SUP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FPC - UPS/Station Svc</v>
          </cell>
          <cell r="D11">
            <v>0</v>
          </cell>
          <cell r="E11">
            <v>0</v>
          </cell>
          <cell r="F11">
            <v>0</v>
          </cell>
        </row>
        <row r="12">
          <cell r="B12" t="str">
            <v>SUM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FPL - UPS/Base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 t="str">
            <v>FPL - UPS/ALT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FPL - UPS/SUP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 t="str">
            <v>FPL - UPS/Station Svc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SUM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TAL - UPS/Base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 t="str">
            <v>TAL - UPS/ALT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TAL - UPS/SUP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TAL - UPS/Station Svc</v>
          </cell>
        </row>
        <row r="22">
          <cell r="B22" t="str">
            <v>SUM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 t="str">
            <v>SECTION SUM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 t="str">
            <v>JEA - SCHEDULE R</v>
          </cell>
        </row>
        <row r="25">
          <cell r="B25" t="str">
            <v>FPC - SCHEDULE R</v>
          </cell>
        </row>
        <row r="26">
          <cell r="B26" t="str">
            <v>FPL - SCHEDULE R</v>
          </cell>
        </row>
        <row r="27">
          <cell r="B27" t="str">
            <v>TAL - SCHEDULE R</v>
          </cell>
        </row>
        <row r="28">
          <cell r="B28" t="str">
            <v>SUM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JEA - IPC or Banked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FPC - IPC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FPL - IPC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TAL - IPC</v>
          </cell>
        </row>
        <row r="33">
          <cell r="B33" t="str">
            <v>SUM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SECTION SUM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E35">
            <v>0</v>
          </cell>
          <cell r="F35">
            <v>0</v>
          </cell>
        </row>
        <row r="36">
          <cell r="B36" t="str">
            <v xml:space="preserve">  </v>
          </cell>
          <cell r="C36" t="str">
            <v>Source: Page 56600</v>
          </cell>
          <cell r="E36" t="str">
            <v>Fuel $</v>
          </cell>
          <cell r="F36" t="str">
            <v>Sale $</v>
          </cell>
        </row>
        <row r="37">
          <cell r="B37" t="str">
            <v>JEA - ENERGY</v>
          </cell>
          <cell r="C37" t="str">
            <v>-----</v>
          </cell>
          <cell r="D37" t="str">
            <v>-----</v>
          </cell>
          <cell r="E37">
            <v>0</v>
          </cell>
          <cell r="F37">
            <v>0</v>
          </cell>
        </row>
        <row r="38">
          <cell r="B38" t="str">
            <v>FPC - ENERGY</v>
          </cell>
          <cell r="C38" t="str">
            <v>-----</v>
          </cell>
          <cell r="D38" t="str">
            <v>-----</v>
          </cell>
          <cell r="E38">
            <v>0</v>
          </cell>
          <cell r="F38">
            <v>0</v>
          </cell>
        </row>
        <row r="39">
          <cell r="B39" t="str">
            <v>FPL - ENERGY</v>
          </cell>
          <cell r="C39" t="str">
            <v>-----</v>
          </cell>
          <cell r="D39" t="str">
            <v>-----</v>
          </cell>
          <cell r="E39">
            <v>0</v>
          </cell>
          <cell r="F39">
            <v>0</v>
          </cell>
        </row>
        <row r="40">
          <cell r="B40" t="str">
            <v>TAL - ENERGY</v>
          </cell>
          <cell r="C40" t="str">
            <v>-----</v>
          </cell>
          <cell r="D40" t="str">
            <v>-----</v>
          </cell>
          <cell r="E40">
            <v>0</v>
          </cell>
          <cell r="F40">
            <v>0</v>
          </cell>
        </row>
        <row r="41">
          <cell r="B41" t="str">
            <v>SUM</v>
          </cell>
          <cell r="E41">
            <v>0</v>
          </cell>
          <cell r="F41">
            <v>0</v>
          </cell>
        </row>
        <row r="42">
          <cell r="B42" t="str">
            <v>JEA - INTEREST</v>
          </cell>
          <cell r="C42" t="str">
            <v>-----</v>
          </cell>
          <cell r="D42" t="str">
            <v>-----</v>
          </cell>
          <cell r="E42" t="str">
            <v>-----</v>
          </cell>
          <cell r="F42">
            <v>0</v>
          </cell>
        </row>
        <row r="43">
          <cell r="B43" t="str">
            <v>FPC - INTEREST</v>
          </cell>
          <cell r="C43" t="str">
            <v>-----</v>
          </cell>
          <cell r="D43" t="str">
            <v>-----</v>
          </cell>
          <cell r="E43" t="str">
            <v>-----</v>
          </cell>
          <cell r="F43">
            <v>0</v>
          </cell>
        </row>
        <row r="44">
          <cell r="B44" t="str">
            <v>FPL - INTEREST</v>
          </cell>
          <cell r="C44" t="str">
            <v>-----</v>
          </cell>
          <cell r="D44" t="str">
            <v>-----</v>
          </cell>
          <cell r="E44" t="str">
            <v>-----</v>
          </cell>
          <cell r="F44">
            <v>0</v>
          </cell>
        </row>
        <row r="45">
          <cell r="B45" t="str">
            <v>TAL - INTEREST</v>
          </cell>
          <cell r="C45" t="str">
            <v>-----</v>
          </cell>
          <cell r="D45" t="str">
            <v>-----</v>
          </cell>
          <cell r="E45" t="str">
            <v>-----</v>
          </cell>
          <cell r="F45">
            <v>0</v>
          </cell>
        </row>
        <row r="46">
          <cell r="B46" t="str">
            <v>SUM</v>
          </cell>
          <cell r="F46">
            <v>0</v>
          </cell>
        </row>
        <row r="47">
          <cell r="B47" t="str">
            <v>UPS Stockpile Adjustment</v>
          </cell>
          <cell r="C47" t="str">
            <v>Source: Page 56500</v>
          </cell>
        </row>
        <row r="48">
          <cell r="B48" t="str">
            <v>JEA - ENERGY</v>
          </cell>
          <cell r="C48" t="str">
            <v>-----</v>
          </cell>
          <cell r="D48" t="str">
            <v>-----</v>
          </cell>
          <cell r="E48">
            <v>0</v>
          </cell>
          <cell r="F48">
            <v>0</v>
          </cell>
        </row>
        <row r="49">
          <cell r="B49" t="str">
            <v>FPC - ENERGY</v>
          </cell>
          <cell r="C49" t="str">
            <v>-----</v>
          </cell>
          <cell r="D49" t="str">
            <v>-----</v>
          </cell>
          <cell r="E49">
            <v>0</v>
          </cell>
          <cell r="F49">
            <v>0</v>
          </cell>
        </row>
        <row r="50">
          <cell r="B50" t="str">
            <v>FPL - ENERGY</v>
          </cell>
          <cell r="C50" t="str">
            <v>-----</v>
          </cell>
          <cell r="D50" t="str">
            <v>-----</v>
          </cell>
          <cell r="E50">
            <v>0</v>
          </cell>
          <cell r="F50">
            <v>0</v>
          </cell>
        </row>
        <row r="51">
          <cell r="B51" t="str">
            <v>TAL - ENERGY</v>
          </cell>
          <cell r="C51" t="str">
            <v>-----</v>
          </cell>
          <cell r="D51" t="str">
            <v>-----</v>
          </cell>
          <cell r="E51">
            <v>0</v>
          </cell>
          <cell r="F51">
            <v>0</v>
          </cell>
        </row>
        <row r="52">
          <cell r="B52" t="str">
            <v>SUM</v>
          </cell>
          <cell r="D52">
            <v>0</v>
          </cell>
          <cell r="E52">
            <v>0</v>
          </cell>
          <cell r="F52">
            <v>0</v>
          </cell>
        </row>
        <row r="53">
          <cell r="B53" t="str">
            <v>JEA - INTEREST</v>
          </cell>
          <cell r="C53" t="str">
            <v>-----</v>
          </cell>
          <cell r="D53" t="str">
            <v>-----</v>
          </cell>
          <cell r="E53" t="str">
            <v>-----</v>
          </cell>
          <cell r="F53">
            <v>0</v>
          </cell>
        </row>
        <row r="54">
          <cell r="B54" t="str">
            <v>FPC - INTEREST</v>
          </cell>
          <cell r="C54" t="str">
            <v>-----</v>
          </cell>
          <cell r="D54" t="str">
            <v>-----</v>
          </cell>
          <cell r="E54" t="str">
            <v>-----</v>
          </cell>
          <cell r="F54">
            <v>0</v>
          </cell>
        </row>
        <row r="55">
          <cell r="B55" t="str">
            <v>FPL - INTEREST</v>
          </cell>
          <cell r="C55" t="str">
            <v>-----</v>
          </cell>
          <cell r="D55" t="str">
            <v>-----</v>
          </cell>
          <cell r="E55" t="str">
            <v>-----</v>
          </cell>
          <cell r="F55">
            <v>0</v>
          </cell>
        </row>
        <row r="56">
          <cell r="B56" t="str">
            <v>TAL - INTEREST</v>
          </cell>
          <cell r="C56" t="str">
            <v>-----</v>
          </cell>
          <cell r="D56" t="str">
            <v>-----</v>
          </cell>
          <cell r="E56" t="str">
            <v>-----</v>
          </cell>
          <cell r="F56">
            <v>0</v>
          </cell>
        </row>
        <row r="57">
          <cell r="B57" t="str">
            <v>SUM</v>
          </cell>
          <cell r="F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Coding"/>
      <sheetName val="Inputs from Bud Dev"/>
      <sheetName val="Clauses-Reports"/>
      <sheetName val="Inputs Only"/>
      <sheetName val="MTD Numbers"/>
      <sheetName val="Sch 4 Inc Stmt"/>
      <sheetName val="Sch 5 Bal Sht"/>
      <sheetName val="4-a"/>
      <sheetName val="Monthly GL"/>
      <sheetName val="Annual GL"/>
      <sheetName val="04- Monthly GL"/>
      <sheetName val="04- AnnualGL"/>
      <sheetName val="Monthly IS"/>
      <sheetName val="04- IS"/>
      <sheetName val="Monthly BS"/>
      <sheetName val="04 - BS"/>
      <sheetName val="CM Actual"/>
      <sheetName val="Inputs"/>
      <sheetName val="04 - Inputs"/>
      <sheetName val="Amort Disc Exp"/>
      <sheetName val="Amort"/>
      <sheetName val="Int"/>
      <sheetName val="PPOWER"/>
      <sheetName val="ECCR"/>
      <sheetName val="STDCOST Rate"/>
      <sheetName val="ARO"/>
      <sheetName val="Comp Sales"/>
      <sheetName val="BASE RATES"/>
      <sheetName val="Advanced Int"/>
      <sheetName val="Misc. Inputs"/>
      <sheetName val="Sch 13"/>
      <sheetName val="Int Analysis"/>
      <sheetName val="Sch 16"/>
      <sheetName val="2019 Cap Clause"/>
      <sheetName val="2019 Revenue"/>
      <sheetName val="REV"/>
      <sheetName val="Data Total Check"/>
      <sheetName val="Recovery Balance - ECR"/>
      <sheetName val="O&amp;M Updated - ECR"/>
      <sheetName val="Revenue Requirement - ECR"/>
      <sheetName val="User Data - ECR"/>
      <sheetName val="Recovery Balance - ECR T"/>
      <sheetName val="ECCR Recovery"/>
      <sheetName val="ECCR Expense"/>
      <sheetName val="CRFACTOR"/>
      <sheetName val="Schedule"/>
      <sheetName val="FERCREC"/>
      <sheetName val="FUEL"/>
      <sheetName val="ECCR Payroll OH"/>
      <sheetName val="PAYROLL TAX"/>
      <sheetName val="A&amp;G"/>
      <sheetName val="Reg Affairs"/>
      <sheetName val="CWIP"/>
      <sheetName val="Amt Exp Prop Gains"/>
      <sheetName val="Detail"/>
      <sheetName val="Fuel Sheet"/>
      <sheetName val="FERC 189 2018 and 2017"/>
      <sheetName val="Proj Atlas Surveillance"/>
      <sheetName val="Macro1"/>
      <sheetName val="RWSettings"/>
      <sheetName val="ModelData"/>
      <sheetName val="Labels"/>
      <sheetName val="ListboxStore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Coding"/>
      <sheetName val="Inputs from Bud Dev"/>
      <sheetName val="Clauses-Reports"/>
      <sheetName val="Inputs Only"/>
      <sheetName val="MTD Numbers"/>
      <sheetName val="Sch 4 Inc Stmt"/>
      <sheetName val="Sch 5 Bal Sht"/>
      <sheetName val="4-a"/>
      <sheetName val="Monthly GL"/>
      <sheetName val="Annual GL"/>
      <sheetName val="04- Monthly GL"/>
      <sheetName val="04- AnnualGL"/>
      <sheetName val="Monthly IS"/>
      <sheetName val="04- IS"/>
      <sheetName val="Monthly BS"/>
      <sheetName val="04 - BS"/>
      <sheetName val="CM Actual"/>
      <sheetName val="Inputs"/>
      <sheetName val="04 - Inputs"/>
      <sheetName val="Amort Disc Exp"/>
      <sheetName val="Amort"/>
      <sheetName val="Int"/>
      <sheetName val="PPOWER"/>
      <sheetName val="ECCR"/>
      <sheetName val="STDCOST Rate"/>
      <sheetName val="ARO"/>
      <sheetName val="Comp Sales"/>
      <sheetName val="BASE RATES"/>
      <sheetName val="Advanced Int"/>
      <sheetName val="Misc. Inputs"/>
      <sheetName val="Sch 13"/>
      <sheetName val="Int Analysis"/>
      <sheetName val="Sch 16"/>
      <sheetName val="2019 Cap Clause"/>
      <sheetName val="2019 Revenue"/>
      <sheetName val="REV"/>
      <sheetName val="Data Total Check"/>
      <sheetName val="Recovery Balance - ECR"/>
      <sheetName val="O&amp;M Updated - ECR"/>
      <sheetName val="Revenue Requirement - ECR"/>
      <sheetName val="User Data - ECR"/>
      <sheetName val="Recovery Balance - ECR T"/>
      <sheetName val="ECCR Recovery"/>
      <sheetName val="ECCR Expense"/>
      <sheetName val="CRFACTOR"/>
      <sheetName val="Schedule"/>
      <sheetName val="FERCREC"/>
      <sheetName val="FUEL"/>
      <sheetName val="ECCR Payroll OH"/>
      <sheetName val="PAYROLL TAX"/>
      <sheetName val="A&amp;G"/>
      <sheetName val="Reg Affairs"/>
      <sheetName val="CWIP"/>
      <sheetName val="Amt Exp Prop Gains"/>
      <sheetName val="Detail"/>
      <sheetName val="Fuel Sheet"/>
      <sheetName val="FERC 189 2018 and 2017"/>
      <sheetName val="Proj Atlas Surveillance"/>
      <sheetName val="Macro1"/>
      <sheetName val="RWSettings"/>
      <sheetName val="ModelData"/>
      <sheetName val="Labels"/>
      <sheetName val="ListboxStore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-1E"/>
      <sheetName val="42-2E"/>
      <sheetName val="1P"/>
      <sheetName val="42-3E"/>
      <sheetName val="42-4E"/>
      <sheetName val="42-5E"/>
      <sheetName val="42-6E"/>
      <sheetName val="42-7E"/>
      <sheetName val="42-8_Project 1"/>
      <sheetName val="42-8_Project 2"/>
      <sheetName val="42-8_Project 3"/>
      <sheetName val="42-8_Project 4"/>
      <sheetName val="42-8_Project 5"/>
      <sheetName val="42-8_Project 6"/>
      <sheetName val="42-8 Project_7"/>
      <sheetName val="42-8_Project 8"/>
      <sheetName val="42-8_Project 9"/>
      <sheetName val="42-8_Project 10"/>
      <sheetName val="42-8_Project_11"/>
      <sheetName val="42-8_Project 12"/>
      <sheetName val="42-8_Project 13"/>
      <sheetName val="42-8_Project 14"/>
      <sheetName val="42-8_Project 15"/>
      <sheetName val="42-8_Project 16"/>
      <sheetName val="42-8_Project 17"/>
      <sheetName val="42-8_Project 18"/>
      <sheetName val="42-8_Project 19"/>
      <sheetName val="42-8_Project 20"/>
      <sheetName val="42-8_Project 21"/>
      <sheetName val="42-8_Project 22"/>
      <sheetName val="42-8_Project 23"/>
      <sheetName val="42-8_Project 24"/>
      <sheetName val="42-8_Project 25"/>
      <sheetName val="42-8_Project 26"/>
      <sheetName val="42-8_Project 27"/>
      <sheetName val="42-8_Project_28"/>
      <sheetName val="42-8_Project 29"/>
      <sheetName val="42-8_Project 30"/>
      <sheetName val="42-8_Merc_Allow"/>
      <sheetName val="42-8_Ann_NOx"/>
      <sheetName val="42-8_SO2"/>
      <sheetName val="42-8_Seas_NOx"/>
      <sheetName val="42-8_Smith Reg Asset"/>
      <sheetName val="C Check (2)"/>
      <sheetName val="42-8E Depr Schedule"/>
      <sheetName val="42-9E"/>
      <sheetName val="42-9E 2"/>
      <sheetName val="10A"/>
      <sheetName val="Inputs"/>
      <sheetName val="Clear"/>
      <sheetName val="CostofRem"/>
      <sheetName val="Exp"/>
      <sheetName val="Emissions"/>
      <sheetName val="O&amp;M Updated"/>
      <sheetName val="O&amp;M Format"/>
      <sheetName val="C Check"/>
      <sheetName val="UI Revenue Requirements"/>
      <sheetName val="Retirements"/>
      <sheetName val="Salvage"/>
      <sheetName val="CWIP"/>
      <sheetName val="Plant"/>
      <sheetName val="sheet"/>
      <sheetName val="DepExp"/>
      <sheetName val="Dism"/>
      <sheetName val="AccDep"/>
      <sheetName val="AccDism"/>
      <sheetName val="AccDep&amp;Dism"/>
      <sheetName val="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_NOx (2)"/>
      <sheetName val="Seas_NOx (2)"/>
      <sheetName val="Allow (2)"/>
      <sheetName val="PEs"/>
      <sheetName val="Exp"/>
      <sheetName val="Clear"/>
      <sheetName val="Retire"/>
      <sheetName val="CoRem"/>
      <sheetName val="Salvage"/>
      <sheetName val="CWIP"/>
      <sheetName val="Plant"/>
      <sheetName val="DepExp"/>
      <sheetName val="Dismant"/>
      <sheetName val="AccDep"/>
      <sheetName val="AccDism"/>
      <sheetName val="2POM"/>
      <sheetName val="RevReqt"/>
      <sheetName val="1PSumm"/>
      <sheetName val="Sheet1"/>
      <sheetName val="3PInvSumm"/>
      <sheetName val="6P7PFactors"/>
      <sheetName val="Inputs"/>
      <sheetName val="RataTrailer"/>
      <sheetName val="CristPrecip"/>
      <sheetName val="1228"/>
      <sheetName val="LowNOx"/>
      <sheetName val="CEMs"/>
      <sheetName val="MobGround"/>
      <sheetName val="FlowMeters"/>
      <sheetName val="CoolingTower"/>
      <sheetName val="1248"/>
      <sheetName val="1270"/>
      <sheetName val="1271"/>
      <sheetName val="1275"/>
      <sheetName val="Sodium Injection"/>
      <sheetName val="1446"/>
      <sheetName val="SmithWasteWater"/>
      <sheetName val="DanielAsh"/>
      <sheetName val="SmithWaterConservation"/>
      <sheetName val="Tanks"/>
      <sheetName val="DEP"/>
      <sheetName val="1272"/>
      <sheetName val="1297"/>
      <sheetName val="PrecipitatorUp"/>
      <sheetName val="PltGrdH2ORemed"/>
      <sheetName val="CRSTH20"/>
      <sheetName val="Condenser Tubes"/>
      <sheetName val="CAIRCAMR"/>
      <sheetName val="Boat"/>
      <sheetName val="Mer_Allow"/>
      <sheetName val="Ann_NOx"/>
      <sheetName val="Seas_NOx"/>
      <sheetName val="Allow"/>
      <sheetName val="Total"/>
      <sheetName val="Diff"/>
      <sheetName val="Blank1"/>
      <sheetName val="Blank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34">
          <cell r="P34">
            <v>76298622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>
        <row r="2">
          <cell r="A2" t="str">
            <v>January 2010 - December 2010</v>
          </cell>
        </row>
        <row r="26">
          <cell r="B26">
            <v>3.2</v>
          </cell>
          <cell r="C26">
            <v>0.26669999999999999</v>
          </cell>
        </row>
        <row r="27">
          <cell r="C27">
            <v>0.20830000000000001</v>
          </cell>
        </row>
        <row r="28">
          <cell r="C28">
            <v>0.35</v>
          </cell>
        </row>
        <row r="29">
          <cell r="C29">
            <v>0.25829999999999997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 Upload"/>
      <sheetName val="Journal Entry Sheet"/>
      <sheetName val="Acct Segments"/>
      <sheetName val="JV2032"/>
      <sheetName val="TieLine Energy"/>
      <sheetName val="INVOICE"/>
      <sheetName val="Checks and Balances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INTCHG_ANLYS"/>
      <sheetName val="FERC_447"/>
      <sheetName val="FERC_555"/>
      <sheetName val="Adv Interchange"/>
      <sheetName val="Competitve Analysis"/>
      <sheetName val="Sch 16"/>
      <sheetName val="Capacity"/>
      <sheetName val="Mark Up"/>
      <sheetName val="Wheeling"/>
      <sheetName val="Dahlberg"/>
      <sheetName val="Sch 13"/>
      <sheetName val="Sheet1"/>
    </sheetNames>
    <sheetDataSet>
      <sheetData sheetId="0"/>
      <sheetData sheetId="1">
        <row r="4">
          <cell r="B4" t="str">
            <v>Actual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Output"/>
      <sheetName val="FIN MOD"/>
      <sheetName val="SURVEILLANCE"/>
      <sheetName val="BUDRET"/>
      <sheetName val="VOM"/>
      <sheetName val="LTD Amort Sched"/>
      <sheetName val="UPS Income Statement"/>
      <sheetName val="UPS Sales"/>
      <sheetName val="Econ Dev"/>
      <sheetName val="cm"/>
      <sheetName val="Detail"/>
      <sheetName val="Totals"/>
      <sheetName val="CASPR Sofia Q"/>
      <sheetName val="CASPR Totals - CM"/>
      <sheetName val="CASPR Totals - EB"/>
      <sheetName val="37M PCB"/>
      <sheetName val="3.93M PCB"/>
      <sheetName val="42M PCB"/>
      <sheetName val="32.55M PCB"/>
      <sheetName val="29.075M PCB"/>
      <sheetName val="65.4M PCB"/>
      <sheetName val="Int Bearing CWIP Joy"/>
      <sheetName val="Depr Accrual Sofia"/>
      <sheetName val="All Needed Sofia Query"/>
      <sheetName val="Liaison"/>
      <sheetName val="Transmission Mandy"/>
      <sheetName val="Economy Mandy"/>
      <sheetName val="Capacity_Mandy"/>
      <sheetName val="Capacity Rev Mandy"/>
      <sheetName val="Interch.Analys Mandy"/>
      <sheetName val="ECRC O&amp;M Mandy"/>
      <sheetName val="ECRC Rev Req Mandy"/>
      <sheetName val="ECRC Revenue Mandy"/>
      <sheetName val="ECCR Rev Paul"/>
      <sheetName val="ECCR Exp Paul"/>
      <sheetName val="FERCREC Charl"/>
      <sheetName val="Schedule Charl"/>
      <sheetName val="CRFACTOR Charl"/>
      <sheetName val="Gen Fuel Costs Charl"/>
      <sheetName val="BASE RATES"/>
      <sheetName val="STORM"/>
      <sheetName val="12MTD O&amp;M NOI"/>
      <sheetName val="Sch 4"/>
      <sheetName val="Sch 4-A"/>
      <sheetName val="Sch 5"/>
      <sheetName val="Sch 10 Sht 1"/>
      <sheetName val="Sch 10 Sht 2"/>
      <sheetName val="Sch 10-A"/>
      <sheetName val="Sch 11"/>
      <sheetName val="Sch 13"/>
      <sheetName val="Sch 14"/>
      <sheetName val="Sch 15"/>
      <sheetName val="Sch 16"/>
      <sheetName val="Sch 21"/>
      <sheetName val="Sch 36"/>
      <sheetName val="Sch 39"/>
      <sheetName val="Sch 57"/>
      <sheetName val="Sch 58"/>
      <sheetName val="Sch 60"/>
      <sheetName val="Sch 71-B"/>
      <sheetName val="Sch 71-C"/>
      <sheetName val="Sch 72"/>
      <sheetName val="Sch 73"/>
      <sheetName val="Sch 75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FERC</v>
          </cell>
          <cell r="C1" t="str">
            <v>SUB</v>
          </cell>
          <cell r="G1" t="str">
            <v>CM</v>
          </cell>
          <cell r="I1" t="str">
            <v>ENDBAL</v>
          </cell>
        </row>
        <row r="2">
          <cell r="B2">
            <v>121</v>
          </cell>
          <cell r="C2">
            <v>100</v>
          </cell>
          <cell r="G2">
            <v>5341.87</v>
          </cell>
          <cell r="I2">
            <v>14950958.960000001</v>
          </cell>
        </row>
        <row r="3">
          <cell r="B3">
            <v>121</v>
          </cell>
          <cell r="C3">
            <v>110</v>
          </cell>
          <cell r="G3">
            <v>1738</v>
          </cell>
          <cell r="I3">
            <v>1738</v>
          </cell>
        </row>
        <row r="4">
          <cell r="B4">
            <v>121</v>
          </cell>
          <cell r="C4">
            <v>130</v>
          </cell>
          <cell r="G4">
            <v>-1738</v>
          </cell>
          <cell r="I4">
            <v>-1738</v>
          </cell>
        </row>
        <row r="5">
          <cell r="B5">
            <v>122</v>
          </cell>
          <cell r="C5">
            <v>101</v>
          </cell>
          <cell r="G5">
            <v>-28443.81</v>
          </cell>
          <cell r="I5">
            <v>-1498416.08</v>
          </cell>
        </row>
        <row r="6">
          <cell r="B6">
            <v>123</v>
          </cell>
          <cell r="C6">
            <v>140</v>
          </cell>
          <cell r="G6">
            <v>0</v>
          </cell>
          <cell r="I6">
            <v>61662.18</v>
          </cell>
        </row>
        <row r="7">
          <cell r="B7">
            <v>123</v>
          </cell>
          <cell r="C7">
            <v>141</v>
          </cell>
          <cell r="G7">
            <v>-211.23</v>
          </cell>
          <cell r="I7">
            <v>17384.52</v>
          </cell>
        </row>
        <row r="8">
          <cell r="B8">
            <v>123</v>
          </cell>
          <cell r="C8">
            <v>150</v>
          </cell>
          <cell r="G8">
            <v>11308.4</v>
          </cell>
          <cell r="I8">
            <v>846928.09</v>
          </cell>
        </row>
        <row r="9">
          <cell r="B9">
            <v>123</v>
          </cell>
          <cell r="C9">
            <v>151</v>
          </cell>
          <cell r="G9">
            <v>64405.01</v>
          </cell>
          <cell r="I9">
            <v>215837.25</v>
          </cell>
        </row>
        <row r="10">
          <cell r="B10">
            <v>123</v>
          </cell>
          <cell r="C10">
            <v>160</v>
          </cell>
          <cell r="G10">
            <v>0</v>
          </cell>
          <cell r="I10">
            <v>965000</v>
          </cell>
        </row>
        <row r="11">
          <cell r="B11">
            <v>123</v>
          </cell>
          <cell r="C11">
            <v>161</v>
          </cell>
          <cell r="G11">
            <v>-3690.12</v>
          </cell>
          <cell r="I11">
            <v>412761.58</v>
          </cell>
        </row>
        <row r="12">
          <cell r="B12">
            <v>128</v>
          </cell>
          <cell r="C12">
            <v>1</v>
          </cell>
          <cell r="G12">
            <v>8750504</v>
          </cell>
          <cell r="I12">
            <v>11770184</v>
          </cell>
        </row>
        <row r="13">
          <cell r="B13">
            <v>128</v>
          </cell>
          <cell r="C13">
            <v>2</v>
          </cell>
          <cell r="G13">
            <v>0</v>
          </cell>
          <cell r="I13">
            <v>1500000</v>
          </cell>
        </row>
        <row r="14">
          <cell r="B14">
            <v>128</v>
          </cell>
          <cell r="C14">
            <v>3</v>
          </cell>
          <cell r="G14">
            <v>0</v>
          </cell>
          <cell r="I14">
            <v>1500000</v>
          </cell>
        </row>
        <row r="15">
          <cell r="B15">
            <v>128</v>
          </cell>
          <cell r="C15">
            <v>911</v>
          </cell>
          <cell r="G15">
            <v>-48991666</v>
          </cell>
          <cell r="I15">
            <v>0</v>
          </cell>
        </row>
        <row r="16">
          <cell r="B16">
            <v>128</v>
          </cell>
          <cell r="C16">
            <v>920</v>
          </cell>
          <cell r="G16">
            <v>48905833</v>
          </cell>
          <cell r="I16">
            <v>48905833</v>
          </cell>
        </row>
        <row r="17">
          <cell r="B17">
            <v>128</v>
          </cell>
          <cell r="C17">
            <v>922</v>
          </cell>
          <cell r="G17">
            <v>517206</v>
          </cell>
          <cell r="I17">
            <v>3773427</v>
          </cell>
        </row>
        <row r="18">
          <cell r="B18">
            <v>131</v>
          </cell>
          <cell r="C18">
            <v>10002</v>
          </cell>
          <cell r="G18">
            <v>-182.8</v>
          </cell>
          <cell r="I18">
            <v>7138.47</v>
          </cell>
        </row>
        <row r="19">
          <cell r="B19">
            <v>131</v>
          </cell>
          <cell r="C19">
            <v>10102</v>
          </cell>
          <cell r="G19">
            <v>191386.57</v>
          </cell>
          <cell r="I19">
            <v>934422.66</v>
          </cell>
        </row>
        <row r="20">
          <cell r="B20">
            <v>131</v>
          </cell>
          <cell r="C20">
            <v>10248</v>
          </cell>
          <cell r="G20">
            <v>1108.79</v>
          </cell>
          <cell r="I20">
            <v>7175.5</v>
          </cell>
        </row>
        <row r="21">
          <cell r="B21">
            <v>131</v>
          </cell>
          <cell r="C21">
            <v>10322</v>
          </cell>
          <cell r="G21">
            <v>-83.75</v>
          </cell>
          <cell r="I21">
            <v>143.66</v>
          </cell>
        </row>
        <row r="22">
          <cell r="B22">
            <v>131</v>
          </cell>
          <cell r="C22">
            <v>10464</v>
          </cell>
          <cell r="G22">
            <v>-20000</v>
          </cell>
          <cell r="I22">
            <v>0</v>
          </cell>
        </row>
        <row r="23">
          <cell r="B23">
            <v>131</v>
          </cell>
          <cell r="C23">
            <v>10490</v>
          </cell>
          <cell r="G23">
            <v>0</v>
          </cell>
          <cell r="I23">
            <v>938.74</v>
          </cell>
        </row>
        <row r="24">
          <cell r="B24">
            <v>131</v>
          </cell>
          <cell r="C24">
            <v>10521</v>
          </cell>
          <cell r="G24">
            <v>290.91000000000003</v>
          </cell>
          <cell r="I24">
            <v>10020.07</v>
          </cell>
        </row>
        <row r="25">
          <cell r="B25">
            <v>131</v>
          </cell>
          <cell r="C25">
            <v>10531</v>
          </cell>
          <cell r="G25">
            <v>2226.54</v>
          </cell>
          <cell r="I25">
            <v>16505.080000000002</v>
          </cell>
        </row>
        <row r="26">
          <cell r="B26">
            <v>131</v>
          </cell>
          <cell r="C26">
            <v>10566</v>
          </cell>
          <cell r="G26">
            <v>11624.04</v>
          </cell>
          <cell r="I26">
            <v>320269.71000000002</v>
          </cell>
        </row>
        <row r="27">
          <cell r="B27">
            <v>131</v>
          </cell>
          <cell r="C27">
            <v>10613</v>
          </cell>
          <cell r="G27">
            <v>4488.74</v>
          </cell>
          <cell r="I27">
            <v>141992.46</v>
          </cell>
        </row>
        <row r="28">
          <cell r="B28">
            <v>131</v>
          </cell>
          <cell r="C28">
            <v>10681</v>
          </cell>
          <cell r="G28">
            <v>647.09</v>
          </cell>
          <cell r="I28">
            <v>511985.59</v>
          </cell>
        </row>
        <row r="29">
          <cell r="B29">
            <v>131</v>
          </cell>
          <cell r="C29">
            <v>10777</v>
          </cell>
          <cell r="G29">
            <v>1018.67</v>
          </cell>
          <cell r="I29">
            <v>28621.13</v>
          </cell>
        </row>
        <row r="30">
          <cell r="B30">
            <v>131</v>
          </cell>
          <cell r="C30">
            <v>10801</v>
          </cell>
          <cell r="G30">
            <v>0</v>
          </cell>
          <cell r="I30">
            <v>0</v>
          </cell>
        </row>
        <row r="31">
          <cell r="B31">
            <v>131</v>
          </cell>
          <cell r="C31">
            <v>10803</v>
          </cell>
          <cell r="G31">
            <v>12552.95</v>
          </cell>
          <cell r="I31">
            <v>36458.769999999997</v>
          </cell>
        </row>
        <row r="32">
          <cell r="B32">
            <v>131</v>
          </cell>
          <cell r="C32">
            <v>10804</v>
          </cell>
          <cell r="G32">
            <v>7739.31</v>
          </cell>
          <cell r="I32">
            <v>54150.05</v>
          </cell>
        </row>
        <row r="33">
          <cell r="B33">
            <v>131</v>
          </cell>
          <cell r="C33">
            <v>10805</v>
          </cell>
          <cell r="G33">
            <v>25770.28</v>
          </cell>
          <cell r="I33">
            <v>114707.04</v>
          </cell>
        </row>
        <row r="34">
          <cell r="B34">
            <v>131</v>
          </cell>
          <cell r="C34">
            <v>10966</v>
          </cell>
          <cell r="G34">
            <v>-922.91</v>
          </cell>
          <cell r="I34">
            <v>21269.49</v>
          </cell>
        </row>
        <row r="35">
          <cell r="B35">
            <v>131</v>
          </cell>
          <cell r="C35">
            <v>11000</v>
          </cell>
          <cell r="G35">
            <v>-14669.77</v>
          </cell>
          <cell r="I35">
            <v>131841.47</v>
          </cell>
        </row>
        <row r="36">
          <cell r="B36">
            <v>131</v>
          </cell>
          <cell r="C36">
            <v>11012</v>
          </cell>
          <cell r="G36">
            <v>0</v>
          </cell>
          <cell r="I36">
            <v>10997.77</v>
          </cell>
        </row>
        <row r="37">
          <cell r="B37">
            <v>131</v>
          </cell>
          <cell r="C37">
            <v>13550</v>
          </cell>
          <cell r="G37">
            <v>44882.44</v>
          </cell>
          <cell r="I37">
            <v>273954.89</v>
          </cell>
        </row>
        <row r="38">
          <cell r="B38">
            <v>134</v>
          </cell>
          <cell r="C38">
            <v>5</v>
          </cell>
          <cell r="G38">
            <v>-500</v>
          </cell>
          <cell r="I38">
            <v>0</v>
          </cell>
        </row>
        <row r="39">
          <cell r="B39">
            <v>134</v>
          </cell>
          <cell r="C39">
            <v>8</v>
          </cell>
          <cell r="G39">
            <v>-5250</v>
          </cell>
          <cell r="I39">
            <v>0</v>
          </cell>
        </row>
        <row r="40">
          <cell r="B40">
            <v>134</v>
          </cell>
          <cell r="C40">
            <v>13</v>
          </cell>
          <cell r="G40">
            <v>5000</v>
          </cell>
          <cell r="I40">
            <v>5000</v>
          </cell>
        </row>
        <row r="41">
          <cell r="B41">
            <v>134</v>
          </cell>
          <cell r="C41">
            <v>21</v>
          </cell>
          <cell r="G41">
            <v>0</v>
          </cell>
          <cell r="I41">
            <v>6346521.9100000001</v>
          </cell>
        </row>
        <row r="42">
          <cell r="B42">
            <v>134</v>
          </cell>
          <cell r="C42">
            <v>150</v>
          </cell>
          <cell r="G42">
            <v>500</v>
          </cell>
          <cell r="I42">
            <v>500</v>
          </cell>
        </row>
        <row r="43">
          <cell r="B43">
            <v>134</v>
          </cell>
          <cell r="C43">
            <v>700</v>
          </cell>
          <cell r="G43">
            <v>-5000</v>
          </cell>
          <cell r="I43">
            <v>0</v>
          </cell>
        </row>
        <row r="44">
          <cell r="B44">
            <v>134</v>
          </cell>
          <cell r="C44">
            <v>808</v>
          </cell>
          <cell r="G44">
            <v>5250</v>
          </cell>
          <cell r="I44">
            <v>5250</v>
          </cell>
        </row>
        <row r="45">
          <cell r="B45">
            <v>135</v>
          </cell>
          <cell r="C45">
            <v>10004</v>
          </cell>
          <cell r="G45">
            <v>0</v>
          </cell>
          <cell r="I45">
            <v>5000</v>
          </cell>
        </row>
        <row r="46">
          <cell r="B46">
            <v>135</v>
          </cell>
          <cell r="C46">
            <v>10005</v>
          </cell>
          <cell r="G46">
            <v>0</v>
          </cell>
          <cell r="I46">
            <v>5000</v>
          </cell>
        </row>
        <row r="47">
          <cell r="B47">
            <v>135</v>
          </cell>
          <cell r="C47">
            <v>10012</v>
          </cell>
          <cell r="G47">
            <v>0</v>
          </cell>
          <cell r="I47">
            <v>9000</v>
          </cell>
        </row>
        <row r="48">
          <cell r="B48">
            <v>135</v>
          </cell>
          <cell r="C48">
            <v>10014</v>
          </cell>
          <cell r="G48">
            <v>0</v>
          </cell>
          <cell r="I48">
            <v>3500</v>
          </cell>
        </row>
        <row r="49">
          <cell r="B49">
            <v>135</v>
          </cell>
          <cell r="C49">
            <v>10020</v>
          </cell>
          <cell r="G49">
            <v>0</v>
          </cell>
          <cell r="I49">
            <v>25000</v>
          </cell>
        </row>
        <row r="50">
          <cell r="B50">
            <v>135</v>
          </cell>
          <cell r="C50">
            <v>10021</v>
          </cell>
          <cell r="G50">
            <v>0</v>
          </cell>
          <cell r="I50">
            <v>24000</v>
          </cell>
        </row>
        <row r="51">
          <cell r="B51">
            <v>135</v>
          </cell>
          <cell r="C51">
            <v>10023</v>
          </cell>
          <cell r="G51">
            <v>0</v>
          </cell>
          <cell r="I51">
            <v>3000</v>
          </cell>
        </row>
        <row r="52">
          <cell r="B52">
            <v>135</v>
          </cell>
          <cell r="C52">
            <v>10024</v>
          </cell>
          <cell r="G52">
            <v>0</v>
          </cell>
          <cell r="I52">
            <v>8800</v>
          </cell>
        </row>
        <row r="53">
          <cell r="B53">
            <v>135</v>
          </cell>
          <cell r="C53">
            <v>10027</v>
          </cell>
          <cell r="G53">
            <v>0</v>
          </cell>
          <cell r="I53">
            <v>7500</v>
          </cell>
        </row>
        <row r="54">
          <cell r="B54">
            <v>135</v>
          </cell>
          <cell r="C54">
            <v>10030</v>
          </cell>
          <cell r="G54">
            <v>0</v>
          </cell>
          <cell r="I54">
            <v>3500</v>
          </cell>
        </row>
        <row r="55">
          <cell r="B55">
            <v>135</v>
          </cell>
          <cell r="C55">
            <v>10031</v>
          </cell>
          <cell r="G55">
            <v>0</v>
          </cell>
          <cell r="I55">
            <v>130000</v>
          </cell>
        </row>
        <row r="56">
          <cell r="B56">
            <v>135</v>
          </cell>
          <cell r="C56">
            <v>10048</v>
          </cell>
          <cell r="G56">
            <v>0</v>
          </cell>
          <cell r="I56">
            <v>77863.259999999995</v>
          </cell>
        </row>
        <row r="57">
          <cell r="B57">
            <v>142</v>
          </cell>
          <cell r="C57">
            <v>100</v>
          </cell>
          <cell r="G57">
            <v>28630316.370000001</v>
          </cell>
          <cell r="I57">
            <v>92528730.959999993</v>
          </cell>
        </row>
        <row r="58">
          <cell r="B58">
            <v>142</v>
          </cell>
          <cell r="C58">
            <v>114</v>
          </cell>
          <cell r="G58">
            <v>2149824.0499999998</v>
          </cell>
          <cell r="I58">
            <v>2149824.0499999998</v>
          </cell>
        </row>
        <row r="59">
          <cell r="B59">
            <v>142</v>
          </cell>
          <cell r="C59">
            <v>115</v>
          </cell>
          <cell r="G59">
            <v>-74319.67</v>
          </cell>
          <cell r="I59">
            <v>0</v>
          </cell>
        </row>
        <row r="60">
          <cell r="B60">
            <v>142</v>
          </cell>
          <cell r="C60">
            <v>116</v>
          </cell>
          <cell r="G60">
            <v>-2345618.79</v>
          </cell>
          <cell r="I60">
            <v>0</v>
          </cell>
        </row>
        <row r="61">
          <cell r="B61">
            <v>142</v>
          </cell>
          <cell r="C61">
            <v>117</v>
          </cell>
          <cell r="G61">
            <v>2385694.73</v>
          </cell>
          <cell r="I61">
            <v>0</v>
          </cell>
        </row>
        <row r="62">
          <cell r="B62">
            <v>142</v>
          </cell>
          <cell r="C62">
            <v>121</v>
          </cell>
          <cell r="G62">
            <v>-2149824.0499999998</v>
          </cell>
          <cell r="I62">
            <v>-2149824.0499999998</v>
          </cell>
        </row>
        <row r="63">
          <cell r="B63">
            <v>142</v>
          </cell>
          <cell r="C63">
            <v>129</v>
          </cell>
          <cell r="G63">
            <v>-1869.26</v>
          </cell>
          <cell r="I63">
            <v>-1869.26</v>
          </cell>
        </row>
        <row r="64">
          <cell r="B64">
            <v>142</v>
          </cell>
          <cell r="C64">
            <v>130</v>
          </cell>
          <cell r="G64">
            <v>455.61</v>
          </cell>
          <cell r="I64">
            <v>0</v>
          </cell>
        </row>
        <row r="65">
          <cell r="B65">
            <v>142</v>
          </cell>
          <cell r="C65">
            <v>136</v>
          </cell>
          <cell r="G65">
            <v>-136849.99</v>
          </cell>
          <cell r="I65">
            <v>-136849.99</v>
          </cell>
        </row>
        <row r="66">
          <cell r="B66">
            <v>142</v>
          </cell>
          <cell r="C66">
            <v>140</v>
          </cell>
          <cell r="G66">
            <v>69233.83</v>
          </cell>
          <cell r="I66">
            <v>0</v>
          </cell>
        </row>
        <row r="67">
          <cell r="B67">
            <v>142</v>
          </cell>
          <cell r="C67">
            <v>141</v>
          </cell>
          <cell r="G67">
            <v>0</v>
          </cell>
          <cell r="I67">
            <v>0</v>
          </cell>
        </row>
        <row r="68">
          <cell r="B68">
            <v>142</v>
          </cell>
          <cell r="C68">
            <v>145</v>
          </cell>
          <cell r="G68">
            <v>1770.94</v>
          </cell>
          <cell r="I68">
            <v>0</v>
          </cell>
        </row>
        <row r="69">
          <cell r="B69">
            <v>142</v>
          </cell>
          <cell r="C69">
            <v>160</v>
          </cell>
          <cell r="G69">
            <v>77252.800000000003</v>
          </cell>
          <cell r="I69">
            <v>77252.800000000003</v>
          </cell>
        </row>
        <row r="70">
          <cell r="B70">
            <v>142</v>
          </cell>
          <cell r="C70">
            <v>260</v>
          </cell>
          <cell r="G70">
            <v>62646.91</v>
          </cell>
          <cell r="I70">
            <v>62646.91</v>
          </cell>
        </row>
        <row r="71">
          <cell r="B71">
            <v>142</v>
          </cell>
          <cell r="C71">
            <v>261</v>
          </cell>
          <cell r="G71">
            <v>5389.6</v>
          </cell>
          <cell r="I71">
            <v>5389.6</v>
          </cell>
        </row>
        <row r="72">
          <cell r="B72">
            <v>142</v>
          </cell>
          <cell r="C72">
            <v>302</v>
          </cell>
          <cell r="G72">
            <v>0</v>
          </cell>
          <cell r="I72">
            <v>1298072.25</v>
          </cell>
        </row>
        <row r="73">
          <cell r="B73">
            <v>142</v>
          </cell>
          <cell r="C73">
            <v>303</v>
          </cell>
          <cell r="G73">
            <v>0</v>
          </cell>
          <cell r="I73">
            <v>-1298072.25</v>
          </cell>
        </row>
        <row r="74">
          <cell r="B74">
            <v>142</v>
          </cell>
          <cell r="C74">
            <v>304</v>
          </cell>
          <cell r="G74">
            <v>3.5</v>
          </cell>
          <cell r="I74">
            <v>3.5</v>
          </cell>
        </row>
        <row r="75">
          <cell r="B75">
            <v>142</v>
          </cell>
          <cell r="C75">
            <v>305</v>
          </cell>
          <cell r="G75">
            <v>7</v>
          </cell>
          <cell r="I75">
            <v>-3.5</v>
          </cell>
        </row>
        <row r="76">
          <cell r="B76">
            <v>142</v>
          </cell>
          <cell r="C76">
            <v>400</v>
          </cell>
          <cell r="G76">
            <v>-58124.46</v>
          </cell>
          <cell r="I76">
            <v>0</v>
          </cell>
        </row>
        <row r="77">
          <cell r="B77">
            <v>142</v>
          </cell>
          <cell r="C77">
            <v>410</v>
          </cell>
          <cell r="G77">
            <v>-4794.72</v>
          </cell>
          <cell r="I77">
            <v>0</v>
          </cell>
        </row>
        <row r="78">
          <cell r="B78">
            <v>143</v>
          </cell>
          <cell r="C78">
            <v>24</v>
          </cell>
          <cell r="G78">
            <v>-32703.19</v>
          </cell>
          <cell r="I78">
            <v>0</v>
          </cell>
        </row>
        <row r="79">
          <cell r="B79">
            <v>143</v>
          </cell>
          <cell r="C79">
            <v>120</v>
          </cell>
          <cell r="G79">
            <v>155489</v>
          </cell>
          <cell r="I79">
            <v>155489</v>
          </cell>
        </row>
        <row r="80">
          <cell r="B80">
            <v>143</v>
          </cell>
          <cell r="C80">
            <v>130</v>
          </cell>
          <cell r="G80">
            <v>42749.599999999999</v>
          </cell>
          <cell r="I80">
            <v>42749.599999999999</v>
          </cell>
        </row>
        <row r="81">
          <cell r="B81">
            <v>143</v>
          </cell>
          <cell r="C81">
            <v>823</v>
          </cell>
          <cell r="G81">
            <v>2845.04</v>
          </cell>
          <cell r="I81">
            <v>2845.04</v>
          </cell>
        </row>
        <row r="82">
          <cell r="B82">
            <v>143</v>
          </cell>
          <cell r="C82">
            <v>1323</v>
          </cell>
          <cell r="G82">
            <v>0</v>
          </cell>
          <cell r="I82">
            <v>68268</v>
          </cell>
        </row>
        <row r="83">
          <cell r="B83">
            <v>143</v>
          </cell>
          <cell r="C83">
            <v>60000</v>
          </cell>
          <cell r="G83">
            <v>-773.2</v>
          </cell>
          <cell r="I83">
            <v>57622.3</v>
          </cell>
        </row>
        <row r="84">
          <cell r="B84">
            <v>143</v>
          </cell>
          <cell r="C84">
            <v>90000</v>
          </cell>
          <cell r="G84">
            <v>-86259.67</v>
          </cell>
          <cell r="I84">
            <v>0</v>
          </cell>
        </row>
        <row r="85">
          <cell r="B85">
            <v>143</v>
          </cell>
          <cell r="C85">
            <v>90002</v>
          </cell>
          <cell r="G85">
            <v>-18517.62</v>
          </cell>
          <cell r="I85">
            <v>389839.23</v>
          </cell>
        </row>
        <row r="86">
          <cell r="B86">
            <v>143</v>
          </cell>
          <cell r="C86">
            <v>90013</v>
          </cell>
          <cell r="G86">
            <v>0</v>
          </cell>
          <cell r="I86">
            <v>23280.79</v>
          </cell>
        </row>
        <row r="87">
          <cell r="B87">
            <v>143</v>
          </cell>
          <cell r="C87">
            <v>90014</v>
          </cell>
          <cell r="G87">
            <v>0</v>
          </cell>
          <cell r="I87">
            <v>265308</v>
          </cell>
        </row>
        <row r="88">
          <cell r="B88">
            <v>143</v>
          </cell>
          <cell r="C88">
            <v>99027</v>
          </cell>
          <cell r="G88">
            <v>28.57</v>
          </cell>
          <cell r="I88">
            <v>83.15</v>
          </cell>
        </row>
        <row r="89">
          <cell r="B89">
            <v>143</v>
          </cell>
          <cell r="C89">
            <v>99200</v>
          </cell>
          <cell r="G89">
            <v>29104.91</v>
          </cell>
          <cell r="I89">
            <v>-68999.649999999994</v>
          </cell>
        </row>
        <row r="90">
          <cell r="B90">
            <v>143</v>
          </cell>
          <cell r="C90">
            <v>99364</v>
          </cell>
          <cell r="G90">
            <v>0</v>
          </cell>
          <cell r="I90">
            <v>297621.5</v>
          </cell>
        </row>
        <row r="91">
          <cell r="B91">
            <v>143</v>
          </cell>
          <cell r="C91">
            <v>99388</v>
          </cell>
          <cell r="G91">
            <v>0</v>
          </cell>
          <cell r="I91">
            <v>5561.4</v>
          </cell>
        </row>
        <row r="92">
          <cell r="B92">
            <v>143</v>
          </cell>
          <cell r="C92">
            <v>99413</v>
          </cell>
          <cell r="G92">
            <v>-659658.43999999994</v>
          </cell>
          <cell r="I92">
            <v>0</v>
          </cell>
        </row>
        <row r="93">
          <cell r="B93">
            <v>143</v>
          </cell>
          <cell r="C93">
            <v>99501</v>
          </cell>
          <cell r="G93">
            <v>551942.57999999996</v>
          </cell>
          <cell r="I93">
            <v>10440432.07</v>
          </cell>
        </row>
        <row r="94">
          <cell r="B94">
            <v>143</v>
          </cell>
          <cell r="C94">
            <v>99502</v>
          </cell>
          <cell r="G94">
            <v>27458.67</v>
          </cell>
          <cell r="I94">
            <v>3712971.86</v>
          </cell>
        </row>
        <row r="95">
          <cell r="B95">
            <v>143</v>
          </cell>
          <cell r="C95">
            <v>99503</v>
          </cell>
          <cell r="G95">
            <v>0</v>
          </cell>
          <cell r="I95">
            <v>280433.13</v>
          </cell>
        </row>
        <row r="96">
          <cell r="B96">
            <v>143</v>
          </cell>
          <cell r="C96">
            <v>99504</v>
          </cell>
          <cell r="G96">
            <v>1801621.5</v>
          </cell>
          <cell r="I96">
            <v>43160509.93</v>
          </cell>
        </row>
        <row r="97">
          <cell r="B97">
            <v>143</v>
          </cell>
          <cell r="C97">
            <v>99505</v>
          </cell>
          <cell r="G97">
            <v>20868.400000000001</v>
          </cell>
          <cell r="I97">
            <v>20868.400000000001</v>
          </cell>
        </row>
        <row r="98">
          <cell r="B98">
            <v>143</v>
          </cell>
          <cell r="C98">
            <v>99506</v>
          </cell>
          <cell r="G98">
            <v>481274.13</v>
          </cell>
          <cell r="I98">
            <v>10586552.550000001</v>
          </cell>
        </row>
        <row r="99">
          <cell r="B99">
            <v>143</v>
          </cell>
          <cell r="C99">
            <v>99507</v>
          </cell>
          <cell r="G99">
            <v>0</v>
          </cell>
          <cell r="I99">
            <v>276762</v>
          </cell>
        </row>
        <row r="100">
          <cell r="B100">
            <v>143</v>
          </cell>
          <cell r="C100">
            <v>99508</v>
          </cell>
          <cell r="G100">
            <v>456512.91</v>
          </cell>
          <cell r="I100">
            <v>9925064.3900000006</v>
          </cell>
        </row>
        <row r="101">
          <cell r="B101">
            <v>143</v>
          </cell>
          <cell r="C101">
            <v>99509</v>
          </cell>
          <cell r="G101">
            <v>55162.59</v>
          </cell>
          <cell r="I101">
            <v>1250126.72</v>
          </cell>
        </row>
        <row r="102">
          <cell r="B102">
            <v>143</v>
          </cell>
          <cell r="C102">
            <v>99510</v>
          </cell>
          <cell r="G102">
            <v>359481.65</v>
          </cell>
          <cell r="I102">
            <v>4501324.37</v>
          </cell>
        </row>
        <row r="103">
          <cell r="B103">
            <v>143</v>
          </cell>
          <cell r="C103">
            <v>99511</v>
          </cell>
          <cell r="G103">
            <v>32074.38</v>
          </cell>
          <cell r="I103">
            <v>4319782.33</v>
          </cell>
        </row>
        <row r="104">
          <cell r="B104">
            <v>143</v>
          </cell>
          <cell r="C104">
            <v>99512</v>
          </cell>
          <cell r="G104">
            <v>0</v>
          </cell>
          <cell r="I104">
            <v>5626.63</v>
          </cell>
        </row>
        <row r="105">
          <cell r="B105">
            <v>143</v>
          </cell>
          <cell r="C105">
            <v>99513</v>
          </cell>
          <cell r="G105">
            <v>24560.07</v>
          </cell>
          <cell r="I105">
            <v>580551.02</v>
          </cell>
        </row>
        <row r="106">
          <cell r="B106">
            <v>143</v>
          </cell>
          <cell r="C106">
            <v>99518</v>
          </cell>
          <cell r="G106">
            <v>223.3</v>
          </cell>
          <cell r="I106">
            <v>223.3</v>
          </cell>
        </row>
        <row r="107">
          <cell r="B107">
            <v>143</v>
          </cell>
          <cell r="C107">
            <v>99519</v>
          </cell>
          <cell r="G107">
            <v>66.42</v>
          </cell>
          <cell r="I107">
            <v>7763.68</v>
          </cell>
        </row>
        <row r="108">
          <cell r="B108">
            <v>143</v>
          </cell>
          <cell r="C108">
            <v>99520</v>
          </cell>
          <cell r="G108">
            <v>75698.7</v>
          </cell>
          <cell r="I108">
            <v>80848.7</v>
          </cell>
        </row>
        <row r="109">
          <cell r="B109">
            <v>143</v>
          </cell>
          <cell r="C109">
            <v>99523</v>
          </cell>
          <cell r="G109">
            <v>0</v>
          </cell>
          <cell r="I109">
            <v>21203.1</v>
          </cell>
        </row>
        <row r="110">
          <cell r="B110">
            <v>143</v>
          </cell>
          <cell r="C110">
            <v>99524</v>
          </cell>
          <cell r="G110">
            <v>0</v>
          </cell>
          <cell r="I110">
            <v>60249.75</v>
          </cell>
        </row>
        <row r="111">
          <cell r="B111">
            <v>143</v>
          </cell>
          <cell r="C111">
            <v>99911</v>
          </cell>
          <cell r="G111">
            <v>113.37</v>
          </cell>
          <cell r="I111">
            <v>127.07</v>
          </cell>
        </row>
        <row r="112">
          <cell r="B112">
            <v>143</v>
          </cell>
          <cell r="C112">
            <v>99914</v>
          </cell>
          <cell r="G112">
            <v>-648922.71</v>
          </cell>
          <cell r="I112">
            <v>0</v>
          </cell>
        </row>
        <row r="113">
          <cell r="B113">
            <v>143</v>
          </cell>
          <cell r="C113">
            <v>99926</v>
          </cell>
          <cell r="G113">
            <v>65305.17</v>
          </cell>
          <cell r="I113">
            <v>634280.71</v>
          </cell>
        </row>
        <row r="114">
          <cell r="B114">
            <v>143</v>
          </cell>
          <cell r="C114">
            <v>99927</v>
          </cell>
          <cell r="G114">
            <v>34433.51</v>
          </cell>
          <cell r="I114">
            <v>919263.03</v>
          </cell>
        </row>
        <row r="115">
          <cell r="B115">
            <v>143</v>
          </cell>
          <cell r="C115">
            <v>99976</v>
          </cell>
          <cell r="G115">
            <v>200</v>
          </cell>
          <cell r="I115">
            <v>200</v>
          </cell>
        </row>
        <row r="116">
          <cell r="B116">
            <v>143</v>
          </cell>
          <cell r="C116">
            <v>99990</v>
          </cell>
          <cell r="G116">
            <v>24802</v>
          </cell>
          <cell r="I116">
            <v>24802</v>
          </cell>
        </row>
        <row r="117">
          <cell r="B117">
            <v>143</v>
          </cell>
          <cell r="C117">
            <v>99992</v>
          </cell>
          <cell r="G117">
            <v>54972</v>
          </cell>
          <cell r="I117">
            <v>54972</v>
          </cell>
        </row>
        <row r="118">
          <cell r="B118">
            <v>143</v>
          </cell>
          <cell r="C118">
            <v>99999</v>
          </cell>
          <cell r="G118">
            <v>-179.99</v>
          </cell>
          <cell r="I118">
            <v>141990.26</v>
          </cell>
        </row>
        <row r="119">
          <cell r="B119">
            <v>144</v>
          </cell>
          <cell r="C119">
            <v>1</v>
          </cell>
          <cell r="G119">
            <v>-2605951.23</v>
          </cell>
          <cell r="I119">
            <v>-2605951.23</v>
          </cell>
        </row>
        <row r="120">
          <cell r="B120">
            <v>144</v>
          </cell>
          <cell r="C120">
            <v>100</v>
          </cell>
          <cell r="G120">
            <v>1912813.99</v>
          </cell>
          <cell r="I120">
            <v>0</v>
          </cell>
        </row>
        <row r="121">
          <cell r="B121">
            <v>146</v>
          </cell>
          <cell r="C121">
            <v>100</v>
          </cell>
          <cell r="G121">
            <v>718.29</v>
          </cell>
          <cell r="I121">
            <v>9083.07</v>
          </cell>
        </row>
        <row r="122">
          <cell r="B122">
            <v>146</v>
          </cell>
          <cell r="C122">
            <v>300</v>
          </cell>
          <cell r="G122">
            <v>-124842.34</v>
          </cell>
          <cell r="I122">
            <v>20651.22</v>
          </cell>
        </row>
        <row r="123">
          <cell r="B123">
            <v>146</v>
          </cell>
          <cell r="C123">
            <v>325</v>
          </cell>
          <cell r="G123">
            <v>-314432.75</v>
          </cell>
          <cell r="I123">
            <v>142747.15</v>
          </cell>
        </row>
        <row r="124">
          <cell r="B124">
            <v>146</v>
          </cell>
          <cell r="C124">
            <v>500</v>
          </cell>
          <cell r="G124">
            <v>-4679.13</v>
          </cell>
          <cell r="I124">
            <v>800.54</v>
          </cell>
        </row>
        <row r="125">
          <cell r="B125">
            <v>146</v>
          </cell>
          <cell r="C125">
            <v>700</v>
          </cell>
          <cell r="G125">
            <v>-203469.1</v>
          </cell>
          <cell r="I125">
            <v>0</v>
          </cell>
        </row>
        <row r="126">
          <cell r="B126">
            <v>146</v>
          </cell>
          <cell r="C126">
            <v>702</v>
          </cell>
          <cell r="G126">
            <v>-39102.47</v>
          </cell>
          <cell r="I126">
            <v>0</v>
          </cell>
        </row>
        <row r="127">
          <cell r="B127">
            <v>146</v>
          </cell>
          <cell r="C127">
            <v>704</v>
          </cell>
          <cell r="G127">
            <v>1986007.87</v>
          </cell>
          <cell r="I127">
            <v>2538972.69</v>
          </cell>
        </row>
        <row r="128">
          <cell r="B128">
            <v>146</v>
          </cell>
          <cell r="C128">
            <v>710</v>
          </cell>
          <cell r="G128">
            <v>-5580691.2300000004</v>
          </cell>
          <cell r="I128">
            <v>0</v>
          </cell>
        </row>
        <row r="129">
          <cell r="B129">
            <v>146</v>
          </cell>
          <cell r="C129">
            <v>711</v>
          </cell>
          <cell r="G129">
            <v>3449692.78</v>
          </cell>
          <cell r="I129">
            <v>3449692.78</v>
          </cell>
        </row>
        <row r="130">
          <cell r="B130">
            <v>146</v>
          </cell>
          <cell r="C130">
            <v>721</v>
          </cell>
          <cell r="G130">
            <v>105</v>
          </cell>
          <cell r="I130">
            <v>9987</v>
          </cell>
        </row>
        <row r="131">
          <cell r="B131">
            <v>146</v>
          </cell>
          <cell r="C131">
            <v>723</v>
          </cell>
          <cell r="G131">
            <v>51786.5</v>
          </cell>
          <cell r="I131">
            <v>356282.21</v>
          </cell>
        </row>
        <row r="132">
          <cell r="B132">
            <v>146</v>
          </cell>
          <cell r="C132">
            <v>724</v>
          </cell>
          <cell r="G132">
            <v>2601.15</v>
          </cell>
          <cell r="I132">
            <v>68696.87</v>
          </cell>
        </row>
        <row r="133">
          <cell r="B133">
            <v>146</v>
          </cell>
          <cell r="C133">
            <v>729</v>
          </cell>
          <cell r="G133">
            <v>-5910.01</v>
          </cell>
          <cell r="I133">
            <v>0</v>
          </cell>
        </row>
        <row r="134">
          <cell r="B134">
            <v>146</v>
          </cell>
          <cell r="C134">
            <v>739</v>
          </cell>
          <cell r="G134">
            <v>6091.51</v>
          </cell>
          <cell r="I134">
            <v>6091.51</v>
          </cell>
        </row>
        <row r="135">
          <cell r="B135">
            <v>146</v>
          </cell>
          <cell r="C135">
            <v>742</v>
          </cell>
          <cell r="G135">
            <v>215174.47</v>
          </cell>
          <cell r="I135">
            <v>215174.47</v>
          </cell>
        </row>
        <row r="136">
          <cell r="B136">
            <v>146</v>
          </cell>
          <cell r="C136">
            <v>765</v>
          </cell>
          <cell r="G136">
            <v>7365.31</v>
          </cell>
          <cell r="I136">
            <v>7365.31</v>
          </cell>
        </row>
        <row r="137">
          <cell r="B137">
            <v>146</v>
          </cell>
          <cell r="C137">
            <v>800</v>
          </cell>
          <cell r="G137">
            <v>-111079.03</v>
          </cell>
          <cell r="I137">
            <v>0</v>
          </cell>
        </row>
        <row r="138">
          <cell r="B138">
            <v>146</v>
          </cell>
          <cell r="C138">
            <v>808</v>
          </cell>
          <cell r="G138">
            <v>-9881.32</v>
          </cell>
          <cell r="I138">
            <v>2717.65</v>
          </cell>
        </row>
        <row r="139">
          <cell r="B139">
            <v>146</v>
          </cell>
          <cell r="C139">
            <v>1192</v>
          </cell>
          <cell r="G139">
            <v>119.43</v>
          </cell>
          <cell r="I139">
            <v>119.43</v>
          </cell>
        </row>
        <row r="140">
          <cell r="B140">
            <v>146</v>
          </cell>
          <cell r="C140">
            <v>90001</v>
          </cell>
          <cell r="G140">
            <v>-119.34</v>
          </cell>
          <cell r="I140">
            <v>0</v>
          </cell>
        </row>
        <row r="141">
          <cell r="B141">
            <v>151</v>
          </cell>
          <cell r="C141">
            <v>100</v>
          </cell>
          <cell r="G141">
            <v>-15312547.640000001</v>
          </cell>
          <cell r="I141">
            <v>73615537.459999993</v>
          </cell>
        </row>
        <row r="142">
          <cell r="B142">
            <v>151</v>
          </cell>
          <cell r="C142">
            <v>320</v>
          </cell>
          <cell r="G142">
            <v>-327907.06</v>
          </cell>
          <cell r="I142">
            <v>3066786.38</v>
          </cell>
        </row>
        <row r="143">
          <cell r="B143">
            <v>151</v>
          </cell>
          <cell r="C143">
            <v>500</v>
          </cell>
          <cell r="G143">
            <v>-1115557.4099999999</v>
          </cell>
          <cell r="I143">
            <v>65433509.340000004</v>
          </cell>
        </row>
        <row r="144">
          <cell r="B144">
            <v>151</v>
          </cell>
          <cell r="C144">
            <v>600</v>
          </cell>
          <cell r="G144">
            <v>654936.06999999995</v>
          </cell>
          <cell r="I144">
            <v>5539602.0099999998</v>
          </cell>
        </row>
        <row r="145">
          <cell r="B145">
            <v>154</v>
          </cell>
          <cell r="C145">
            <v>1</v>
          </cell>
          <cell r="G145">
            <v>-32188464.280000001</v>
          </cell>
          <cell r="I145">
            <v>0</v>
          </cell>
        </row>
        <row r="146">
          <cell r="B146">
            <v>154</v>
          </cell>
          <cell r="C146">
            <v>2</v>
          </cell>
          <cell r="G146">
            <v>-1611710.27</v>
          </cell>
          <cell r="I146">
            <v>0</v>
          </cell>
        </row>
        <row r="147">
          <cell r="B147">
            <v>154</v>
          </cell>
          <cell r="C147">
            <v>3</v>
          </cell>
          <cell r="G147">
            <v>-2472921.98</v>
          </cell>
          <cell r="I147">
            <v>0</v>
          </cell>
        </row>
        <row r="148">
          <cell r="B148">
            <v>154</v>
          </cell>
          <cell r="C148">
            <v>4</v>
          </cell>
          <cell r="G148">
            <v>-2034096.01</v>
          </cell>
          <cell r="I148">
            <v>0</v>
          </cell>
        </row>
        <row r="149">
          <cell r="B149">
            <v>154</v>
          </cell>
          <cell r="C149">
            <v>200</v>
          </cell>
          <cell r="G149">
            <v>19332431.050000001</v>
          </cell>
          <cell r="I149">
            <v>19332431.050000001</v>
          </cell>
        </row>
        <row r="150">
          <cell r="B150">
            <v>154</v>
          </cell>
          <cell r="C150">
            <v>204</v>
          </cell>
          <cell r="G150">
            <v>2070453.39</v>
          </cell>
          <cell r="I150">
            <v>2070453.39</v>
          </cell>
        </row>
        <row r="151">
          <cell r="B151">
            <v>154</v>
          </cell>
          <cell r="C151">
            <v>205</v>
          </cell>
          <cell r="G151">
            <v>2444541.06</v>
          </cell>
          <cell r="I151">
            <v>2444541.06</v>
          </cell>
        </row>
        <row r="152">
          <cell r="B152">
            <v>154</v>
          </cell>
          <cell r="C152">
            <v>500</v>
          </cell>
          <cell r="G152">
            <v>14339929.109999999</v>
          </cell>
          <cell r="I152">
            <v>14339929.109999999</v>
          </cell>
        </row>
        <row r="153">
          <cell r="B153">
            <v>158</v>
          </cell>
          <cell r="C153">
            <v>107</v>
          </cell>
          <cell r="G153">
            <v>-12401772.6</v>
          </cell>
          <cell r="I153">
            <v>0</v>
          </cell>
        </row>
        <row r="154">
          <cell r="B154">
            <v>158</v>
          </cell>
          <cell r="C154">
            <v>10207</v>
          </cell>
          <cell r="G154">
            <v>11720377.289999999</v>
          </cell>
          <cell r="I154">
            <v>11720377.289999999</v>
          </cell>
        </row>
        <row r="155">
          <cell r="B155">
            <v>158</v>
          </cell>
          <cell r="C155">
            <v>11209</v>
          </cell>
          <cell r="G155">
            <v>0</v>
          </cell>
          <cell r="I155">
            <v>214494.82</v>
          </cell>
        </row>
        <row r="156">
          <cell r="B156">
            <v>158</v>
          </cell>
          <cell r="C156">
            <v>12409</v>
          </cell>
          <cell r="G156">
            <v>-2314027.2200000002</v>
          </cell>
          <cell r="I156">
            <v>4164391.92</v>
          </cell>
        </row>
        <row r="157">
          <cell r="B157">
            <v>158</v>
          </cell>
          <cell r="C157">
            <v>12410</v>
          </cell>
          <cell r="G157">
            <v>495000</v>
          </cell>
          <cell r="I157">
            <v>564750</v>
          </cell>
        </row>
        <row r="158">
          <cell r="B158">
            <v>165</v>
          </cell>
          <cell r="C158">
            <v>20</v>
          </cell>
          <cell r="G158">
            <v>-247493.36</v>
          </cell>
          <cell r="I158">
            <v>0</v>
          </cell>
        </row>
        <row r="159">
          <cell r="B159">
            <v>165</v>
          </cell>
          <cell r="C159">
            <v>21</v>
          </cell>
          <cell r="G159">
            <v>185620.03</v>
          </cell>
          <cell r="I159">
            <v>185620.03</v>
          </cell>
        </row>
        <row r="160">
          <cell r="B160">
            <v>165</v>
          </cell>
          <cell r="C160">
            <v>40</v>
          </cell>
          <cell r="G160">
            <v>-310961.17</v>
          </cell>
          <cell r="I160">
            <v>2798650.62</v>
          </cell>
        </row>
        <row r="161">
          <cell r="B161">
            <v>165</v>
          </cell>
          <cell r="C161">
            <v>90</v>
          </cell>
          <cell r="G161">
            <v>-9086.31</v>
          </cell>
          <cell r="I161">
            <v>27258.880000000001</v>
          </cell>
        </row>
        <row r="162">
          <cell r="B162">
            <v>165</v>
          </cell>
          <cell r="C162">
            <v>100</v>
          </cell>
          <cell r="G162">
            <v>55401.7</v>
          </cell>
          <cell r="I162">
            <v>55401.7</v>
          </cell>
        </row>
        <row r="163">
          <cell r="B163">
            <v>165</v>
          </cell>
          <cell r="C163">
            <v>105</v>
          </cell>
          <cell r="G163">
            <v>-64635.32</v>
          </cell>
          <cell r="I163">
            <v>0</v>
          </cell>
        </row>
        <row r="164">
          <cell r="B164">
            <v>165</v>
          </cell>
          <cell r="C164">
            <v>714</v>
          </cell>
          <cell r="G164">
            <v>1919.78</v>
          </cell>
          <cell r="I164">
            <v>1919.78</v>
          </cell>
        </row>
        <row r="165">
          <cell r="B165">
            <v>165</v>
          </cell>
          <cell r="C165">
            <v>715</v>
          </cell>
          <cell r="G165">
            <v>16968.259999999998</v>
          </cell>
          <cell r="I165">
            <v>16968.259999999998</v>
          </cell>
        </row>
        <row r="166">
          <cell r="B166">
            <v>165</v>
          </cell>
          <cell r="C166">
            <v>902</v>
          </cell>
          <cell r="G166">
            <v>-4652.33</v>
          </cell>
          <cell r="I166">
            <v>0</v>
          </cell>
        </row>
        <row r="167">
          <cell r="B167">
            <v>165</v>
          </cell>
          <cell r="C167">
            <v>903</v>
          </cell>
          <cell r="G167">
            <v>-58702.51</v>
          </cell>
          <cell r="I167">
            <v>0</v>
          </cell>
        </row>
        <row r="168">
          <cell r="B168">
            <v>165</v>
          </cell>
          <cell r="C168">
            <v>918</v>
          </cell>
          <cell r="G168">
            <v>-23880222.52</v>
          </cell>
          <cell r="I168">
            <v>0</v>
          </cell>
        </row>
        <row r="169">
          <cell r="B169">
            <v>165</v>
          </cell>
          <cell r="C169">
            <v>928</v>
          </cell>
          <cell r="G169">
            <v>-3383.8</v>
          </cell>
          <cell r="I169">
            <v>149979.20000000001</v>
          </cell>
        </row>
        <row r="170">
          <cell r="B170">
            <v>165</v>
          </cell>
          <cell r="C170">
            <v>938</v>
          </cell>
          <cell r="G170">
            <v>41066.67</v>
          </cell>
          <cell r="I170">
            <v>41066.67</v>
          </cell>
        </row>
        <row r="171">
          <cell r="B171">
            <v>165</v>
          </cell>
          <cell r="C171">
            <v>990</v>
          </cell>
          <cell r="G171">
            <v>238551</v>
          </cell>
          <cell r="I171">
            <v>238551</v>
          </cell>
        </row>
        <row r="172">
          <cell r="B172">
            <v>165</v>
          </cell>
          <cell r="C172">
            <v>1210</v>
          </cell>
          <cell r="G172">
            <v>23880222.52</v>
          </cell>
          <cell r="I172">
            <v>23880222.52</v>
          </cell>
        </row>
        <row r="173">
          <cell r="B173">
            <v>171</v>
          </cell>
          <cell r="C173">
            <v>300</v>
          </cell>
          <cell r="G173">
            <v>0</v>
          </cell>
          <cell r="I173">
            <v>307677</v>
          </cell>
        </row>
        <row r="174">
          <cell r="B174">
            <v>173</v>
          </cell>
          <cell r="C174">
            <v>0</v>
          </cell>
          <cell r="G174">
            <v>-60410793.219999999</v>
          </cell>
          <cell r="I174">
            <v>0</v>
          </cell>
        </row>
        <row r="175">
          <cell r="B175">
            <v>173</v>
          </cell>
          <cell r="C175">
            <v>20</v>
          </cell>
          <cell r="G175">
            <v>57533212.18</v>
          </cell>
          <cell r="I175">
            <v>57533212.18</v>
          </cell>
        </row>
        <row r="176">
          <cell r="B176">
            <v>173</v>
          </cell>
          <cell r="C176">
            <v>21</v>
          </cell>
          <cell r="G176">
            <v>32816.44</v>
          </cell>
          <cell r="I176">
            <v>32816.44</v>
          </cell>
        </row>
        <row r="177">
          <cell r="B177">
            <v>173</v>
          </cell>
          <cell r="C177">
            <v>600</v>
          </cell>
          <cell r="G177">
            <v>-3208.89</v>
          </cell>
          <cell r="I177">
            <v>0</v>
          </cell>
        </row>
        <row r="178">
          <cell r="B178">
            <v>174</v>
          </cell>
          <cell r="C178">
            <v>41</v>
          </cell>
          <cell r="G178">
            <v>0</v>
          </cell>
          <cell r="I178">
            <v>0</v>
          </cell>
        </row>
        <row r="179">
          <cell r="B179">
            <v>174</v>
          </cell>
          <cell r="C179">
            <v>801</v>
          </cell>
          <cell r="G179">
            <v>0</v>
          </cell>
          <cell r="I179">
            <v>0</v>
          </cell>
        </row>
        <row r="180">
          <cell r="B180">
            <v>175</v>
          </cell>
          <cell r="C180">
            <v>100</v>
          </cell>
          <cell r="G180">
            <v>-11811.76</v>
          </cell>
          <cell r="I180">
            <v>0</v>
          </cell>
        </row>
        <row r="181">
          <cell r="B181">
            <v>175</v>
          </cell>
          <cell r="C181">
            <v>1130</v>
          </cell>
          <cell r="G181">
            <v>5460.59</v>
          </cell>
          <cell r="I181">
            <v>5460.59</v>
          </cell>
        </row>
        <row r="182">
          <cell r="B182">
            <v>176</v>
          </cell>
          <cell r="C182">
            <v>100</v>
          </cell>
          <cell r="G182">
            <v>-142624.17000000001</v>
          </cell>
          <cell r="I182">
            <v>0</v>
          </cell>
        </row>
        <row r="183">
          <cell r="B183">
            <v>176</v>
          </cell>
          <cell r="C183">
            <v>200</v>
          </cell>
          <cell r="G183">
            <v>-47620.02</v>
          </cell>
          <cell r="I183">
            <v>0</v>
          </cell>
        </row>
        <row r="184">
          <cell r="B184">
            <v>176</v>
          </cell>
          <cell r="C184">
            <v>1707</v>
          </cell>
          <cell r="G184">
            <v>-720110</v>
          </cell>
          <cell r="I184">
            <v>0</v>
          </cell>
        </row>
        <row r="185">
          <cell r="B185">
            <v>176</v>
          </cell>
          <cell r="C185">
            <v>1708</v>
          </cell>
          <cell r="G185">
            <v>-1306560</v>
          </cell>
          <cell r="I185">
            <v>907582</v>
          </cell>
        </row>
        <row r="186">
          <cell r="B186">
            <v>176</v>
          </cell>
          <cell r="C186">
            <v>2110</v>
          </cell>
          <cell r="G186">
            <v>49662.05</v>
          </cell>
          <cell r="I186">
            <v>49662.05</v>
          </cell>
        </row>
        <row r="187">
          <cell r="B187">
            <v>176</v>
          </cell>
          <cell r="C187">
            <v>6110</v>
          </cell>
          <cell r="G187">
            <v>20112.75</v>
          </cell>
          <cell r="I187">
            <v>20112.75</v>
          </cell>
        </row>
        <row r="188">
          <cell r="B188">
            <v>181</v>
          </cell>
          <cell r="C188">
            <v>450</v>
          </cell>
          <cell r="G188">
            <v>-5355.51</v>
          </cell>
          <cell r="I188">
            <v>797970.32</v>
          </cell>
        </row>
        <row r="189">
          <cell r="B189">
            <v>181</v>
          </cell>
          <cell r="C189">
            <v>452</v>
          </cell>
          <cell r="G189">
            <v>-149.49</v>
          </cell>
          <cell r="I189">
            <v>22273.18</v>
          </cell>
        </row>
        <row r="190">
          <cell r="B190">
            <v>181</v>
          </cell>
          <cell r="C190">
            <v>453</v>
          </cell>
          <cell r="G190">
            <v>-4870.93</v>
          </cell>
          <cell r="I190">
            <v>1612277.68</v>
          </cell>
        </row>
        <row r="191">
          <cell r="B191">
            <v>181</v>
          </cell>
          <cell r="C191">
            <v>455</v>
          </cell>
          <cell r="G191">
            <v>-2836.24</v>
          </cell>
          <cell r="I191">
            <v>632481.01</v>
          </cell>
        </row>
        <row r="192">
          <cell r="B192">
            <v>181</v>
          </cell>
          <cell r="C192">
            <v>458</v>
          </cell>
          <cell r="G192">
            <v>-1775.52</v>
          </cell>
          <cell r="I192">
            <v>621431</v>
          </cell>
        </row>
        <row r="193">
          <cell r="B193">
            <v>181</v>
          </cell>
          <cell r="C193">
            <v>459</v>
          </cell>
          <cell r="G193">
            <v>-1748.44</v>
          </cell>
          <cell r="I193">
            <v>611955.74</v>
          </cell>
        </row>
        <row r="194">
          <cell r="B194">
            <v>181</v>
          </cell>
          <cell r="C194">
            <v>460</v>
          </cell>
          <cell r="G194">
            <v>0</v>
          </cell>
          <cell r="I194">
            <v>902.19</v>
          </cell>
        </row>
        <row r="195">
          <cell r="B195">
            <v>181</v>
          </cell>
          <cell r="C195">
            <v>721</v>
          </cell>
          <cell r="G195">
            <v>-2127.89</v>
          </cell>
          <cell r="I195">
            <v>87243.35</v>
          </cell>
        </row>
        <row r="196">
          <cell r="B196">
            <v>181</v>
          </cell>
          <cell r="C196">
            <v>722</v>
          </cell>
          <cell r="G196">
            <v>-3417.04</v>
          </cell>
          <cell r="I196">
            <v>964113.46</v>
          </cell>
        </row>
        <row r="197">
          <cell r="B197">
            <v>181</v>
          </cell>
          <cell r="C197">
            <v>723</v>
          </cell>
          <cell r="G197">
            <v>-2479.89</v>
          </cell>
          <cell r="I197">
            <v>704322.65</v>
          </cell>
        </row>
        <row r="198">
          <cell r="B198">
            <v>181</v>
          </cell>
          <cell r="C198">
            <v>749</v>
          </cell>
          <cell r="G198">
            <v>-3576.6</v>
          </cell>
          <cell r="I198">
            <v>994295.89</v>
          </cell>
        </row>
        <row r="199">
          <cell r="B199">
            <v>181</v>
          </cell>
          <cell r="C199">
            <v>751</v>
          </cell>
          <cell r="G199">
            <v>-3132.3</v>
          </cell>
          <cell r="I199">
            <v>501168.38</v>
          </cell>
        </row>
        <row r="200">
          <cell r="B200">
            <v>181</v>
          </cell>
          <cell r="C200">
            <v>752</v>
          </cell>
          <cell r="G200">
            <v>-6203.84</v>
          </cell>
          <cell r="I200">
            <v>1191251.52</v>
          </cell>
        </row>
        <row r="201">
          <cell r="B201">
            <v>181</v>
          </cell>
          <cell r="C201">
            <v>753</v>
          </cell>
          <cell r="G201">
            <v>-293.55</v>
          </cell>
          <cell r="I201">
            <v>120353.23</v>
          </cell>
        </row>
        <row r="202">
          <cell r="B202">
            <v>181</v>
          </cell>
          <cell r="C202">
            <v>754</v>
          </cell>
          <cell r="G202">
            <v>-1520.62</v>
          </cell>
          <cell r="I202">
            <v>85154.23</v>
          </cell>
        </row>
        <row r="203">
          <cell r="B203">
            <v>181</v>
          </cell>
          <cell r="C203">
            <v>756</v>
          </cell>
          <cell r="G203">
            <v>-1985.33</v>
          </cell>
          <cell r="I203">
            <v>609552.35</v>
          </cell>
        </row>
        <row r="204">
          <cell r="B204">
            <v>181</v>
          </cell>
          <cell r="C204">
            <v>758</v>
          </cell>
          <cell r="G204">
            <v>-2051.77</v>
          </cell>
          <cell r="I204">
            <v>168244.93</v>
          </cell>
        </row>
        <row r="205">
          <cell r="B205">
            <v>181</v>
          </cell>
          <cell r="C205">
            <v>759</v>
          </cell>
          <cell r="G205">
            <v>-1722.54</v>
          </cell>
          <cell r="I205">
            <v>153306.48000000001</v>
          </cell>
        </row>
        <row r="206">
          <cell r="B206">
            <v>181</v>
          </cell>
          <cell r="C206">
            <v>761</v>
          </cell>
          <cell r="G206">
            <v>-3079.52</v>
          </cell>
          <cell r="I206">
            <v>43113.16</v>
          </cell>
        </row>
        <row r="207">
          <cell r="B207">
            <v>181</v>
          </cell>
          <cell r="C207">
            <v>763</v>
          </cell>
          <cell r="G207">
            <v>-46419.6</v>
          </cell>
          <cell r="I207">
            <v>232097.97</v>
          </cell>
        </row>
        <row r="208">
          <cell r="B208">
            <v>182</v>
          </cell>
          <cell r="C208">
            <v>301</v>
          </cell>
          <cell r="G208">
            <v>-39018435.469999999</v>
          </cell>
          <cell r="I208">
            <v>0.02</v>
          </cell>
        </row>
        <row r="209">
          <cell r="B209">
            <v>182</v>
          </cell>
          <cell r="C209">
            <v>333</v>
          </cell>
          <cell r="G209">
            <v>-8120000</v>
          </cell>
          <cell r="I209">
            <v>0</v>
          </cell>
        </row>
        <row r="210">
          <cell r="B210">
            <v>182</v>
          </cell>
          <cell r="C210">
            <v>420</v>
          </cell>
          <cell r="G210">
            <v>-65223273</v>
          </cell>
          <cell r="I210">
            <v>0</v>
          </cell>
        </row>
        <row r="211">
          <cell r="B211">
            <v>182</v>
          </cell>
          <cell r="C211">
            <v>502</v>
          </cell>
          <cell r="G211">
            <v>-2383682.5</v>
          </cell>
          <cell r="I211">
            <v>0</v>
          </cell>
        </row>
        <row r="212">
          <cell r="B212">
            <v>182</v>
          </cell>
          <cell r="C212">
            <v>510</v>
          </cell>
          <cell r="G212">
            <v>-9441967.5199999996</v>
          </cell>
          <cell r="I212">
            <v>0</v>
          </cell>
        </row>
        <row r="213">
          <cell r="B213">
            <v>182</v>
          </cell>
          <cell r="C213">
            <v>512</v>
          </cell>
          <cell r="G213">
            <v>-4446944.6399999997</v>
          </cell>
          <cell r="I213">
            <v>0</v>
          </cell>
        </row>
        <row r="214">
          <cell r="B214">
            <v>182</v>
          </cell>
          <cell r="C214">
            <v>550</v>
          </cell>
          <cell r="G214">
            <v>-1478710</v>
          </cell>
          <cell r="I214">
            <v>0</v>
          </cell>
        </row>
        <row r="215">
          <cell r="B215">
            <v>182</v>
          </cell>
          <cell r="C215">
            <v>600</v>
          </cell>
          <cell r="G215">
            <v>-5427612.7699999996</v>
          </cell>
          <cell r="I215">
            <v>0</v>
          </cell>
        </row>
        <row r="216">
          <cell r="B216">
            <v>182</v>
          </cell>
          <cell r="C216">
            <v>650</v>
          </cell>
          <cell r="G216">
            <v>-535231.64</v>
          </cell>
          <cell r="I216">
            <v>0</v>
          </cell>
        </row>
        <row r="217">
          <cell r="B217">
            <v>182</v>
          </cell>
          <cell r="C217">
            <v>660</v>
          </cell>
          <cell r="G217">
            <v>-54362.5</v>
          </cell>
          <cell r="I217">
            <v>0</v>
          </cell>
        </row>
        <row r="218">
          <cell r="B218">
            <v>182</v>
          </cell>
          <cell r="C218">
            <v>670</v>
          </cell>
          <cell r="G218">
            <v>-218745.14</v>
          </cell>
          <cell r="I218">
            <v>0</v>
          </cell>
        </row>
        <row r="219">
          <cell r="B219">
            <v>182</v>
          </cell>
          <cell r="C219">
            <v>680</v>
          </cell>
          <cell r="G219">
            <v>-827137.69</v>
          </cell>
          <cell r="I219">
            <v>0</v>
          </cell>
        </row>
        <row r="220">
          <cell r="B220">
            <v>182</v>
          </cell>
          <cell r="C220">
            <v>720</v>
          </cell>
          <cell r="G220">
            <v>-44533.33</v>
          </cell>
          <cell r="I220">
            <v>0</v>
          </cell>
        </row>
        <row r="221">
          <cell r="B221">
            <v>182</v>
          </cell>
          <cell r="C221">
            <v>750</v>
          </cell>
          <cell r="G221">
            <v>-86531</v>
          </cell>
          <cell r="I221">
            <v>0</v>
          </cell>
        </row>
        <row r="222">
          <cell r="B222">
            <v>182</v>
          </cell>
          <cell r="C222">
            <v>764</v>
          </cell>
          <cell r="G222">
            <v>-8372517.8300000001</v>
          </cell>
          <cell r="I222">
            <v>0</v>
          </cell>
        </row>
        <row r="223">
          <cell r="B223">
            <v>182</v>
          </cell>
          <cell r="C223">
            <v>800</v>
          </cell>
          <cell r="G223">
            <v>-6909317</v>
          </cell>
          <cell r="I223">
            <v>0</v>
          </cell>
        </row>
        <row r="224">
          <cell r="B224">
            <v>182</v>
          </cell>
          <cell r="C224">
            <v>803</v>
          </cell>
          <cell r="G224">
            <v>-11086689</v>
          </cell>
          <cell r="I224">
            <v>0</v>
          </cell>
        </row>
        <row r="225">
          <cell r="B225">
            <v>182</v>
          </cell>
          <cell r="C225">
            <v>30102</v>
          </cell>
          <cell r="G225">
            <v>37179.699999999997</v>
          </cell>
          <cell r="I225">
            <v>37179.699999999997</v>
          </cell>
        </row>
        <row r="226">
          <cell r="B226">
            <v>182</v>
          </cell>
          <cell r="C226">
            <v>30122</v>
          </cell>
          <cell r="G226">
            <v>8512371.8399999999</v>
          </cell>
          <cell r="I226">
            <v>8512371.8399999999</v>
          </cell>
        </row>
        <row r="227">
          <cell r="B227">
            <v>182</v>
          </cell>
          <cell r="C227">
            <v>30200</v>
          </cell>
          <cell r="G227">
            <v>39186736.649999999</v>
          </cell>
          <cell r="I227">
            <v>39186736.649999999</v>
          </cell>
        </row>
        <row r="228">
          <cell r="B228">
            <v>182</v>
          </cell>
          <cell r="C228">
            <v>30300</v>
          </cell>
          <cell r="G228">
            <v>8120000</v>
          </cell>
          <cell r="I228">
            <v>8120000</v>
          </cell>
        </row>
        <row r="229">
          <cell r="B229">
            <v>182</v>
          </cell>
          <cell r="C229">
            <v>30501</v>
          </cell>
          <cell r="G229">
            <v>1449650</v>
          </cell>
          <cell r="I229">
            <v>1449650</v>
          </cell>
        </row>
        <row r="230">
          <cell r="B230">
            <v>182</v>
          </cell>
          <cell r="C230">
            <v>30502</v>
          </cell>
          <cell r="G230">
            <v>10366414.890000001</v>
          </cell>
          <cell r="I230">
            <v>10366414.890000001</v>
          </cell>
        </row>
        <row r="231">
          <cell r="B231">
            <v>182</v>
          </cell>
          <cell r="C231">
            <v>30510</v>
          </cell>
          <cell r="G231">
            <v>4931981.2300000004</v>
          </cell>
          <cell r="I231">
            <v>4931981.2300000004</v>
          </cell>
        </row>
        <row r="232">
          <cell r="B232">
            <v>182</v>
          </cell>
          <cell r="C232">
            <v>30711</v>
          </cell>
          <cell r="G232">
            <v>5841223.8499999996</v>
          </cell>
          <cell r="I232">
            <v>5841223.8499999996</v>
          </cell>
        </row>
        <row r="233">
          <cell r="B233">
            <v>182</v>
          </cell>
          <cell r="C233">
            <v>30820</v>
          </cell>
          <cell r="G233">
            <v>9634527</v>
          </cell>
          <cell r="I233">
            <v>9634527</v>
          </cell>
        </row>
        <row r="234">
          <cell r="B234">
            <v>182</v>
          </cell>
          <cell r="C234">
            <v>30830</v>
          </cell>
          <cell r="G234">
            <v>-13013775</v>
          </cell>
          <cell r="I234">
            <v>78788259</v>
          </cell>
        </row>
        <row r="235">
          <cell r="B235">
            <v>182</v>
          </cell>
          <cell r="C235">
            <v>30840</v>
          </cell>
          <cell r="G235">
            <v>6405698</v>
          </cell>
          <cell r="I235">
            <v>6405698</v>
          </cell>
        </row>
        <row r="236">
          <cell r="B236">
            <v>182</v>
          </cell>
          <cell r="C236">
            <v>30902</v>
          </cell>
          <cell r="G236">
            <v>65223273</v>
          </cell>
          <cell r="I236">
            <v>65223273</v>
          </cell>
        </row>
        <row r="237">
          <cell r="B237">
            <v>182</v>
          </cell>
          <cell r="C237">
            <v>30903</v>
          </cell>
          <cell r="G237">
            <v>86531</v>
          </cell>
          <cell r="I237">
            <v>86531</v>
          </cell>
        </row>
        <row r="238">
          <cell r="B238">
            <v>182</v>
          </cell>
          <cell r="C238">
            <v>30950</v>
          </cell>
          <cell r="G238">
            <v>3902469.94</v>
          </cell>
          <cell r="I238">
            <v>12043709.82</v>
          </cell>
        </row>
        <row r="239">
          <cell r="B239">
            <v>182</v>
          </cell>
          <cell r="C239">
            <v>35110</v>
          </cell>
          <cell r="G239">
            <v>5460066.9800000004</v>
          </cell>
          <cell r="I239">
            <v>5460066.9800000004</v>
          </cell>
        </row>
        <row r="240">
          <cell r="B240">
            <v>182</v>
          </cell>
          <cell r="C240">
            <v>35140</v>
          </cell>
          <cell r="G240">
            <v>540961.72</v>
          </cell>
          <cell r="I240">
            <v>540961.72</v>
          </cell>
        </row>
        <row r="241">
          <cell r="B241">
            <v>182</v>
          </cell>
          <cell r="C241">
            <v>35150</v>
          </cell>
          <cell r="G241">
            <v>54639.05</v>
          </cell>
          <cell r="I241">
            <v>54639.05</v>
          </cell>
        </row>
        <row r="242">
          <cell r="B242">
            <v>182</v>
          </cell>
          <cell r="C242">
            <v>35160</v>
          </cell>
          <cell r="G242">
            <v>219914.39</v>
          </cell>
          <cell r="I242">
            <v>219914.39</v>
          </cell>
        </row>
        <row r="243">
          <cell r="B243">
            <v>182</v>
          </cell>
          <cell r="C243">
            <v>35190</v>
          </cell>
          <cell r="G243">
            <v>831630.95</v>
          </cell>
          <cell r="I243">
            <v>831630.95</v>
          </cell>
        </row>
        <row r="244">
          <cell r="B244">
            <v>184</v>
          </cell>
          <cell r="C244">
            <v>4</v>
          </cell>
          <cell r="G244">
            <v>50722.96</v>
          </cell>
          <cell r="I244">
            <v>50722.96</v>
          </cell>
        </row>
        <row r="245">
          <cell r="B245">
            <v>185</v>
          </cell>
          <cell r="C245">
            <v>100</v>
          </cell>
          <cell r="G245">
            <v>-18700</v>
          </cell>
          <cell r="I245">
            <v>-18700</v>
          </cell>
        </row>
        <row r="246">
          <cell r="B246">
            <v>185</v>
          </cell>
          <cell r="C246">
            <v>200</v>
          </cell>
          <cell r="G246">
            <v>18245.16</v>
          </cell>
          <cell r="I246">
            <v>18245.16</v>
          </cell>
        </row>
        <row r="247">
          <cell r="B247">
            <v>185</v>
          </cell>
          <cell r="C247">
            <v>300</v>
          </cell>
          <cell r="G247">
            <v>454.84</v>
          </cell>
          <cell r="I247">
            <v>454.84</v>
          </cell>
        </row>
        <row r="248">
          <cell r="B248">
            <v>186</v>
          </cell>
          <cell r="C248">
            <v>400</v>
          </cell>
          <cell r="G248">
            <v>0</v>
          </cell>
          <cell r="I248">
            <v>0</v>
          </cell>
        </row>
        <row r="249">
          <cell r="B249">
            <v>186</v>
          </cell>
          <cell r="C249">
            <v>570</v>
          </cell>
          <cell r="G249">
            <v>90322.76</v>
          </cell>
          <cell r="I249">
            <v>333617.48</v>
          </cell>
        </row>
        <row r="250">
          <cell r="B250">
            <v>186</v>
          </cell>
          <cell r="C250">
            <v>800</v>
          </cell>
          <cell r="G250">
            <v>8986.67</v>
          </cell>
          <cell r="I250">
            <v>8986.67</v>
          </cell>
        </row>
        <row r="251">
          <cell r="B251">
            <v>186</v>
          </cell>
          <cell r="C251">
            <v>896</v>
          </cell>
          <cell r="G251">
            <v>446452.55</v>
          </cell>
          <cell r="I251">
            <v>446452.55</v>
          </cell>
        </row>
        <row r="252">
          <cell r="B252">
            <v>186</v>
          </cell>
          <cell r="C252">
            <v>923</v>
          </cell>
          <cell r="G252">
            <v>-686217</v>
          </cell>
          <cell r="I252">
            <v>2614847</v>
          </cell>
        </row>
        <row r="253">
          <cell r="B253">
            <v>186</v>
          </cell>
          <cell r="C253">
            <v>927</v>
          </cell>
          <cell r="G253">
            <v>-880301.16</v>
          </cell>
          <cell r="I253">
            <v>3354410.73</v>
          </cell>
        </row>
        <row r="254">
          <cell r="B254">
            <v>186</v>
          </cell>
          <cell r="C254">
            <v>937</v>
          </cell>
          <cell r="G254">
            <v>-3491.2</v>
          </cell>
          <cell r="I254">
            <v>0</v>
          </cell>
        </row>
        <row r="255">
          <cell r="B255">
            <v>186</v>
          </cell>
          <cell r="C255">
            <v>981</v>
          </cell>
          <cell r="G255">
            <v>354382.38</v>
          </cell>
          <cell r="I255">
            <v>-142747.15</v>
          </cell>
        </row>
        <row r="256">
          <cell r="B256">
            <v>186</v>
          </cell>
          <cell r="C256">
            <v>990</v>
          </cell>
          <cell r="G256">
            <v>-43092.45</v>
          </cell>
          <cell r="I256">
            <v>0</v>
          </cell>
        </row>
        <row r="257">
          <cell r="B257">
            <v>186</v>
          </cell>
          <cell r="C257">
            <v>992</v>
          </cell>
          <cell r="G257">
            <v>19747.560000000001</v>
          </cell>
          <cell r="I257">
            <v>19747.560000000001</v>
          </cell>
        </row>
        <row r="258">
          <cell r="B258">
            <v>186</v>
          </cell>
          <cell r="C258">
            <v>1955</v>
          </cell>
          <cell r="G258">
            <v>23104.89</v>
          </cell>
          <cell r="I258">
            <v>435660.12</v>
          </cell>
        </row>
        <row r="259">
          <cell r="B259">
            <v>186</v>
          </cell>
          <cell r="C259">
            <v>3135</v>
          </cell>
          <cell r="G259">
            <v>212183.4</v>
          </cell>
          <cell r="I259">
            <v>346253</v>
          </cell>
        </row>
        <row r="260">
          <cell r="B260">
            <v>186</v>
          </cell>
          <cell r="C260">
            <v>3158</v>
          </cell>
          <cell r="G260">
            <v>0</v>
          </cell>
          <cell r="I260">
            <v>56301.82</v>
          </cell>
        </row>
        <row r="261">
          <cell r="B261">
            <v>186</v>
          </cell>
          <cell r="C261">
            <v>3163</v>
          </cell>
          <cell r="G261">
            <v>0</v>
          </cell>
          <cell r="I261">
            <v>4040080.63</v>
          </cell>
        </row>
        <row r="262">
          <cell r="B262">
            <v>186</v>
          </cell>
          <cell r="C262">
            <v>3164</v>
          </cell>
          <cell r="G262">
            <v>485106.57</v>
          </cell>
          <cell r="I262">
            <v>1442885.95</v>
          </cell>
        </row>
        <row r="263">
          <cell r="B263">
            <v>189</v>
          </cell>
          <cell r="C263">
            <v>1</v>
          </cell>
          <cell r="G263">
            <v>-20219</v>
          </cell>
          <cell r="I263">
            <v>0</v>
          </cell>
        </row>
        <row r="264">
          <cell r="B264">
            <v>189</v>
          </cell>
          <cell r="C264">
            <v>2</v>
          </cell>
          <cell r="G264">
            <v>-6279.14</v>
          </cell>
          <cell r="I264">
            <v>188373.89</v>
          </cell>
        </row>
        <row r="265">
          <cell r="B265">
            <v>189</v>
          </cell>
          <cell r="C265">
            <v>3</v>
          </cell>
          <cell r="G265">
            <v>-4597.67</v>
          </cell>
          <cell r="I265">
            <v>68965.05</v>
          </cell>
        </row>
        <row r="266">
          <cell r="B266">
            <v>189</v>
          </cell>
          <cell r="C266">
            <v>5</v>
          </cell>
          <cell r="G266">
            <v>-14121.68</v>
          </cell>
          <cell r="I266">
            <v>1016760.39</v>
          </cell>
        </row>
        <row r="267">
          <cell r="B267">
            <v>189</v>
          </cell>
          <cell r="C267">
            <v>12</v>
          </cell>
          <cell r="G267">
            <v>-4270.92</v>
          </cell>
          <cell r="I267">
            <v>179379.18</v>
          </cell>
        </row>
        <row r="268">
          <cell r="B268">
            <v>189</v>
          </cell>
          <cell r="C268">
            <v>20</v>
          </cell>
          <cell r="G268">
            <v>-6072.64</v>
          </cell>
          <cell r="I268">
            <v>352212.31</v>
          </cell>
        </row>
        <row r="269">
          <cell r="B269">
            <v>189</v>
          </cell>
          <cell r="C269">
            <v>21</v>
          </cell>
          <cell r="G269">
            <v>-3104.72</v>
          </cell>
          <cell r="I269">
            <v>416031.6</v>
          </cell>
        </row>
        <row r="270">
          <cell r="B270">
            <v>189</v>
          </cell>
          <cell r="C270">
            <v>23</v>
          </cell>
          <cell r="G270">
            <v>-12633.41</v>
          </cell>
          <cell r="I270">
            <v>1793944.82</v>
          </cell>
        </row>
        <row r="271">
          <cell r="B271">
            <v>189</v>
          </cell>
          <cell r="C271">
            <v>24</v>
          </cell>
          <cell r="G271">
            <v>-5452.97</v>
          </cell>
          <cell r="I271">
            <v>479861.61</v>
          </cell>
        </row>
        <row r="272">
          <cell r="B272">
            <v>189</v>
          </cell>
          <cell r="C272">
            <v>25</v>
          </cell>
          <cell r="G272">
            <v>-714.34</v>
          </cell>
          <cell r="I272">
            <v>103579.27</v>
          </cell>
        </row>
        <row r="273">
          <cell r="B273">
            <v>189</v>
          </cell>
          <cell r="C273">
            <v>26</v>
          </cell>
          <cell r="G273">
            <v>-961.12</v>
          </cell>
          <cell r="I273">
            <v>139362.34</v>
          </cell>
        </row>
        <row r="274">
          <cell r="B274">
            <v>189</v>
          </cell>
          <cell r="C274">
            <v>28</v>
          </cell>
          <cell r="G274">
            <v>-1244.72</v>
          </cell>
          <cell r="I274">
            <v>196666.34</v>
          </cell>
        </row>
        <row r="275">
          <cell r="B275">
            <v>189</v>
          </cell>
          <cell r="C275">
            <v>29</v>
          </cell>
          <cell r="G275">
            <v>-1628.16</v>
          </cell>
          <cell r="I275">
            <v>284927.25</v>
          </cell>
        </row>
        <row r="276">
          <cell r="B276">
            <v>189</v>
          </cell>
          <cell r="C276">
            <v>30</v>
          </cell>
          <cell r="G276">
            <v>-733.04</v>
          </cell>
          <cell r="I276">
            <v>128282.56</v>
          </cell>
        </row>
        <row r="277">
          <cell r="B277">
            <v>189</v>
          </cell>
          <cell r="C277">
            <v>31</v>
          </cell>
          <cell r="G277">
            <v>-2941.75</v>
          </cell>
          <cell r="I277">
            <v>985485.42</v>
          </cell>
        </row>
        <row r="278">
          <cell r="B278">
            <v>189</v>
          </cell>
          <cell r="C278">
            <v>32</v>
          </cell>
          <cell r="G278">
            <v>-10723.47</v>
          </cell>
          <cell r="I278">
            <v>257362.93</v>
          </cell>
        </row>
        <row r="279">
          <cell r="B279">
            <v>189</v>
          </cell>
          <cell r="C279">
            <v>33</v>
          </cell>
          <cell r="G279">
            <v>-1542.27</v>
          </cell>
          <cell r="I279">
            <v>507404.95</v>
          </cell>
        </row>
        <row r="280">
          <cell r="B280">
            <v>189</v>
          </cell>
          <cell r="C280">
            <v>34</v>
          </cell>
          <cell r="G280">
            <v>-2109.41</v>
          </cell>
          <cell r="I280">
            <v>337505.45</v>
          </cell>
        </row>
        <row r="281">
          <cell r="B281">
            <v>189</v>
          </cell>
          <cell r="C281">
            <v>35</v>
          </cell>
          <cell r="G281">
            <v>-896.28</v>
          </cell>
          <cell r="I281">
            <v>147885.57</v>
          </cell>
        </row>
        <row r="282">
          <cell r="B282">
            <v>189</v>
          </cell>
          <cell r="C282">
            <v>36</v>
          </cell>
          <cell r="G282">
            <v>-1537.59</v>
          </cell>
          <cell r="I282">
            <v>295218.3</v>
          </cell>
        </row>
        <row r="283">
          <cell r="B283">
            <v>189</v>
          </cell>
          <cell r="C283">
            <v>38</v>
          </cell>
          <cell r="G283">
            <v>-3392.74</v>
          </cell>
          <cell r="I283">
            <v>1156924.26</v>
          </cell>
        </row>
        <row r="284">
          <cell r="B284">
            <v>189</v>
          </cell>
          <cell r="C284">
            <v>39</v>
          </cell>
          <cell r="G284">
            <v>-3306.53</v>
          </cell>
          <cell r="I284">
            <v>1101073.8500000001</v>
          </cell>
        </row>
        <row r="285">
          <cell r="B285">
            <v>189</v>
          </cell>
          <cell r="C285">
            <v>40</v>
          </cell>
          <cell r="G285">
            <v>-10455.06</v>
          </cell>
          <cell r="I285">
            <v>836404.72</v>
          </cell>
        </row>
        <row r="286">
          <cell r="B286">
            <v>189</v>
          </cell>
          <cell r="C286">
            <v>41</v>
          </cell>
          <cell r="G286">
            <v>-8211.7900000000009</v>
          </cell>
          <cell r="I286">
            <v>1568450.97</v>
          </cell>
        </row>
        <row r="287">
          <cell r="B287">
            <v>189</v>
          </cell>
          <cell r="C287">
            <v>42</v>
          </cell>
          <cell r="G287">
            <v>-2397.1999999999998</v>
          </cell>
          <cell r="I287">
            <v>881212.04</v>
          </cell>
        </row>
        <row r="288">
          <cell r="B288">
            <v>189</v>
          </cell>
          <cell r="C288">
            <v>43</v>
          </cell>
          <cell r="G288">
            <v>-1276.26</v>
          </cell>
          <cell r="I288">
            <v>501570.3</v>
          </cell>
        </row>
        <row r="289">
          <cell r="B289">
            <v>189</v>
          </cell>
          <cell r="C289">
            <v>44</v>
          </cell>
          <cell r="G289">
            <v>-3621.06</v>
          </cell>
          <cell r="I289">
            <v>539538.21</v>
          </cell>
        </row>
        <row r="290">
          <cell r="B290">
            <v>190</v>
          </cell>
          <cell r="C290">
            <v>153</v>
          </cell>
          <cell r="G290">
            <v>94497.33</v>
          </cell>
          <cell r="I290">
            <v>1404991.12</v>
          </cell>
        </row>
        <row r="291">
          <cell r="B291">
            <v>190</v>
          </cell>
          <cell r="C291">
            <v>154</v>
          </cell>
          <cell r="G291">
            <v>69535.88</v>
          </cell>
          <cell r="I291">
            <v>16618538.550000001</v>
          </cell>
        </row>
        <row r="292">
          <cell r="B292">
            <v>190</v>
          </cell>
          <cell r="C292">
            <v>155</v>
          </cell>
          <cell r="G292">
            <v>-3673.45</v>
          </cell>
          <cell r="I292">
            <v>-3366235.75</v>
          </cell>
        </row>
        <row r="293">
          <cell r="B293">
            <v>190</v>
          </cell>
          <cell r="C293">
            <v>156</v>
          </cell>
          <cell r="G293">
            <v>-6534.98</v>
          </cell>
          <cell r="I293">
            <v>915699.35</v>
          </cell>
        </row>
        <row r="294">
          <cell r="B294">
            <v>190</v>
          </cell>
          <cell r="C294">
            <v>157</v>
          </cell>
          <cell r="G294">
            <v>-19759.91</v>
          </cell>
          <cell r="I294">
            <v>-310900.99</v>
          </cell>
        </row>
        <row r="295">
          <cell r="B295">
            <v>190</v>
          </cell>
          <cell r="C295">
            <v>158</v>
          </cell>
          <cell r="G295">
            <v>-6900.79</v>
          </cell>
          <cell r="I295">
            <v>-1514030.68</v>
          </cell>
        </row>
        <row r="296">
          <cell r="B296">
            <v>190</v>
          </cell>
          <cell r="C296">
            <v>237</v>
          </cell>
          <cell r="G296">
            <v>103.5</v>
          </cell>
          <cell r="I296">
            <v>1980287.5</v>
          </cell>
        </row>
        <row r="297">
          <cell r="B297">
            <v>190</v>
          </cell>
          <cell r="C297">
            <v>238</v>
          </cell>
          <cell r="G297">
            <v>17.25</v>
          </cell>
          <cell r="I297">
            <v>329299.25</v>
          </cell>
        </row>
        <row r="298">
          <cell r="B298">
            <v>190</v>
          </cell>
          <cell r="C298">
            <v>239</v>
          </cell>
          <cell r="G298">
            <v>-67011.58</v>
          </cell>
          <cell r="I298">
            <v>4584192.42</v>
          </cell>
        </row>
        <row r="299">
          <cell r="B299">
            <v>190</v>
          </cell>
          <cell r="C299">
            <v>240</v>
          </cell>
          <cell r="G299">
            <v>-11143.25</v>
          </cell>
          <cell r="I299">
            <v>762302.75</v>
          </cell>
        </row>
        <row r="300">
          <cell r="B300">
            <v>190</v>
          </cell>
          <cell r="C300">
            <v>481</v>
          </cell>
          <cell r="G300">
            <v>0</v>
          </cell>
          <cell r="I300">
            <v>132.16999999999999</v>
          </cell>
        </row>
        <row r="301">
          <cell r="B301">
            <v>190</v>
          </cell>
          <cell r="C301">
            <v>483</v>
          </cell>
          <cell r="G301">
            <v>0</v>
          </cell>
          <cell r="I301">
            <v>59995.43</v>
          </cell>
        </row>
        <row r="302">
          <cell r="B302">
            <v>190</v>
          </cell>
          <cell r="C302">
            <v>484</v>
          </cell>
          <cell r="G302">
            <v>0</v>
          </cell>
          <cell r="I302">
            <v>10077.969999999999</v>
          </cell>
        </row>
        <row r="303">
          <cell r="B303">
            <v>190</v>
          </cell>
          <cell r="C303">
            <v>1100</v>
          </cell>
          <cell r="G303">
            <v>-33667142.579999998</v>
          </cell>
          <cell r="I303">
            <v>0</v>
          </cell>
        </row>
        <row r="304">
          <cell r="B304">
            <v>190</v>
          </cell>
          <cell r="C304">
            <v>1101</v>
          </cell>
          <cell r="G304">
            <v>-597431.64</v>
          </cell>
          <cell r="I304">
            <v>728461</v>
          </cell>
        </row>
        <row r="305">
          <cell r="B305">
            <v>190</v>
          </cell>
          <cell r="C305">
            <v>1140</v>
          </cell>
          <cell r="G305">
            <v>610338.14</v>
          </cell>
          <cell r="I305">
            <v>0</v>
          </cell>
        </row>
        <row r="306">
          <cell r="B306">
            <v>190</v>
          </cell>
          <cell r="C306">
            <v>1150</v>
          </cell>
          <cell r="G306">
            <v>-15944.47</v>
          </cell>
          <cell r="I306">
            <v>0</v>
          </cell>
        </row>
        <row r="307">
          <cell r="B307">
            <v>190</v>
          </cell>
          <cell r="C307">
            <v>1160</v>
          </cell>
          <cell r="G307">
            <v>-5787.86</v>
          </cell>
          <cell r="I307">
            <v>0</v>
          </cell>
        </row>
        <row r="308">
          <cell r="B308">
            <v>190</v>
          </cell>
          <cell r="C308">
            <v>1303</v>
          </cell>
          <cell r="G308">
            <v>36357600.539999999</v>
          </cell>
          <cell r="I308">
            <v>36357600.539999999</v>
          </cell>
        </row>
        <row r="309">
          <cell r="B309">
            <v>190</v>
          </cell>
          <cell r="C309">
            <v>1304</v>
          </cell>
          <cell r="G309">
            <v>-695713.4</v>
          </cell>
          <cell r="I309">
            <v>-695713.4</v>
          </cell>
        </row>
        <row r="310">
          <cell r="B310">
            <v>190</v>
          </cell>
          <cell r="C310">
            <v>1307</v>
          </cell>
          <cell r="G310">
            <v>5691411.0800000001</v>
          </cell>
          <cell r="I310">
            <v>5691411.0800000001</v>
          </cell>
        </row>
        <row r="311">
          <cell r="B311">
            <v>190</v>
          </cell>
          <cell r="C311">
            <v>1403</v>
          </cell>
          <cell r="G311">
            <v>16151.24</v>
          </cell>
          <cell r="I311">
            <v>16151.24</v>
          </cell>
        </row>
        <row r="312">
          <cell r="B312">
            <v>190</v>
          </cell>
          <cell r="C312">
            <v>1404</v>
          </cell>
          <cell r="G312">
            <v>5776.49</v>
          </cell>
          <cell r="I312">
            <v>5776.49</v>
          </cell>
        </row>
        <row r="313">
          <cell r="B313">
            <v>190</v>
          </cell>
          <cell r="C313">
            <v>1407</v>
          </cell>
          <cell r="G313">
            <v>2538.21</v>
          </cell>
          <cell r="I313">
            <v>2538.21</v>
          </cell>
        </row>
        <row r="314">
          <cell r="B314">
            <v>190</v>
          </cell>
          <cell r="C314">
            <v>1703</v>
          </cell>
          <cell r="G314">
            <v>2169730.64</v>
          </cell>
          <cell r="I314">
            <v>2169730.64</v>
          </cell>
        </row>
        <row r="315">
          <cell r="B315">
            <v>190</v>
          </cell>
          <cell r="C315">
            <v>1707</v>
          </cell>
          <cell r="G315">
            <v>360782.68</v>
          </cell>
          <cell r="I315">
            <v>360782.68</v>
          </cell>
        </row>
        <row r="316">
          <cell r="B316">
            <v>190</v>
          </cell>
          <cell r="C316">
            <v>2100</v>
          </cell>
          <cell r="G316">
            <v>-5268624.83</v>
          </cell>
          <cell r="I316">
            <v>0</v>
          </cell>
        </row>
        <row r="317">
          <cell r="B317">
            <v>190</v>
          </cell>
          <cell r="C317">
            <v>2101</v>
          </cell>
          <cell r="G317">
            <v>-948923.68</v>
          </cell>
          <cell r="I317">
            <v>-728461</v>
          </cell>
        </row>
        <row r="318">
          <cell r="B318">
            <v>190</v>
          </cell>
          <cell r="C318">
            <v>2150</v>
          </cell>
          <cell r="G318">
            <v>-2505.7199999999998</v>
          </cell>
          <cell r="I318">
            <v>0</v>
          </cell>
        </row>
        <row r="319">
          <cell r="B319">
            <v>201</v>
          </cell>
          <cell r="C319">
            <v>0</v>
          </cell>
          <cell r="G319">
            <v>0</v>
          </cell>
          <cell r="I319">
            <v>-38060000</v>
          </cell>
        </row>
        <row r="320">
          <cell r="B320">
            <v>201</v>
          </cell>
          <cell r="C320">
            <v>1</v>
          </cell>
          <cell r="G320">
            <v>0</v>
          </cell>
          <cell r="I320">
            <v>-80000000</v>
          </cell>
        </row>
        <row r="321">
          <cell r="B321">
            <v>201</v>
          </cell>
          <cell r="C321">
            <v>2</v>
          </cell>
          <cell r="G321">
            <v>-50000000</v>
          </cell>
          <cell r="I321">
            <v>-185000000</v>
          </cell>
        </row>
        <row r="322">
          <cell r="B322">
            <v>204</v>
          </cell>
          <cell r="C322">
            <v>16</v>
          </cell>
          <cell r="G322">
            <v>0</v>
          </cell>
          <cell r="I322">
            <v>-55000000</v>
          </cell>
        </row>
        <row r="323">
          <cell r="B323">
            <v>204</v>
          </cell>
          <cell r="C323">
            <v>17</v>
          </cell>
          <cell r="G323">
            <v>0</v>
          </cell>
          <cell r="I323">
            <v>-45000000</v>
          </cell>
        </row>
        <row r="324">
          <cell r="B324">
            <v>211</v>
          </cell>
          <cell r="C324">
            <v>100</v>
          </cell>
          <cell r="G324">
            <v>0</v>
          </cell>
          <cell r="I324">
            <v>-517543369.97000003</v>
          </cell>
        </row>
        <row r="325">
          <cell r="B325">
            <v>211</v>
          </cell>
          <cell r="C325">
            <v>106</v>
          </cell>
          <cell r="G325">
            <v>8198292.75</v>
          </cell>
          <cell r="I325">
            <v>0</v>
          </cell>
        </row>
        <row r="326">
          <cell r="B326">
            <v>211</v>
          </cell>
          <cell r="C326">
            <v>109</v>
          </cell>
          <cell r="G326">
            <v>-8252857.3799999999</v>
          </cell>
          <cell r="I326">
            <v>-8252857.3799999999</v>
          </cell>
        </row>
        <row r="327">
          <cell r="B327">
            <v>211</v>
          </cell>
          <cell r="C327">
            <v>116</v>
          </cell>
          <cell r="G327">
            <v>8835668.0099999998</v>
          </cell>
          <cell r="I327">
            <v>0</v>
          </cell>
        </row>
        <row r="328">
          <cell r="B328">
            <v>211</v>
          </cell>
          <cell r="C328">
            <v>210</v>
          </cell>
          <cell r="G328">
            <v>-8883207.8399999999</v>
          </cell>
          <cell r="I328">
            <v>-8883207.8399999999</v>
          </cell>
        </row>
        <row r="329">
          <cell r="B329">
            <v>214</v>
          </cell>
          <cell r="C329">
            <v>16</v>
          </cell>
          <cell r="G329">
            <v>0</v>
          </cell>
          <cell r="I329">
            <v>1113664.32</v>
          </cell>
        </row>
        <row r="330">
          <cell r="B330">
            <v>214</v>
          </cell>
          <cell r="C330">
            <v>17</v>
          </cell>
          <cell r="G330">
            <v>0</v>
          </cell>
          <cell r="I330">
            <v>887990.42</v>
          </cell>
        </row>
        <row r="331">
          <cell r="B331">
            <v>216</v>
          </cell>
          <cell r="C331">
            <v>0</v>
          </cell>
          <cell r="G331">
            <v>-219116813.36000001</v>
          </cell>
          <cell r="I331">
            <v>-219116813.36000001</v>
          </cell>
        </row>
        <row r="332">
          <cell r="B332">
            <v>216</v>
          </cell>
          <cell r="C332">
            <v>100</v>
          </cell>
          <cell r="G332">
            <v>219116813.36000001</v>
          </cell>
          <cell r="I332">
            <v>0</v>
          </cell>
        </row>
        <row r="333">
          <cell r="B333">
            <v>219</v>
          </cell>
          <cell r="C333">
            <v>13</v>
          </cell>
          <cell r="G333">
            <v>4008794</v>
          </cell>
          <cell r="I333">
            <v>4008794</v>
          </cell>
        </row>
        <row r="334">
          <cell r="B334">
            <v>219</v>
          </cell>
          <cell r="C334">
            <v>63</v>
          </cell>
          <cell r="G334">
            <v>-1546347</v>
          </cell>
          <cell r="I334">
            <v>-1546347</v>
          </cell>
        </row>
        <row r="335">
          <cell r="B335">
            <v>219</v>
          </cell>
          <cell r="C335">
            <v>300</v>
          </cell>
          <cell r="G335">
            <v>-2122886</v>
          </cell>
          <cell r="I335">
            <v>0</v>
          </cell>
        </row>
        <row r="336">
          <cell r="B336">
            <v>219</v>
          </cell>
          <cell r="C336">
            <v>302</v>
          </cell>
          <cell r="G336">
            <v>-2720724</v>
          </cell>
          <cell r="I336">
            <v>0</v>
          </cell>
        </row>
        <row r="337">
          <cell r="B337">
            <v>219</v>
          </cell>
          <cell r="C337">
            <v>303</v>
          </cell>
          <cell r="G337">
            <v>-2640535</v>
          </cell>
          <cell r="I337">
            <v>0</v>
          </cell>
        </row>
        <row r="338">
          <cell r="B338">
            <v>219</v>
          </cell>
          <cell r="C338">
            <v>304</v>
          </cell>
          <cell r="G338">
            <v>3030000</v>
          </cell>
          <cell r="I338">
            <v>0</v>
          </cell>
        </row>
        <row r="339">
          <cell r="B339">
            <v>219</v>
          </cell>
          <cell r="C339">
            <v>305</v>
          </cell>
          <cell r="G339">
            <v>-2580000</v>
          </cell>
          <cell r="I339">
            <v>0</v>
          </cell>
        </row>
        <row r="340">
          <cell r="B340">
            <v>219</v>
          </cell>
          <cell r="C340">
            <v>306</v>
          </cell>
          <cell r="G340">
            <v>-2640000</v>
          </cell>
          <cell r="I340">
            <v>0</v>
          </cell>
        </row>
        <row r="341">
          <cell r="B341">
            <v>219</v>
          </cell>
          <cell r="C341">
            <v>500</v>
          </cell>
          <cell r="G341">
            <v>818902</v>
          </cell>
          <cell r="I341">
            <v>0</v>
          </cell>
        </row>
        <row r="342">
          <cell r="B342">
            <v>219</v>
          </cell>
          <cell r="C342">
            <v>502</v>
          </cell>
          <cell r="G342">
            <v>1049519</v>
          </cell>
          <cell r="I342">
            <v>0</v>
          </cell>
        </row>
        <row r="343">
          <cell r="B343">
            <v>219</v>
          </cell>
          <cell r="C343">
            <v>503</v>
          </cell>
          <cell r="G343">
            <v>1018586</v>
          </cell>
          <cell r="I343">
            <v>0</v>
          </cell>
        </row>
        <row r="344">
          <cell r="B344">
            <v>219</v>
          </cell>
          <cell r="C344">
            <v>504</v>
          </cell>
          <cell r="G344">
            <v>-1168823</v>
          </cell>
          <cell r="I344">
            <v>0</v>
          </cell>
        </row>
        <row r="345">
          <cell r="B345">
            <v>219</v>
          </cell>
          <cell r="C345">
            <v>505</v>
          </cell>
          <cell r="G345">
            <v>995235</v>
          </cell>
          <cell r="I345">
            <v>0</v>
          </cell>
        </row>
        <row r="346">
          <cell r="B346">
            <v>219</v>
          </cell>
          <cell r="C346">
            <v>506</v>
          </cell>
          <cell r="G346">
            <v>1018380</v>
          </cell>
          <cell r="I346">
            <v>0</v>
          </cell>
        </row>
        <row r="347">
          <cell r="B347">
            <v>219</v>
          </cell>
          <cell r="C347">
            <v>600</v>
          </cell>
          <cell r="G347">
            <v>979812</v>
          </cell>
          <cell r="I347">
            <v>0</v>
          </cell>
        </row>
        <row r="348">
          <cell r="B348">
            <v>219</v>
          </cell>
          <cell r="C348">
            <v>602</v>
          </cell>
          <cell r="G348">
            <v>821916</v>
          </cell>
          <cell r="I348">
            <v>0</v>
          </cell>
        </row>
        <row r="349">
          <cell r="B349">
            <v>219</v>
          </cell>
          <cell r="C349">
            <v>603</v>
          </cell>
          <cell r="G349">
            <v>797688</v>
          </cell>
          <cell r="I349">
            <v>0</v>
          </cell>
        </row>
        <row r="350">
          <cell r="B350">
            <v>219</v>
          </cell>
          <cell r="C350">
            <v>604</v>
          </cell>
          <cell r="G350">
            <v>-776017</v>
          </cell>
          <cell r="I350">
            <v>0</v>
          </cell>
        </row>
        <row r="351">
          <cell r="B351">
            <v>219</v>
          </cell>
          <cell r="C351">
            <v>605</v>
          </cell>
          <cell r="G351">
            <v>448633</v>
          </cell>
          <cell r="I351">
            <v>0</v>
          </cell>
        </row>
        <row r="352">
          <cell r="B352">
            <v>219</v>
          </cell>
          <cell r="C352">
            <v>606</v>
          </cell>
          <cell r="G352">
            <v>459067</v>
          </cell>
          <cell r="I352">
            <v>0</v>
          </cell>
        </row>
        <row r="353">
          <cell r="B353">
            <v>219</v>
          </cell>
          <cell r="C353">
            <v>700</v>
          </cell>
          <cell r="G353">
            <v>-377964</v>
          </cell>
          <cell r="I353">
            <v>0</v>
          </cell>
        </row>
        <row r="354">
          <cell r="B354">
            <v>219</v>
          </cell>
          <cell r="C354">
            <v>702</v>
          </cell>
          <cell r="G354">
            <v>-317052</v>
          </cell>
          <cell r="I354">
            <v>0</v>
          </cell>
        </row>
        <row r="355">
          <cell r="B355">
            <v>219</v>
          </cell>
          <cell r="C355">
            <v>703</v>
          </cell>
          <cell r="G355">
            <v>-307728</v>
          </cell>
          <cell r="I355">
            <v>0</v>
          </cell>
        </row>
        <row r="356">
          <cell r="B356">
            <v>219</v>
          </cell>
          <cell r="C356">
            <v>704</v>
          </cell>
          <cell r="G356">
            <v>299343</v>
          </cell>
          <cell r="I356">
            <v>0</v>
          </cell>
        </row>
        <row r="357">
          <cell r="B357">
            <v>219</v>
          </cell>
          <cell r="C357">
            <v>705</v>
          </cell>
          <cell r="G357">
            <v>-173068</v>
          </cell>
          <cell r="I357">
            <v>0</v>
          </cell>
        </row>
        <row r="358">
          <cell r="B358">
            <v>219</v>
          </cell>
          <cell r="C358">
            <v>706</v>
          </cell>
          <cell r="G358">
            <v>-177096</v>
          </cell>
          <cell r="I358">
            <v>0</v>
          </cell>
        </row>
        <row r="359">
          <cell r="B359">
            <v>219</v>
          </cell>
          <cell r="C359">
            <v>1707</v>
          </cell>
          <cell r="G359">
            <v>2055298</v>
          </cell>
          <cell r="I359">
            <v>1335188</v>
          </cell>
        </row>
        <row r="360">
          <cell r="B360">
            <v>219</v>
          </cell>
          <cell r="C360">
            <v>1708</v>
          </cell>
          <cell r="G360">
            <v>3520702</v>
          </cell>
          <cell r="I360">
            <v>1306560</v>
          </cell>
        </row>
        <row r="361">
          <cell r="B361">
            <v>219</v>
          </cell>
          <cell r="C361">
            <v>3701</v>
          </cell>
          <cell r="G361">
            <v>-27217</v>
          </cell>
          <cell r="I361">
            <v>-27217</v>
          </cell>
        </row>
        <row r="362">
          <cell r="B362">
            <v>219</v>
          </cell>
          <cell r="C362">
            <v>3702</v>
          </cell>
          <cell r="G362">
            <v>-22831</v>
          </cell>
          <cell r="I362">
            <v>-22831</v>
          </cell>
        </row>
        <row r="363">
          <cell r="B363">
            <v>219</v>
          </cell>
          <cell r="C363">
            <v>3703</v>
          </cell>
          <cell r="G363">
            <v>-22158</v>
          </cell>
          <cell r="I363">
            <v>-22158</v>
          </cell>
        </row>
        <row r="364">
          <cell r="B364">
            <v>219</v>
          </cell>
          <cell r="C364">
            <v>3704</v>
          </cell>
          <cell r="G364">
            <v>25250</v>
          </cell>
          <cell r="I364">
            <v>25250</v>
          </cell>
        </row>
        <row r="365">
          <cell r="B365">
            <v>219</v>
          </cell>
          <cell r="C365">
            <v>3705</v>
          </cell>
          <cell r="G365">
            <v>-21500</v>
          </cell>
          <cell r="I365">
            <v>-21500</v>
          </cell>
        </row>
        <row r="366">
          <cell r="B366">
            <v>219</v>
          </cell>
          <cell r="C366">
            <v>3706</v>
          </cell>
          <cell r="G366">
            <v>-22000</v>
          </cell>
          <cell r="I366">
            <v>-22000</v>
          </cell>
        </row>
        <row r="367">
          <cell r="B367">
            <v>219</v>
          </cell>
          <cell r="C367">
            <v>6707</v>
          </cell>
          <cell r="G367">
            <v>-792830</v>
          </cell>
          <cell r="I367">
            <v>-515048</v>
          </cell>
        </row>
        <row r="368">
          <cell r="B368">
            <v>219</v>
          </cell>
          <cell r="C368">
            <v>6708</v>
          </cell>
          <cell r="G368">
            <v>-1358110</v>
          </cell>
          <cell r="I368">
            <v>-504005</v>
          </cell>
        </row>
        <row r="369">
          <cell r="B369">
            <v>219</v>
          </cell>
          <cell r="C369">
            <v>8701</v>
          </cell>
          <cell r="G369">
            <v>10499</v>
          </cell>
          <cell r="I369">
            <v>10499</v>
          </cell>
        </row>
        <row r="370">
          <cell r="B370">
            <v>219</v>
          </cell>
          <cell r="C370">
            <v>8702</v>
          </cell>
          <cell r="G370">
            <v>8807</v>
          </cell>
          <cell r="I370">
            <v>8807</v>
          </cell>
        </row>
        <row r="371">
          <cell r="B371">
            <v>219</v>
          </cell>
          <cell r="C371">
            <v>8703</v>
          </cell>
          <cell r="G371">
            <v>8548</v>
          </cell>
          <cell r="I371">
            <v>8548</v>
          </cell>
        </row>
        <row r="372">
          <cell r="B372">
            <v>219</v>
          </cell>
          <cell r="C372">
            <v>8704</v>
          </cell>
          <cell r="G372">
            <v>-9740</v>
          </cell>
          <cell r="I372">
            <v>-9740</v>
          </cell>
        </row>
        <row r="373">
          <cell r="B373">
            <v>219</v>
          </cell>
          <cell r="C373">
            <v>8705</v>
          </cell>
          <cell r="G373">
            <v>8294</v>
          </cell>
          <cell r="I373">
            <v>8294</v>
          </cell>
        </row>
        <row r="374">
          <cell r="B374">
            <v>219</v>
          </cell>
          <cell r="C374">
            <v>8706</v>
          </cell>
          <cell r="G374">
            <v>8487</v>
          </cell>
          <cell r="I374">
            <v>8487</v>
          </cell>
        </row>
        <row r="375">
          <cell r="B375">
            <v>224</v>
          </cell>
          <cell r="C375">
            <v>450</v>
          </cell>
          <cell r="G375">
            <v>0</v>
          </cell>
          <cell r="I375">
            <v>-37000000</v>
          </cell>
        </row>
        <row r="376">
          <cell r="B376">
            <v>224</v>
          </cell>
          <cell r="C376">
            <v>458</v>
          </cell>
          <cell r="G376">
            <v>0</v>
          </cell>
          <cell r="I376">
            <v>-65000000</v>
          </cell>
        </row>
        <row r="377">
          <cell r="B377">
            <v>224</v>
          </cell>
          <cell r="C377">
            <v>459</v>
          </cell>
          <cell r="G377">
            <v>0</v>
          </cell>
          <cell r="I377">
            <v>-65400000</v>
          </cell>
        </row>
        <row r="378">
          <cell r="B378">
            <v>224</v>
          </cell>
          <cell r="C378">
            <v>719</v>
          </cell>
          <cell r="G378">
            <v>0</v>
          </cell>
          <cell r="I378">
            <v>-3930000</v>
          </cell>
        </row>
        <row r="379">
          <cell r="B379">
            <v>224</v>
          </cell>
          <cell r="C379">
            <v>721</v>
          </cell>
          <cell r="G379">
            <v>0</v>
          </cell>
          <cell r="I379">
            <v>-60000000</v>
          </cell>
        </row>
        <row r="380">
          <cell r="B380">
            <v>224</v>
          </cell>
          <cell r="C380">
            <v>722</v>
          </cell>
          <cell r="G380">
            <v>0</v>
          </cell>
          <cell r="I380">
            <v>-60000000</v>
          </cell>
        </row>
        <row r="381">
          <cell r="B381">
            <v>224</v>
          </cell>
          <cell r="C381">
            <v>723</v>
          </cell>
          <cell r="G381">
            <v>0</v>
          </cell>
          <cell r="I381">
            <v>-40000000</v>
          </cell>
        </row>
        <row r="382">
          <cell r="B382">
            <v>224</v>
          </cell>
          <cell r="C382">
            <v>746</v>
          </cell>
          <cell r="G382">
            <v>0</v>
          </cell>
          <cell r="I382">
            <v>-42000000</v>
          </cell>
        </row>
        <row r="383">
          <cell r="B383">
            <v>224</v>
          </cell>
          <cell r="C383">
            <v>748</v>
          </cell>
          <cell r="G383">
            <v>0</v>
          </cell>
          <cell r="I383">
            <v>-13000000</v>
          </cell>
        </row>
        <row r="384">
          <cell r="B384">
            <v>224</v>
          </cell>
          <cell r="C384">
            <v>749</v>
          </cell>
          <cell r="G384">
            <v>45000</v>
          </cell>
          <cell r="I384">
            <v>-62441000</v>
          </cell>
        </row>
        <row r="385">
          <cell r="B385">
            <v>224</v>
          </cell>
          <cell r="C385">
            <v>751</v>
          </cell>
          <cell r="G385">
            <v>0</v>
          </cell>
          <cell r="I385">
            <v>-32550000</v>
          </cell>
        </row>
        <row r="386">
          <cell r="B386">
            <v>224</v>
          </cell>
          <cell r="C386">
            <v>752</v>
          </cell>
          <cell r="G386">
            <v>0</v>
          </cell>
          <cell r="I386">
            <v>-29075000</v>
          </cell>
        </row>
        <row r="387">
          <cell r="B387">
            <v>224</v>
          </cell>
          <cell r="C387">
            <v>753</v>
          </cell>
          <cell r="G387">
            <v>0</v>
          </cell>
          <cell r="I387">
            <v>-35000000</v>
          </cell>
        </row>
        <row r="388">
          <cell r="B388">
            <v>224</v>
          </cell>
          <cell r="C388">
            <v>754</v>
          </cell>
          <cell r="G388">
            <v>0</v>
          </cell>
          <cell r="I388">
            <v>-75000000</v>
          </cell>
        </row>
        <row r="389">
          <cell r="B389">
            <v>224</v>
          </cell>
          <cell r="C389">
            <v>756</v>
          </cell>
          <cell r="G389">
            <v>0</v>
          </cell>
          <cell r="I389">
            <v>-60000000</v>
          </cell>
        </row>
        <row r="390">
          <cell r="B390">
            <v>224</v>
          </cell>
          <cell r="C390">
            <v>758</v>
          </cell>
          <cell r="G390">
            <v>0</v>
          </cell>
          <cell r="I390">
            <v>-110000000</v>
          </cell>
        </row>
        <row r="391">
          <cell r="B391">
            <v>224</v>
          </cell>
          <cell r="C391">
            <v>759</v>
          </cell>
          <cell r="G391">
            <v>0</v>
          </cell>
          <cell r="I391">
            <v>-85000000</v>
          </cell>
        </row>
        <row r="392">
          <cell r="B392">
            <v>224</v>
          </cell>
          <cell r="C392">
            <v>761</v>
          </cell>
          <cell r="G392">
            <v>0</v>
          </cell>
          <cell r="I392">
            <v>-110000000</v>
          </cell>
        </row>
        <row r="393">
          <cell r="B393">
            <v>224</v>
          </cell>
          <cell r="C393">
            <v>763</v>
          </cell>
          <cell r="G393">
            <v>0</v>
          </cell>
          <cell r="I393">
            <v>-140000000</v>
          </cell>
        </row>
        <row r="394">
          <cell r="B394">
            <v>226</v>
          </cell>
          <cell r="C394">
            <v>719</v>
          </cell>
          <cell r="G394">
            <v>-30.23</v>
          </cell>
          <cell r="I394">
            <v>4504.6400000000003</v>
          </cell>
        </row>
        <row r="395">
          <cell r="B395">
            <v>226</v>
          </cell>
          <cell r="C395">
            <v>721</v>
          </cell>
          <cell r="G395">
            <v>-3313.5</v>
          </cell>
          <cell r="I395">
            <v>135853.62</v>
          </cell>
        </row>
        <row r="396">
          <cell r="B396">
            <v>226</v>
          </cell>
          <cell r="C396">
            <v>722</v>
          </cell>
          <cell r="G396">
            <v>-5245.63</v>
          </cell>
          <cell r="I396">
            <v>1479266.05</v>
          </cell>
        </row>
        <row r="397">
          <cell r="B397">
            <v>226</v>
          </cell>
          <cell r="C397">
            <v>723</v>
          </cell>
          <cell r="G397">
            <v>-3495.14</v>
          </cell>
          <cell r="I397">
            <v>992619.36</v>
          </cell>
        </row>
        <row r="398">
          <cell r="B398">
            <v>226</v>
          </cell>
          <cell r="C398">
            <v>749</v>
          </cell>
          <cell r="G398">
            <v>-5465.22</v>
          </cell>
          <cell r="I398">
            <v>1519330.57</v>
          </cell>
        </row>
        <row r="399">
          <cell r="B399">
            <v>226</v>
          </cell>
          <cell r="C399">
            <v>753</v>
          </cell>
          <cell r="G399">
            <v>-2299.11</v>
          </cell>
          <cell r="I399">
            <v>942636.41</v>
          </cell>
        </row>
        <row r="400">
          <cell r="B400">
            <v>226</v>
          </cell>
          <cell r="C400">
            <v>754</v>
          </cell>
          <cell r="G400">
            <v>-4400.84</v>
          </cell>
          <cell r="I400">
            <v>246447.25</v>
          </cell>
        </row>
        <row r="401">
          <cell r="B401">
            <v>226</v>
          </cell>
          <cell r="C401">
            <v>756</v>
          </cell>
          <cell r="G401">
            <v>-739.86</v>
          </cell>
          <cell r="I401">
            <v>227138.76</v>
          </cell>
        </row>
        <row r="402">
          <cell r="B402">
            <v>226</v>
          </cell>
          <cell r="C402">
            <v>758</v>
          </cell>
          <cell r="G402">
            <v>-6181.55</v>
          </cell>
          <cell r="I402">
            <v>506887.07</v>
          </cell>
        </row>
        <row r="403">
          <cell r="B403">
            <v>226</v>
          </cell>
          <cell r="C403">
            <v>759</v>
          </cell>
          <cell r="G403">
            <v>-4905.3500000000004</v>
          </cell>
          <cell r="I403">
            <v>436576.15</v>
          </cell>
        </row>
        <row r="404">
          <cell r="B404">
            <v>228</v>
          </cell>
          <cell r="C404">
            <v>1100</v>
          </cell>
          <cell r="G404">
            <v>67798534.150000006</v>
          </cell>
          <cell r="I404">
            <v>0</v>
          </cell>
        </row>
        <row r="405">
          <cell r="B405">
            <v>228</v>
          </cell>
          <cell r="C405">
            <v>1102</v>
          </cell>
          <cell r="G405">
            <v>-42800000.07</v>
          </cell>
          <cell r="I405">
            <v>0</v>
          </cell>
        </row>
        <row r="406">
          <cell r="B406">
            <v>228</v>
          </cell>
          <cell r="C406">
            <v>1103</v>
          </cell>
          <cell r="G406">
            <v>-1730874.41</v>
          </cell>
          <cell r="I406">
            <v>0</v>
          </cell>
        </row>
        <row r="407">
          <cell r="B407">
            <v>228</v>
          </cell>
          <cell r="C407">
            <v>1104</v>
          </cell>
          <cell r="G407">
            <v>-50497963.25</v>
          </cell>
          <cell r="I407">
            <v>0</v>
          </cell>
        </row>
        <row r="408">
          <cell r="B408">
            <v>228</v>
          </cell>
          <cell r="C408">
            <v>1105</v>
          </cell>
          <cell r="G408">
            <v>-2077977.77</v>
          </cell>
          <cell r="I408">
            <v>0</v>
          </cell>
        </row>
        <row r="409">
          <cell r="B409">
            <v>228</v>
          </cell>
          <cell r="C409">
            <v>1106</v>
          </cell>
          <cell r="G409">
            <v>55474510.200000003</v>
          </cell>
          <cell r="I409">
            <v>0</v>
          </cell>
        </row>
        <row r="410">
          <cell r="B410">
            <v>228</v>
          </cell>
          <cell r="C410">
            <v>1108</v>
          </cell>
          <cell r="G410">
            <v>-1208964.93</v>
          </cell>
          <cell r="I410">
            <v>0</v>
          </cell>
        </row>
        <row r="411">
          <cell r="B411">
            <v>228</v>
          </cell>
          <cell r="C411">
            <v>1109</v>
          </cell>
          <cell r="G411">
            <v>2868142.72</v>
          </cell>
          <cell r="I411">
            <v>0</v>
          </cell>
        </row>
        <row r="412">
          <cell r="B412">
            <v>228</v>
          </cell>
          <cell r="C412">
            <v>1110</v>
          </cell>
          <cell r="G412">
            <v>-1684198.66</v>
          </cell>
          <cell r="I412">
            <v>0</v>
          </cell>
        </row>
        <row r="413">
          <cell r="B413">
            <v>228</v>
          </cell>
          <cell r="C413">
            <v>1111</v>
          </cell>
          <cell r="G413">
            <v>-2000000</v>
          </cell>
          <cell r="I413">
            <v>0</v>
          </cell>
        </row>
        <row r="414">
          <cell r="B414">
            <v>228</v>
          </cell>
          <cell r="C414">
            <v>1112</v>
          </cell>
          <cell r="G414">
            <v>-95323.88</v>
          </cell>
          <cell r="I414">
            <v>0</v>
          </cell>
        </row>
        <row r="415">
          <cell r="B415">
            <v>228</v>
          </cell>
          <cell r="C415">
            <v>2101</v>
          </cell>
          <cell r="G415">
            <v>0</v>
          </cell>
          <cell r="I415">
            <v>0</v>
          </cell>
        </row>
        <row r="416">
          <cell r="B416">
            <v>228</v>
          </cell>
          <cell r="C416">
            <v>2104</v>
          </cell>
          <cell r="G416">
            <v>0</v>
          </cell>
          <cell r="I416">
            <v>0</v>
          </cell>
        </row>
        <row r="417">
          <cell r="B417">
            <v>228</v>
          </cell>
          <cell r="C417">
            <v>2107</v>
          </cell>
          <cell r="G417">
            <v>0</v>
          </cell>
          <cell r="I417">
            <v>0</v>
          </cell>
        </row>
        <row r="418">
          <cell r="B418">
            <v>228</v>
          </cell>
          <cell r="C418">
            <v>2108</v>
          </cell>
          <cell r="G418">
            <v>0</v>
          </cell>
          <cell r="I418">
            <v>0</v>
          </cell>
        </row>
        <row r="419">
          <cell r="B419">
            <v>228</v>
          </cell>
          <cell r="C419">
            <v>2111</v>
          </cell>
          <cell r="G419">
            <v>0</v>
          </cell>
          <cell r="I419">
            <v>0</v>
          </cell>
        </row>
        <row r="420">
          <cell r="B420">
            <v>228</v>
          </cell>
          <cell r="C420">
            <v>2133</v>
          </cell>
          <cell r="G420">
            <v>0</v>
          </cell>
          <cell r="I420">
            <v>0</v>
          </cell>
        </row>
        <row r="421">
          <cell r="B421">
            <v>228</v>
          </cell>
          <cell r="C421">
            <v>2160</v>
          </cell>
          <cell r="G421">
            <v>2936145.7</v>
          </cell>
          <cell r="I421">
            <v>0</v>
          </cell>
        </row>
        <row r="422">
          <cell r="B422">
            <v>228</v>
          </cell>
          <cell r="C422">
            <v>3020</v>
          </cell>
          <cell r="G422">
            <v>17124647.52</v>
          </cell>
          <cell r="I422">
            <v>0</v>
          </cell>
        </row>
        <row r="423">
          <cell r="B423">
            <v>228</v>
          </cell>
          <cell r="C423">
            <v>3030</v>
          </cell>
          <cell r="G423">
            <v>41168980.240000002</v>
          </cell>
          <cell r="I423">
            <v>0</v>
          </cell>
        </row>
        <row r="424">
          <cell r="B424">
            <v>228</v>
          </cell>
          <cell r="C424">
            <v>3031</v>
          </cell>
          <cell r="G424">
            <v>-6303008.3200000003</v>
          </cell>
          <cell r="I424">
            <v>0</v>
          </cell>
        </row>
        <row r="425">
          <cell r="B425">
            <v>228</v>
          </cell>
          <cell r="C425">
            <v>3032</v>
          </cell>
          <cell r="G425">
            <v>11086689</v>
          </cell>
          <cell r="I425">
            <v>0</v>
          </cell>
        </row>
        <row r="426">
          <cell r="B426">
            <v>228</v>
          </cell>
          <cell r="C426">
            <v>10004</v>
          </cell>
          <cell r="G426">
            <v>-2868142.72</v>
          </cell>
          <cell r="I426">
            <v>-2868142.72</v>
          </cell>
        </row>
        <row r="427">
          <cell r="B427">
            <v>228</v>
          </cell>
          <cell r="C427">
            <v>10008</v>
          </cell>
          <cell r="G427">
            <v>1208964.93</v>
          </cell>
          <cell r="I427">
            <v>1208964.93</v>
          </cell>
        </row>
        <row r="428">
          <cell r="B428">
            <v>228</v>
          </cell>
          <cell r="C428">
            <v>10009</v>
          </cell>
          <cell r="G428">
            <v>95323.88</v>
          </cell>
          <cell r="I428">
            <v>95323.88</v>
          </cell>
        </row>
        <row r="429">
          <cell r="B429">
            <v>228</v>
          </cell>
          <cell r="C429">
            <v>11100</v>
          </cell>
          <cell r="G429">
            <v>-67798534.150000006</v>
          </cell>
          <cell r="I429">
            <v>-67798534.150000006</v>
          </cell>
        </row>
        <row r="430">
          <cell r="B430">
            <v>228</v>
          </cell>
          <cell r="C430">
            <v>11101</v>
          </cell>
          <cell r="G430">
            <v>-291667</v>
          </cell>
          <cell r="I430">
            <v>-291667</v>
          </cell>
        </row>
        <row r="431">
          <cell r="B431">
            <v>228</v>
          </cell>
          <cell r="C431">
            <v>11102</v>
          </cell>
          <cell r="G431">
            <v>42800000.07</v>
          </cell>
          <cell r="I431">
            <v>42800000.07</v>
          </cell>
        </row>
        <row r="432">
          <cell r="B432">
            <v>228</v>
          </cell>
          <cell r="C432">
            <v>11103</v>
          </cell>
          <cell r="G432">
            <v>1730874.41</v>
          </cell>
          <cell r="I432">
            <v>1730874.41</v>
          </cell>
        </row>
        <row r="433">
          <cell r="B433">
            <v>228</v>
          </cell>
          <cell r="C433">
            <v>11104</v>
          </cell>
          <cell r="G433">
            <v>50497963.25</v>
          </cell>
          <cell r="I433">
            <v>50497963.25</v>
          </cell>
        </row>
        <row r="434">
          <cell r="B434">
            <v>228</v>
          </cell>
          <cell r="C434">
            <v>11105</v>
          </cell>
          <cell r="G434">
            <v>2077977.77</v>
          </cell>
          <cell r="I434">
            <v>2077977.77</v>
          </cell>
        </row>
        <row r="435">
          <cell r="B435">
            <v>228</v>
          </cell>
          <cell r="C435">
            <v>11106</v>
          </cell>
          <cell r="G435">
            <v>-55478111.469999999</v>
          </cell>
          <cell r="I435">
            <v>-55478111.469999999</v>
          </cell>
        </row>
        <row r="436">
          <cell r="B436">
            <v>228</v>
          </cell>
          <cell r="C436">
            <v>11110</v>
          </cell>
          <cell r="G436">
            <v>1684198.66</v>
          </cell>
          <cell r="I436">
            <v>1684198.66</v>
          </cell>
        </row>
        <row r="437">
          <cell r="B437">
            <v>228</v>
          </cell>
          <cell r="C437">
            <v>11111</v>
          </cell>
          <cell r="G437">
            <v>2000000</v>
          </cell>
          <cell r="I437">
            <v>2000000</v>
          </cell>
        </row>
        <row r="438">
          <cell r="B438">
            <v>228</v>
          </cell>
          <cell r="C438">
            <v>20101</v>
          </cell>
          <cell r="G438">
            <v>18402.330000000002</v>
          </cell>
          <cell r="I438">
            <v>18402.330000000002</v>
          </cell>
        </row>
        <row r="439">
          <cell r="B439">
            <v>228</v>
          </cell>
          <cell r="C439">
            <v>22104</v>
          </cell>
          <cell r="G439">
            <v>32746.76</v>
          </cell>
          <cell r="I439">
            <v>32746.76</v>
          </cell>
        </row>
        <row r="440">
          <cell r="B440">
            <v>228</v>
          </cell>
          <cell r="C440">
            <v>22107</v>
          </cell>
          <cell r="G440">
            <v>6770.49</v>
          </cell>
          <cell r="I440">
            <v>6770.49</v>
          </cell>
        </row>
        <row r="441">
          <cell r="B441">
            <v>228</v>
          </cell>
          <cell r="C441">
            <v>22108</v>
          </cell>
          <cell r="G441">
            <v>29464.35</v>
          </cell>
          <cell r="I441">
            <v>29464.35</v>
          </cell>
        </row>
        <row r="442">
          <cell r="B442">
            <v>228</v>
          </cell>
          <cell r="C442">
            <v>22111</v>
          </cell>
          <cell r="G442">
            <v>5834</v>
          </cell>
          <cell r="I442">
            <v>5834</v>
          </cell>
        </row>
        <row r="443">
          <cell r="B443">
            <v>228</v>
          </cell>
          <cell r="C443">
            <v>22133</v>
          </cell>
          <cell r="G443">
            <v>14860.38</v>
          </cell>
          <cell r="I443">
            <v>14860.38</v>
          </cell>
        </row>
        <row r="444">
          <cell r="B444">
            <v>228</v>
          </cell>
          <cell r="C444">
            <v>22160</v>
          </cell>
          <cell r="G444">
            <v>-3069479.03</v>
          </cell>
          <cell r="I444">
            <v>-3069479.03</v>
          </cell>
        </row>
        <row r="445">
          <cell r="B445">
            <v>228</v>
          </cell>
          <cell r="C445">
            <v>30012</v>
          </cell>
          <cell r="G445">
            <v>-92749</v>
          </cell>
          <cell r="I445">
            <v>-92749</v>
          </cell>
        </row>
        <row r="446">
          <cell r="B446">
            <v>228</v>
          </cell>
          <cell r="C446">
            <v>30014</v>
          </cell>
          <cell r="G446">
            <v>-7690558.3099999996</v>
          </cell>
          <cell r="I446">
            <v>-7690558.3099999996</v>
          </cell>
        </row>
        <row r="447">
          <cell r="B447">
            <v>228</v>
          </cell>
          <cell r="C447">
            <v>30019</v>
          </cell>
          <cell r="G447">
            <v>-172714.03</v>
          </cell>
          <cell r="I447">
            <v>-172714.03</v>
          </cell>
        </row>
        <row r="448">
          <cell r="B448">
            <v>228</v>
          </cell>
          <cell r="C448">
            <v>30028</v>
          </cell>
          <cell r="G448">
            <v>-6405698</v>
          </cell>
          <cell r="I448">
            <v>-6405698</v>
          </cell>
        </row>
        <row r="449">
          <cell r="B449">
            <v>228</v>
          </cell>
          <cell r="C449">
            <v>30030</v>
          </cell>
          <cell r="G449">
            <v>-17167467.41</v>
          </cell>
          <cell r="I449">
            <v>-17167467.41</v>
          </cell>
        </row>
        <row r="450">
          <cell r="B450">
            <v>228</v>
          </cell>
          <cell r="C450">
            <v>30050</v>
          </cell>
          <cell r="G450">
            <v>-41208179.359999999</v>
          </cell>
          <cell r="I450">
            <v>-41208179.359999999</v>
          </cell>
        </row>
        <row r="451">
          <cell r="B451">
            <v>228</v>
          </cell>
          <cell r="C451">
            <v>30056</v>
          </cell>
          <cell r="G451">
            <v>-9634527</v>
          </cell>
          <cell r="I451">
            <v>-9634527</v>
          </cell>
        </row>
        <row r="452">
          <cell r="B452">
            <v>228</v>
          </cell>
          <cell r="C452">
            <v>30068</v>
          </cell>
          <cell r="G452">
            <v>13013775</v>
          </cell>
          <cell r="I452">
            <v>-78788259</v>
          </cell>
        </row>
        <row r="453">
          <cell r="B453">
            <v>228</v>
          </cell>
          <cell r="C453">
            <v>30070</v>
          </cell>
          <cell r="G453">
            <v>0</v>
          </cell>
          <cell r="I453">
            <v>-1510503</v>
          </cell>
        </row>
        <row r="454">
          <cell r="B454">
            <v>228</v>
          </cell>
          <cell r="C454">
            <v>30100</v>
          </cell>
          <cell r="G454">
            <v>6337080.0999999996</v>
          </cell>
          <cell r="I454">
            <v>6337080.0999999996</v>
          </cell>
        </row>
        <row r="455">
          <cell r="B455">
            <v>229</v>
          </cell>
          <cell r="C455">
            <v>4</v>
          </cell>
          <cell r="G455">
            <v>-200563.72</v>
          </cell>
          <cell r="I455">
            <v>-200563.72</v>
          </cell>
        </row>
        <row r="456">
          <cell r="B456">
            <v>229</v>
          </cell>
          <cell r="C456">
            <v>124</v>
          </cell>
          <cell r="G456">
            <v>200563.72</v>
          </cell>
          <cell r="I456">
            <v>0</v>
          </cell>
        </row>
        <row r="457">
          <cell r="B457">
            <v>230</v>
          </cell>
          <cell r="C457">
            <v>600</v>
          </cell>
          <cell r="G457">
            <v>-44294.15</v>
          </cell>
          <cell r="I457">
            <v>-10589687.199999999</v>
          </cell>
        </row>
        <row r="458">
          <cell r="B458">
            <v>230</v>
          </cell>
          <cell r="C458">
            <v>650</v>
          </cell>
          <cell r="G458">
            <v>-4675.1099999999997</v>
          </cell>
          <cell r="I458">
            <v>-852802.22</v>
          </cell>
        </row>
        <row r="459">
          <cell r="B459">
            <v>230</v>
          </cell>
          <cell r="C459">
            <v>660</v>
          </cell>
          <cell r="G459">
            <v>-264.63</v>
          </cell>
          <cell r="I459">
            <v>-58361.7</v>
          </cell>
        </row>
        <row r="460">
          <cell r="B460">
            <v>230</v>
          </cell>
          <cell r="C460">
            <v>670</v>
          </cell>
          <cell r="G460">
            <v>-1085.49</v>
          </cell>
          <cell r="I460">
            <v>-240939.32</v>
          </cell>
        </row>
        <row r="461">
          <cell r="B461">
            <v>230</v>
          </cell>
          <cell r="C461">
            <v>680</v>
          </cell>
          <cell r="G461">
            <v>-4155.55</v>
          </cell>
          <cell r="I461">
            <v>-920452.97</v>
          </cell>
        </row>
        <row r="462">
          <cell r="B462">
            <v>231</v>
          </cell>
          <cell r="C462">
            <v>128</v>
          </cell>
          <cell r="G462">
            <v>0</v>
          </cell>
          <cell r="I462">
            <v>-554015</v>
          </cell>
        </row>
        <row r="463">
          <cell r="B463">
            <v>231</v>
          </cell>
          <cell r="C463">
            <v>129</v>
          </cell>
          <cell r="G463">
            <v>0</v>
          </cell>
          <cell r="I463">
            <v>-889000</v>
          </cell>
        </row>
        <row r="464">
          <cell r="B464">
            <v>232</v>
          </cell>
          <cell r="C464">
            <v>30</v>
          </cell>
          <cell r="G464">
            <v>-390267.33</v>
          </cell>
          <cell r="I464">
            <v>-390267.33</v>
          </cell>
        </row>
        <row r="465">
          <cell r="B465">
            <v>232</v>
          </cell>
          <cell r="C465">
            <v>37</v>
          </cell>
          <cell r="G465">
            <v>-15170795.130000001</v>
          </cell>
          <cell r="I465">
            <v>-15170795.130000001</v>
          </cell>
        </row>
        <row r="466">
          <cell r="B466">
            <v>232</v>
          </cell>
          <cell r="C466">
            <v>100</v>
          </cell>
          <cell r="G466">
            <v>-0.1</v>
          </cell>
          <cell r="I466">
            <v>-0.1</v>
          </cell>
        </row>
        <row r="467">
          <cell r="B467">
            <v>232</v>
          </cell>
          <cell r="C467">
            <v>175</v>
          </cell>
          <cell r="G467">
            <v>-90.16</v>
          </cell>
          <cell r="I467">
            <v>-90.16</v>
          </cell>
        </row>
        <row r="468">
          <cell r="B468">
            <v>232</v>
          </cell>
          <cell r="C468">
            <v>222</v>
          </cell>
          <cell r="G468">
            <v>-806.73</v>
          </cell>
          <cell r="I468">
            <v>-806.73</v>
          </cell>
        </row>
        <row r="469">
          <cell r="B469">
            <v>232</v>
          </cell>
          <cell r="C469">
            <v>223</v>
          </cell>
          <cell r="G469">
            <v>-12680.98</v>
          </cell>
          <cell r="I469">
            <v>-12680.98</v>
          </cell>
        </row>
        <row r="470">
          <cell r="B470">
            <v>232</v>
          </cell>
          <cell r="C470">
            <v>230</v>
          </cell>
          <cell r="G470">
            <v>-789.47</v>
          </cell>
          <cell r="I470">
            <v>-789.47</v>
          </cell>
        </row>
        <row r="471">
          <cell r="B471">
            <v>232</v>
          </cell>
          <cell r="C471">
            <v>390</v>
          </cell>
          <cell r="G471">
            <v>-5637150.1900000004</v>
          </cell>
          <cell r="I471">
            <v>-5637150.1900000004</v>
          </cell>
        </row>
        <row r="472">
          <cell r="B472">
            <v>232</v>
          </cell>
          <cell r="C472">
            <v>400</v>
          </cell>
          <cell r="G472">
            <v>11870080.65</v>
          </cell>
          <cell r="I472">
            <v>-9237918.3599999994</v>
          </cell>
        </row>
        <row r="473">
          <cell r="B473">
            <v>232</v>
          </cell>
          <cell r="C473">
            <v>401</v>
          </cell>
          <cell r="G473">
            <v>6113724.2400000002</v>
          </cell>
          <cell r="I473">
            <v>0</v>
          </cell>
        </row>
        <row r="474">
          <cell r="B474">
            <v>232</v>
          </cell>
          <cell r="C474">
            <v>408</v>
          </cell>
          <cell r="G474">
            <v>-993.09</v>
          </cell>
          <cell r="I474">
            <v>-993.09</v>
          </cell>
        </row>
        <row r="475">
          <cell r="B475">
            <v>232</v>
          </cell>
          <cell r="C475">
            <v>409</v>
          </cell>
          <cell r="G475">
            <v>76.12</v>
          </cell>
          <cell r="I475">
            <v>76.12</v>
          </cell>
        </row>
        <row r="476">
          <cell r="B476">
            <v>232</v>
          </cell>
          <cell r="C476">
            <v>412</v>
          </cell>
          <cell r="G476">
            <v>10.6</v>
          </cell>
          <cell r="I476">
            <v>10.6</v>
          </cell>
        </row>
        <row r="477">
          <cell r="B477">
            <v>232</v>
          </cell>
          <cell r="C477">
            <v>421</v>
          </cell>
          <cell r="G477">
            <v>-793.13</v>
          </cell>
          <cell r="I477">
            <v>-793.13</v>
          </cell>
        </row>
        <row r="478">
          <cell r="B478">
            <v>232</v>
          </cell>
          <cell r="C478">
            <v>431</v>
          </cell>
          <cell r="G478">
            <v>-0.2</v>
          </cell>
          <cell r="I478">
            <v>-0.2</v>
          </cell>
        </row>
        <row r="479">
          <cell r="B479">
            <v>232</v>
          </cell>
          <cell r="C479">
            <v>432</v>
          </cell>
          <cell r="G479">
            <v>-23.26</v>
          </cell>
          <cell r="I479">
            <v>-23.26</v>
          </cell>
        </row>
        <row r="480">
          <cell r="B480">
            <v>232</v>
          </cell>
          <cell r="C480">
            <v>440</v>
          </cell>
          <cell r="G480">
            <v>52.2</v>
          </cell>
          <cell r="I480">
            <v>52.2</v>
          </cell>
        </row>
        <row r="481">
          <cell r="B481">
            <v>232</v>
          </cell>
          <cell r="C481">
            <v>445</v>
          </cell>
          <cell r="G481">
            <v>-3161.96</v>
          </cell>
          <cell r="I481">
            <v>-3161.96</v>
          </cell>
        </row>
        <row r="482">
          <cell r="B482">
            <v>232</v>
          </cell>
          <cell r="C482">
            <v>450</v>
          </cell>
          <cell r="G482">
            <v>793.13</v>
          </cell>
          <cell r="I482">
            <v>793.13</v>
          </cell>
        </row>
        <row r="483">
          <cell r="B483">
            <v>232</v>
          </cell>
          <cell r="C483">
            <v>460</v>
          </cell>
          <cell r="G483">
            <v>12173897.619999999</v>
          </cell>
          <cell r="I483">
            <v>0</v>
          </cell>
        </row>
        <row r="484">
          <cell r="B484">
            <v>232</v>
          </cell>
          <cell r="C484">
            <v>462</v>
          </cell>
          <cell r="G484">
            <v>13210968.51</v>
          </cell>
          <cell r="I484">
            <v>0</v>
          </cell>
        </row>
        <row r="485">
          <cell r="B485">
            <v>232</v>
          </cell>
          <cell r="C485">
            <v>463</v>
          </cell>
          <cell r="G485">
            <v>-19849.54</v>
          </cell>
          <cell r="I485">
            <v>0</v>
          </cell>
        </row>
        <row r="486">
          <cell r="B486">
            <v>232</v>
          </cell>
          <cell r="C486">
            <v>464</v>
          </cell>
          <cell r="G486">
            <v>3396621.78</v>
          </cell>
          <cell r="I486">
            <v>0</v>
          </cell>
        </row>
        <row r="487">
          <cell r="B487">
            <v>232</v>
          </cell>
          <cell r="C487">
            <v>500</v>
          </cell>
          <cell r="G487">
            <v>5647196.5700000003</v>
          </cell>
          <cell r="I487">
            <v>-11156427.16</v>
          </cell>
        </row>
        <row r="488">
          <cell r="B488">
            <v>232</v>
          </cell>
          <cell r="C488">
            <v>520</v>
          </cell>
          <cell r="G488">
            <v>-16220243.52</v>
          </cell>
          <cell r="I488">
            <v>-16220243.52</v>
          </cell>
        </row>
        <row r="489">
          <cell r="B489">
            <v>232</v>
          </cell>
          <cell r="C489">
            <v>700</v>
          </cell>
          <cell r="G489">
            <v>-146128.06</v>
          </cell>
          <cell r="I489">
            <v>-146128.06</v>
          </cell>
        </row>
        <row r="490">
          <cell r="B490">
            <v>232</v>
          </cell>
          <cell r="C490">
            <v>711</v>
          </cell>
          <cell r="G490">
            <v>810.36</v>
          </cell>
          <cell r="I490">
            <v>23074.19</v>
          </cell>
        </row>
        <row r="491">
          <cell r="B491">
            <v>232</v>
          </cell>
          <cell r="C491">
            <v>745</v>
          </cell>
          <cell r="G491">
            <v>-6621.23</v>
          </cell>
          <cell r="I491">
            <v>-6621.23</v>
          </cell>
        </row>
        <row r="492">
          <cell r="B492">
            <v>232</v>
          </cell>
          <cell r="C492">
            <v>800</v>
          </cell>
          <cell r="G492">
            <v>137889.69</v>
          </cell>
          <cell r="I492">
            <v>0</v>
          </cell>
        </row>
        <row r="493">
          <cell r="B493">
            <v>232</v>
          </cell>
          <cell r="C493">
            <v>850</v>
          </cell>
          <cell r="G493">
            <v>6621.23</v>
          </cell>
          <cell r="I493">
            <v>0</v>
          </cell>
        </row>
        <row r="494">
          <cell r="B494">
            <v>232</v>
          </cell>
          <cell r="C494">
            <v>907</v>
          </cell>
          <cell r="G494">
            <v>-18542729.199999999</v>
          </cell>
          <cell r="I494">
            <v>-18542729.199999999</v>
          </cell>
        </row>
        <row r="495">
          <cell r="B495">
            <v>232</v>
          </cell>
          <cell r="C495">
            <v>911</v>
          </cell>
          <cell r="G495">
            <v>2396338.13</v>
          </cell>
          <cell r="I495">
            <v>2396338.13</v>
          </cell>
        </row>
        <row r="496">
          <cell r="B496">
            <v>232</v>
          </cell>
          <cell r="C496">
            <v>921</v>
          </cell>
          <cell r="G496">
            <v>863134.65</v>
          </cell>
          <cell r="I496">
            <v>-254694.12</v>
          </cell>
        </row>
        <row r="497">
          <cell r="B497">
            <v>232</v>
          </cell>
          <cell r="C497">
            <v>924</v>
          </cell>
          <cell r="G497">
            <v>-35639.870000000003</v>
          </cell>
          <cell r="I497">
            <v>-427782.67</v>
          </cell>
        </row>
        <row r="498">
          <cell r="B498">
            <v>232</v>
          </cell>
          <cell r="C498">
            <v>926</v>
          </cell>
          <cell r="G498">
            <v>0</v>
          </cell>
          <cell r="I498">
            <v>-1862211</v>
          </cell>
        </row>
        <row r="499">
          <cell r="B499">
            <v>232</v>
          </cell>
          <cell r="C499">
            <v>927</v>
          </cell>
          <cell r="G499">
            <v>-98836.92</v>
          </cell>
          <cell r="I499">
            <v>-926994.75</v>
          </cell>
        </row>
        <row r="500">
          <cell r="B500">
            <v>232</v>
          </cell>
          <cell r="C500">
            <v>942</v>
          </cell>
          <cell r="G500">
            <v>244677.84</v>
          </cell>
          <cell r="I500">
            <v>0</v>
          </cell>
        </row>
        <row r="501">
          <cell r="B501">
            <v>232</v>
          </cell>
          <cell r="C501">
            <v>943</v>
          </cell>
          <cell r="G501">
            <v>-457222.13</v>
          </cell>
          <cell r="I501">
            <v>-457222.13</v>
          </cell>
        </row>
        <row r="502">
          <cell r="B502">
            <v>233</v>
          </cell>
          <cell r="C502">
            <v>20</v>
          </cell>
          <cell r="G502">
            <v>32595547.170000002</v>
          </cell>
          <cell r="I502">
            <v>-56292208.890000001</v>
          </cell>
        </row>
        <row r="503">
          <cell r="B503">
            <v>234</v>
          </cell>
          <cell r="C503">
            <v>100</v>
          </cell>
          <cell r="G503">
            <v>29627.33</v>
          </cell>
          <cell r="I503">
            <v>-408594.01</v>
          </cell>
        </row>
        <row r="504">
          <cell r="B504">
            <v>234</v>
          </cell>
          <cell r="C504">
            <v>300</v>
          </cell>
          <cell r="G504">
            <v>-25897.26</v>
          </cell>
          <cell r="I504">
            <v>-177524</v>
          </cell>
        </row>
        <row r="505">
          <cell r="B505">
            <v>234</v>
          </cell>
          <cell r="C505">
            <v>301</v>
          </cell>
          <cell r="G505">
            <v>760868.39</v>
          </cell>
          <cell r="I505">
            <v>760868.39</v>
          </cell>
        </row>
        <row r="506">
          <cell r="B506">
            <v>234</v>
          </cell>
          <cell r="C506">
            <v>302</v>
          </cell>
          <cell r="G506">
            <v>60693.59</v>
          </cell>
          <cell r="I506">
            <v>-493329.24</v>
          </cell>
        </row>
        <row r="507">
          <cell r="B507">
            <v>234</v>
          </cell>
          <cell r="C507">
            <v>305</v>
          </cell>
          <cell r="G507">
            <v>353178.3</v>
          </cell>
          <cell r="I507">
            <v>0</v>
          </cell>
        </row>
        <row r="508">
          <cell r="B508">
            <v>234</v>
          </cell>
          <cell r="C508">
            <v>306</v>
          </cell>
          <cell r="G508">
            <v>-18369.8</v>
          </cell>
          <cell r="I508">
            <v>-18369.8</v>
          </cell>
        </row>
        <row r="509">
          <cell r="B509">
            <v>234</v>
          </cell>
          <cell r="C509">
            <v>308</v>
          </cell>
          <cell r="G509">
            <v>55345.89</v>
          </cell>
          <cell r="I509">
            <v>55345.89</v>
          </cell>
        </row>
        <row r="510">
          <cell r="B510">
            <v>234</v>
          </cell>
          <cell r="C510">
            <v>500</v>
          </cell>
          <cell r="G510">
            <v>-2241637.7200000002</v>
          </cell>
          <cell r="I510">
            <v>-2258934.2799999998</v>
          </cell>
        </row>
        <row r="511">
          <cell r="B511">
            <v>234</v>
          </cell>
          <cell r="C511">
            <v>501</v>
          </cell>
          <cell r="G511">
            <v>45475.62</v>
          </cell>
          <cell r="I511">
            <v>-318986.15000000002</v>
          </cell>
        </row>
        <row r="512">
          <cell r="B512">
            <v>234</v>
          </cell>
          <cell r="C512">
            <v>505</v>
          </cell>
          <cell r="G512">
            <v>6962674.4400000004</v>
          </cell>
          <cell r="I512">
            <v>0</v>
          </cell>
        </row>
        <row r="513">
          <cell r="B513">
            <v>234</v>
          </cell>
          <cell r="C513">
            <v>506</v>
          </cell>
          <cell r="G513">
            <v>91501.53</v>
          </cell>
          <cell r="I513">
            <v>-47607.82</v>
          </cell>
        </row>
        <row r="514">
          <cell r="B514">
            <v>234</v>
          </cell>
          <cell r="C514">
            <v>507</v>
          </cell>
          <cell r="G514">
            <v>-6205729.6100000003</v>
          </cell>
          <cell r="I514">
            <v>-6205729.6100000003</v>
          </cell>
        </row>
        <row r="515">
          <cell r="B515">
            <v>234</v>
          </cell>
          <cell r="C515">
            <v>508</v>
          </cell>
          <cell r="G515">
            <v>168516.36</v>
          </cell>
          <cell r="I515">
            <v>-2270815.5699999998</v>
          </cell>
        </row>
        <row r="516">
          <cell r="B516">
            <v>234</v>
          </cell>
          <cell r="C516">
            <v>509</v>
          </cell>
          <cell r="G516">
            <v>0</v>
          </cell>
          <cell r="I516">
            <v>-1085473.3999999999</v>
          </cell>
        </row>
        <row r="517">
          <cell r="B517">
            <v>234</v>
          </cell>
          <cell r="C517">
            <v>610</v>
          </cell>
          <cell r="G517">
            <v>218084.46</v>
          </cell>
          <cell r="I517">
            <v>0</v>
          </cell>
        </row>
        <row r="518">
          <cell r="B518">
            <v>234</v>
          </cell>
          <cell r="C518">
            <v>700</v>
          </cell>
          <cell r="G518">
            <v>16845161.219999999</v>
          </cell>
          <cell r="I518">
            <v>0</v>
          </cell>
        </row>
        <row r="519">
          <cell r="B519">
            <v>234</v>
          </cell>
          <cell r="C519">
            <v>702</v>
          </cell>
          <cell r="G519">
            <v>16590.59</v>
          </cell>
          <cell r="I519">
            <v>0</v>
          </cell>
        </row>
        <row r="520">
          <cell r="B520">
            <v>234</v>
          </cell>
          <cell r="C520">
            <v>704</v>
          </cell>
          <cell r="G520">
            <v>16833362.059999999</v>
          </cell>
          <cell r="I520">
            <v>0</v>
          </cell>
        </row>
        <row r="521">
          <cell r="B521">
            <v>234</v>
          </cell>
          <cell r="C521">
            <v>705</v>
          </cell>
          <cell r="G521">
            <v>679353.35</v>
          </cell>
          <cell r="I521">
            <v>0</v>
          </cell>
        </row>
        <row r="522">
          <cell r="B522">
            <v>234</v>
          </cell>
          <cell r="C522">
            <v>708</v>
          </cell>
          <cell r="G522">
            <v>-15159764.67</v>
          </cell>
          <cell r="I522">
            <v>-15159764.67</v>
          </cell>
        </row>
        <row r="523">
          <cell r="B523">
            <v>234</v>
          </cell>
          <cell r="C523">
            <v>741</v>
          </cell>
          <cell r="G523">
            <v>48215</v>
          </cell>
          <cell r="I523">
            <v>0</v>
          </cell>
        </row>
        <row r="524">
          <cell r="B524">
            <v>234</v>
          </cell>
          <cell r="C524">
            <v>771</v>
          </cell>
          <cell r="G524">
            <v>-10467284.640000001</v>
          </cell>
          <cell r="I524">
            <v>-10467284.640000001</v>
          </cell>
        </row>
        <row r="525">
          <cell r="B525">
            <v>234</v>
          </cell>
          <cell r="C525">
            <v>804</v>
          </cell>
          <cell r="G525">
            <v>-348739.99</v>
          </cell>
          <cell r="I525">
            <v>-348739.99</v>
          </cell>
        </row>
        <row r="526">
          <cell r="B526">
            <v>234</v>
          </cell>
          <cell r="C526">
            <v>900</v>
          </cell>
          <cell r="G526">
            <v>-728845.11</v>
          </cell>
          <cell r="I526">
            <v>-728845.11</v>
          </cell>
        </row>
        <row r="527">
          <cell r="B527">
            <v>234</v>
          </cell>
          <cell r="C527">
            <v>901</v>
          </cell>
          <cell r="G527">
            <v>11698.65</v>
          </cell>
          <cell r="I527">
            <v>0</v>
          </cell>
        </row>
        <row r="528">
          <cell r="B528">
            <v>234</v>
          </cell>
          <cell r="C528">
            <v>1042</v>
          </cell>
          <cell r="G528">
            <v>-17.5</v>
          </cell>
          <cell r="I528">
            <v>-17.5</v>
          </cell>
        </row>
        <row r="529">
          <cell r="B529">
            <v>235</v>
          </cell>
          <cell r="C529">
            <v>100</v>
          </cell>
          <cell r="G529">
            <v>-641655.84</v>
          </cell>
          <cell r="I529">
            <v>-33002300.010000002</v>
          </cell>
        </row>
        <row r="530">
          <cell r="B530">
            <v>236</v>
          </cell>
          <cell r="C530">
            <v>1</v>
          </cell>
          <cell r="G530">
            <v>-26156</v>
          </cell>
          <cell r="I530">
            <v>0</v>
          </cell>
        </row>
        <row r="531">
          <cell r="B531">
            <v>236</v>
          </cell>
          <cell r="C531">
            <v>9</v>
          </cell>
          <cell r="G531">
            <v>2796162.15</v>
          </cell>
          <cell r="I531">
            <v>0</v>
          </cell>
        </row>
        <row r="532">
          <cell r="B532">
            <v>236</v>
          </cell>
          <cell r="C532">
            <v>11</v>
          </cell>
          <cell r="G532">
            <v>-93162.21</v>
          </cell>
          <cell r="I532">
            <v>0</v>
          </cell>
        </row>
        <row r="533">
          <cell r="B533">
            <v>236</v>
          </cell>
          <cell r="C533">
            <v>12</v>
          </cell>
          <cell r="G533">
            <v>-721853.91</v>
          </cell>
          <cell r="I533">
            <v>0</v>
          </cell>
        </row>
        <row r="534">
          <cell r="B534">
            <v>236</v>
          </cell>
          <cell r="C534">
            <v>20</v>
          </cell>
          <cell r="G534">
            <v>-16307.92</v>
          </cell>
          <cell r="I534">
            <v>0</v>
          </cell>
        </row>
        <row r="535">
          <cell r="B535">
            <v>236</v>
          </cell>
          <cell r="C535">
            <v>21</v>
          </cell>
          <cell r="G535">
            <v>835865.94</v>
          </cell>
          <cell r="I535">
            <v>0</v>
          </cell>
        </row>
        <row r="536">
          <cell r="B536">
            <v>236</v>
          </cell>
          <cell r="C536">
            <v>25</v>
          </cell>
          <cell r="G536">
            <v>-5115.21</v>
          </cell>
          <cell r="I536">
            <v>0</v>
          </cell>
        </row>
        <row r="537">
          <cell r="B537">
            <v>236</v>
          </cell>
          <cell r="C537">
            <v>28</v>
          </cell>
          <cell r="G537">
            <v>142524</v>
          </cell>
          <cell r="I537">
            <v>0</v>
          </cell>
        </row>
        <row r="538">
          <cell r="B538">
            <v>236</v>
          </cell>
          <cell r="C538">
            <v>30</v>
          </cell>
          <cell r="G538">
            <v>1952.12</v>
          </cell>
          <cell r="I538">
            <v>0</v>
          </cell>
        </row>
        <row r="539">
          <cell r="B539">
            <v>236</v>
          </cell>
          <cell r="C539">
            <v>38</v>
          </cell>
          <cell r="G539">
            <v>558702.73</v>
          </cell>
          <cell r="I539">
            <v>0</v>
          </cell>
        </row>
        <row r="540">
          <cell r="B540">
            <v>236</v>
          </cell>
          <cell r="C540">
            <v>50</v>
          </cell>
          <cell r="G540">
            <v>-84870.95</v>
          </cell>
          <cell r="I540">
            <v>-523238.72</v>
          </cell>
        </row>
        <row r="541">
          <cell r="B541">
            <v>236</v>
          </cell>
          <cell r="C541">
            <v>112</v>
          </cell>
          <cell r="G541">
            <v>-664035.80000000005</v>
          </cell>
          <cell r="I541">
            <v>-2924885.92</v>
          </cell>
        </row>
        <row r="542">
          <cell r="B542">
            <v>236</v>
          </cell>
          <cell r="C542">
            <v>211</v>
          </cell>
          <cell r="G542">
            <v>-122643.46</v>
          </cell>
          <cell r="I542">
            <v>-519393.59</v>
          </cell>
        </row>
        <row r="543">
          <cell r="B543">
            <v>236</v>
          </cell>
          <cell r="C543">
            <v>214</v>
          </cell>
          <cell r="G543">
            <v>6855.23</v>
          </cell>
          <cell r="I543">
            <v>0</v>
          </cell>
        </row>
        <row r="544">
          <cell r="B544">
            <v>236</v>
          </cell>
          <cell r="C544">
            <v>215</v>
          </cell>
          <cell r="G544">
            <v>-16586.28</v>
          </cell>
          <cell r="I544">
            <v>-16586.28</v>
          </cell>
        </row>
        <row r="545">
          <cell r="B545">
            <v>236</v>
          </cell>
          <cell r="C545">
            <v>216</v>
          </cell>
          <cell r="G545">
            <v>-3026.01</v>
          </cell>
          <cell r="I545">
            <v>-27446</v>
          </cell>
        </row>
        <row r="546">
          <cell r="B546">
            <v>236</v>
          </cell>
          <cell r="C546">
            <v>221</v>
          </cell>
          <cell r="G546">
            <v>-22320.33</v>
          </cell>
          <cell r="I546">
            <v>-66481.41</v>
          </cell>
        </row>
        <row r="547">
          <cell r="B547">
            <v>236</v>
          </cell>
          <cell r="C547">
            <v>231</v>
          </cell>
          <cell r="G547">
            <v>-9927.39</v>
          </cell>
          <cell r="I547">
            <v>-27341.759999999998</v>
          </cell>
        </row>
        <row r="548">
          <cell r="B548">
            <v>236</v>
          </cell>
          <cell r="C548">
            <v>232</v>
          </cell>
          <cell r="G548">
            <v>-3909.37</v>
          </cell>
          <cell r="I548">
            <v>-6610.08</v>
          </cell>
        </row>
        <row r="549">
          <cell r="B549">
            <v>236</v>
          </cell>
          <cell r="C549">
            <v>233</v>
          </cell>
          <cell r="G549">
            <v>-1190.31</v>
          </cell>
          <cell r="I549">
            <v>-8604.14</v>
          </cell>
        </row>
        <row r="550">
          <cell r="B550">
            <v>236</v>
          </cell>
          <cell r="C550">
            <v>234</v>
          </cell>
          <cell r="G550">
            <v>-823.66</v>
          </cell>
          <cell r="I550">
            <v>-1610.66</v>
          </cell>
        </row>
        <row r="551">
          <cell r="B551">
            <v>236</v>
          </cell>
          <cell r="C551">
            <v>235</v>
          </cell>
          <cell r="G551">
            <v>-2311.94</v>
          </cell>
          <cell r="I551">
            <v>-12658.39</v>
          </cell>
        </row>
        <row r="552">
          <cell r="B552">
            <v>236</v>
          </cell>
          <cell r="C552">
            <v>236</v>
          </cell>
          <cell r="G552">
            <v>-798.66</v>
          </cell>
          <cell r="I552">
            <v>-3556.2</v>
          </cell>
        </row>
        <row r="553">
          <cell r="B553">
            <v>236</v>
          </cell>
          <cell r="C553">
            <v>241</v>
          </cell>
          <cell r="G553">
            <v>-35486.19</v>
          </cell>
          <cell r="I553">
            <v>-185192.02</v>
          </cell>
        </row>
        <row r="554">
          <cell r="B554">
            <v>236</v>
          </cell>
          <cell r="C554">
            <v>242</v>
          </cell>
          <cell r="G554">
            <v>-14851.06</v>
          </cell>
          <cell r="I554">
            <v>-49066.45</v>
          </cell>
        </row>
        <row r="555">
          <cell r="B555">
            <v>236</v>
          </cell>
          <cell r="C555">
            <v>244</v>
          </cell>
          <cell r="G555">
            <v>-37203.11</v>
          </cell>
          <cell r="I555">
            <v>-123448.16</v>
          </cell>
        </row>
        <row r="556">
          <cell r="B556">
            <v>236</v>
          </cell>
          <cell r="C556">
            <v>245</v>
          </cell>
          <cell r="G556">
            <v>-57679.199999999997</v>
          </cell>
          <cell r="I556">
            <v>-198924.98</v>
          </cell>
        </row>
        <row r="557">
          <cell r="B557">
            <v>236</v>
          </cell>
          <cell r="C557">
            <v>246</v>
          </cell>
          <cell r="G557">
            <v>-22267.21</v>
          </cell>
          <cell r="I557">
            <v>-38089.61</v>
          </cell>
        </row>
        <row r="558">
          <cell r="B558">
            <v>236</v>
          </cell>
          <cell r="C558">
            <v>247</v>
          </cell>
          <cell r="G558">
            <v>-25785.27</v>
          </cell>
          <cell r="I558">
            <v>-74113.69</v>
          </cell>
        </row>
        <row r="559">
          <cell r="B559">
            <v>236</v>
          </cell>
          <cell r="C559">
            <v>251</v>
          </cell>
          <cell r="G559">
            <v>-4937.92</v>
          </cell>
          <cell r="I559">
            <v>-23242.57</v>
          </cell>
        </row>
        <row r="560">
          <cell r="B560">
            <v>236</v>
          </cell>
          <cell r="C560">
            <v>252</v>
          </cell>
          <cell r="G560">
            <v>-684.8</v>
          </cell>
          <cell r="I560">
            <v>-2147.2600000000002</v>
          </cell>
        </row>
        <row r="561">
          <cell r="B561">
            <v>236</v>
          </cell>
          <cell r="C561">
            <v>253</v>
          </cell>
          <cell r="G561">
            <v>-4329.93</v>
          </cell>
          <cell r="I561">
            <v>-11083.15</v>
          </cell>
        </row>
        <row r="562">
          <cell r="B562">
            <v>236</v>
          </cell>
          <cell r="C562">
            <v>261</v>
          </cell>
          <cell r="G562">
            <v>-21381.08</v>
          </cell>
          <cell r="I562">
            <v>-100849.05</v>
          </cell>
        </row>
        <row r="563">
          <cell r="B563">
            <v>236</v>
          </cell>
          <cell r="C563">
            <v>262</v>
          </cell>
          <cell r="G563">
            <v>-559.52</v>
          </cell>
          <cell r="I563">
            <v>-1833.23</v>
          </cell>
        </row>
        <row r="564">
          <cell r="B564">
            <v>236</v>
          </cell>
          <cell r="C564">
            <v>271</v>
          </cell>
          <cell r="G564">
            <v>-20122.14</v>
          </cell>
          <cell r="I564">
            <v>-90192.8</v>
          </cell>
        </row>
        <row r="565">
          <cell r="B565">
            <v>236</v>
          </cell>
          <cell r="C565">
            <v>272</v>
          </cell>
          <cell r="G565">
            <v>-4770.47</v>
          </cell>
          <cell r="I565">
            <v>-22311.759999999998</v>
          </cell>
        </row>
        <row r="566">
          <cell r="B566">
            <v>236</v>
          </cell>
          <cell r="C566">
            <v>273</v>
          </cell>
          <cell r="G566">
            <v>-702.8</v>
          </cell>
          <cell r="I566">
            <v>-2905.14</v>
          </cell>
        </row>
        <row r="567">
          <cell r="B567">
            <v>236</v>
          </cell>
          <cell r="C567">
            <v>274</v>
          </cell>
          <cell r="G567">
            <v>-46510.09</v>
          </cell>
          <cell r="I567">
            <v>-171860.62</v>
          </cell>
        </row>
        <row r="568">
          <cell r="B568">
            <v>236</v>
          </cell>
          <cell r="C568">
            <v>275</v>
          </cell>
          <cell r="G568">
            <v>-1462.55</v>
          </cell>
          <cell r="I568">
            <v>-5224.3999999999996</v>
          </cell>
        </row>
        <row r="569">
          <cell r="B569">
            <v>236</v>
          </cell>
          <cell r="C569">
            <v>276</v>
          </cell>
          <cell r="G569">
            <v>-1651.36</v>
          </cell>
          <cell r="I569">
            <v>-16925.7</v>
          </cell>
        </row>
        <row r="570">
          <cell r="B570">
            <v>236</v>
          </cell>
          <cell r="C570">
            <v>277</v>
          </cell>
          <cell r="G570">
            <v>-44049.57</v>
          </cell>
          <cell r="I570">
            <v>-139529.60999999999</v>
          </cell>
        </row>
        <row r="571">
          <cell r="B571">
            <v>236</v>
          </cell>
          <cell r="C571">
            <v>481</v>
          </cell>
          <cell r="G571">
            <v>64858.1</v>
          </cell>
          <cell r="I571">
            <v>0</v>
          </cell>
        </row>
        <row r="572">
          <cell r="B572">
            <v>236</v>
          </cell>
          <cell r="C572">
            <v>482</v>
          </cell>
          <cell r="G572">
            <v>2216</v>
          </cell>
          <cell r="I572">
            <v>0</v>
          </cell>
        </row>
        <row r="573">
          <cell r="B573">
            <v>236</v>
          </cell>
          <cell r="C573">
            <v>483</v>
          </cell>
          <cell r="G573">
            <v>-64858.1</v>
          </cell>
          <cell r="I573">
            <v>-1279856.3999999999</v>
          </cell>
        </row>
        <row r="574">
          <cell r="B574">
            <v>236</v>
          </cell>
          <cell r="C574">
            <v>484</v>
          </cell>
          <cell r="G574">
            <v>-2216</v>
          </cell>
          <cell r="I574">
            <v>-359180.82</v>
          </cell>
        </row>
        <row r="575">
          <cell r="B575">
            <v>236</v>
          </cell>
          <cell r="C575">
            <v>501</v>
          </cell>
          <cell r="G575">
            <v>-1648873</v>
          </cell>
          <cell r="I575">
            <v>0</v>
          </cell>
        </row>
        <row r="576">
          <cell r="B576">
            <v>236</v>
          </cell>
          <cell r="C576">
            <v>509</v>
          </cell>
          <cell r="G576">
            <v>-5121763.8</v>
          </cell>
          <cell r="I576">
            <v>0</v>
          </cell>
        </row>
        <row r="577">
          <cell r="B577">
            <v>236</v>
          </cell>
          <cell r="C577">
            <v>510</v>
          </cell>
          <cell r="G577">
            <v>393426.72</v>
          </cell>
          <cell r="I577">
            <v>0</v>
          </cell>
        </row>
        <row r="578">
          <cell r="B578">
            <v>236</v>
          </cell>
          <cell r="C578">
            <v>520</v>
          </cell>
          <cell r="G578">
            <v>6182.45</v>
          </cell>
          <cell r="I578">
            <v>0</v>
          </cell>
        </row>
        <row r="579">
          <cell r="B579">
            <v>236</v>
          </cell>
          <cell r="C579">
            <v>611</v>
          </cell>
          <cell r="G579">
            <v>-180210.06</v>
          </cell>
          <cell r="I579">
            <v>-985287.22</v>
          </cell>
        </row>
        <row r="580">
          <cell r="B580">
            <v>236</v>
          </cell>
          <cell r="C580">
            <v>621</v>
          </cell>
          <cell r="G580">
            <v>-33356.99</v>
          </cell>
          <cell r="I580">
            <v>-473334.99</v>
          </cell>
        </row>
        <row r="581">
          <cell r="B581">
            <v>236</v>
          </cell>
          <cell r="C581">
            <v>631</v>
          </cell>
          <cell r="G581">
            <v>-298.23</v>
          </cell>
          <cell r="I581">
            <v>-9898.11</v>
          </cell>
        </row>
        <row r="582">
          <cell r="B582">
            <v>236</v>
          </cell>
          <cell r="C582">
            <v>8109</v>
          </cell>
          <cell r="G582">
            <v>5121763.8</v>
          </cell>
          <cell r="I582">
            <v>5121763.8</v>
          </cell>
        </row>
        <row r="583">
          <cell r="B583">
            <v>236</v>
          </cell>
          <cell r="C583">
            <v>8110</v>
          </cell>
          <cell r="G583">
            <v>-5016144.28</v>
          </cell>
          <cell r="I583">
            <v>-5016144.28</v>
          </cell>
        </row>
        <row r="584">
          <cell r="B584">
            <v>236</v>
          </cell>
          <cell r="C584">
            <v>8150</v>
          </cell>
          <cell r="G584">
            <v>1648873</v>
          </cell>
          <cell r="I584">
            <v>1648873</v>
          </cell>
        </row>
        <row r="585">
          <cell r="B585">
            <v>236</v>
          </cell>
          <cell r="C585">
            <v>8708</v>
          </cell>
          <cell r="G585">
            <v>-592193.73</v>
          </cell>
          <cell r="I585">
            <v>-592193.73</v>
          </cell>
        </row>
        <row r="586">
          <cell r="B586">
            <v>236</v>
          </cell>
          <cell r="C586">
            <v>8710</v>
          </cell>
          <cell r="G586">
            <v>-2417</v>
          </cell>
          <cell r="I586">
            <v>-2417</v>
          </cell>
        </row>
        <row r="587">
          <cell r="B587">
            <v>236</v>
          </cell>
          <cell r="C587">
            <v>8740</v>
          </cell>
          <cell r="G587">
            <v>-1313394.79</v>
          </cell>
          <cell r="I587">
            <v>-1313394.79</v>
          </cell>
        </row>
        <row r="588">
          <cell r="B588">
            <v>236</v>
          </cell>
          <cell r="C588">
            <v>8750</v>
          </cell>
          <cell r="G588">
            <v>-376217.79</v>
          </cell>
          <cell r="I588">
            <v>-376217.79</v>
          </cell>
        </row>
        <row r="589">
          <cell r="B589">
            <v>236</v>
          </cell>
          <cell r="C589">
            <v>8760</v>
          </cell>
          <cell r="G589">
            <v>-945865.94</v>
          </cell>
          <cell r="I589">
            <v>-945865.94</v>
          </cell>
        </row>
        <row r="590">
          <cell r="B590">
            <v>236</v>
          </cell>
          <cell r="C590">
            <v>8850</v>
          </cell>
          <cell r="G590">
            <v>-156084</v>
          </cell>
          <cell r="I590">
            <v>-156084</v>
          </cell>
        </row>
        <row r="591">
          <cell r="B591">
            <v>236</v>
          </cell>
          <cell r="C591">
            <v>8911</v>
          </cell>
          <cell r="G591">
            <v>-533601.79</v>
          </cell>
          <cell r="I591">
            <v>-533601.79</v>
          </cell>
        </row>
        <row r="592">
          <cell r="B592">
            <v>236</v>
          </cell>
          <cell r="C592">
            <v>8920</v>
          </cell>
          <cell r="G592">
            <v>-21788.36</v>
          </cell>
          <cell r="I592">
            <v>-21788.36</v>
          </cell>
        </row>
        <row r="593">
          <cell r="B593">
            <v>236</v>
          </cell>
          <cell r="C593">
            <v>8940</v>
          </cell>
          <cell r="G593">
            <v>-4358.32</v>
          </cell>
          <cell r="I593">
            <v>-4358.32</v>
          </cell>
        </row>
        <row r="594">
          <cell r="B594">
            <v>236</v>
          </cell>
          <cell r="C594">
            <v>41409</v>
          </cell>
          <cell r="G594">
            <v>-2796162.15</v>
          </cell>
          <cell r="I594">
            <v>-2796162.15</v>
          </cell>
        </row>
        <row r="595">
          <cell r="B595">
            <v>236</v>
          </cell>
          <cell r="C595">
            <v>41410</v>
          </cell>
          <cell r="G595">
            <v>-698653.89</v>
          </cell>
          <cell r="I595">
            <v>-698653.89</v>
          </cell>
        </row>
        <row r="596">
          <cell r="B596">
            <v>236</v>
          </cell>
          <cell r="C596">
            <v>41450</v>
          </cell>
          <cell r="G596">
            <v>26156</v>
          </cell>
          <cell r="I596">
            <v>26156</v>
          </cell>
        </row>
        <row r="597">
          <cell r="B597">
            <v>236</v>
          </cell>
          <cell r="C597">
            <v>41510</v>
          </cell>
          <cell r="G597">
            <v>-21603.19</v>
          </cell>
          <cell r="I597">
            <v>-21603.19</v>
          </cell>
        </row>
        <row r="598">
          <cell r="B598">
            <v>236</v>
          </cell>
          <cell r="C598">
            <v>41550</v>
          </cell>
          <cell r="G598">
            <v>93162.21</v>
          </cell>
          <cell r="I598">
            <v>93162.21</v>
          </cell>
        </row>
        <row r="599">
          <cell r="B599">
            <v>236</v>
          </cell>
          <cell r="C599">
            <v>41610</v>
          </cell>
          <cell r="G599">
            <v>83333</v>
          </cell>
          <cell r="I599">
            <v>83333</v>
          </cell>
        </row>
        <row r="600">
          <cell r="B600">
            <v>236</v>
          </cell>
          <cell r="C600">
            <v>41650</v>
          </cell>
          <cell r="G600">
            <v>721853.91</v>
          </cell>
          <cell r="I600">
            <v>721853.91</v>
          </cell>
        </row>
        <row r="601">
          <cell r="B601">
            <v>237</v>
          </cell>
          <cell r="C601">
            <v>200</v>
          </cell>
          <cell r="G601">
            <v>-142325.85999999999</v>
          </cell>
          <cell r="I601">
            <v>-1083913.21</v>
          </cell>
        </row>
        <row r="602">
          <cell r="B602">
            <v>237</v>
          </cell>
          <cell r="C602">
            <v>400</v>
          </cell>
          <cell r="G602">
            <v>12243.94</v>
          </cell>
          <cell r="I602">
            <v>0</v>
          </cell>
        </row>
        <row r="603">
          <cell r="B603">
            <v>237</v>
          </cell>
          <cell r="C603">
            <v>450</v>
          </cell>
          <cell r="G603">
            <v>867187.5</v>
          </cell>
          <cell r="I603">
            <v>-173437.5</v>
          </cell>
        </row>
        <row r="604">
          <cell r="B604">
            <v>237</v>
          </cell>
          <cell r="C604">
            <v>458</v>
          </cell>
          <cell r="G604">
            <v>-94791.67</v>
          </cell>
          <cell r="I604">
            <v>-376006.98</v>
          </cell>
        </row>
        <row r="605">
          <cell r="B605">
            <v>237</v>
          </cell>
          <cell r="C605">
            <v>459</v>
          </cell>
          <cell r="G605">
            <v>2544.35</v>
          </cell>
          <cell r="I605">
            <v>-9424.75</v>
          </cell>
        </row>
        <row r="606">
          <cell r="B606">
            <v>237</v>
          </cell>
          <cell r="C606">
            <v>481</v>
          </cell>
          <cell r="G606">
            <v>9467</v>
          </cell>
          <cell r="I606">
            <v>0</v>
          </cell>
        </row>
        <row r="607">
          <cell r="B607">
            <v>237</v>
          </cell>
          <cell r="C607">
            <v>482</v>
          </cell>
          <cell r="G607">
            <v>467</v>
          </cell>
          <cell r="I607">
            <v>0</v>
          </cell>
        </row>
        <row r="608">
          <cell r="B608">
            <v>237</v>
          </cell>
          <cell r="C608">
            <v>483</v>
          </cell>
          <cell r="G608">
            <v>-9467</v>
          </cell>
          <cell r="I608">
            <v>-66461</v>
          </cell>
        </row>
        <row r="609">
          <cell r="B609">
            <v>237</v>
          </cell>
          <cell r="C609">
            <v>484</v>
          </cell>
          <cell r="G609">
            <v>-467</v>
          </cell>
          <cell r="I609">
            <v>-23127</v>
          </cell>
        </row>
        <row r="610">
          <cell r="B610">
            <v>237</v>
          </cell>
          <cell r="C610">
            <v>719</v>
          </cell>
          <cell r="G610">
            <v>160.41999999999999</v>
          </cell>
          <cell r="I610">
            <v>-587.87</v>
          </cell>
        </row>
        <row r="611">
          <cell r="B611">
            <v>237</v>
          </cell>
          <cell r="C611">
            <v>721</v>
          </cell>
          <cell r="G611">
            <v>1087500</v>
          </cell>
          <cell r="I611">
            <v>-116000</v>
          </cell>
        </row>
        <row r="612">
          <cell r="B612">
            <v>237</v>
          </cell>
          <cell r="C612">
            <v>722</v>
          </cell>
          <cell r="G612">
            <v>525000</v>
          </cell>
          <cell r="I612">
            <v>-140000</v>
          </cell>
        </row>
        <row r="613">
          <cell r="B613">
            <v>237</v>
          </cell>
          <cell r="C613">
            <v>723</v>
          </cell>
          <cell r="G613">
            <v>-191666.67</v>
          </cell>
          <cell r="I613">
            <v>-293888.89</v>
          </cell>
        </row>
        <row r="614">
          <cell r="B614">
            <v>237</v>
          </cell>
          <cell r="C614">
            <v>746</v>
          </cell>
          <cell r="G614">
            <v>-183750</v>
          </cell>
          <cell r="I614">
            <v>-918750.02</v>
          </cell>
        </row>
        <row r="615">
          <cell r="B615">
            <v>237</v>
          </cell>
          <cell r="C615">
            <v>748</v>
          </cell>
          <cell r="G615">
            <v>-52000</v>
          </cell>
          <cell r="I615">
            <v>-260000</v>
          </cell>
        </row>
        <row r="616">
          <cell r="B616">
            <v>237</v>
          </cell>
          <cell r="C616">
            <v>749</v>
          </cell>
          <cell r="G616">
            <v>583279.67000000004</v>
          </cell>
          <cell r="I616">
            <v>-294217</v>
          </cell>
        </row>
        <row r="617">
          <cell r="B617">
            <v>237</v>
          </cell>
          <cell r="C617">
            <v>751</v>
          </cell>
          <cell r="G617">
            <v>-40687.5</v>
          </cell>
          <cell r="I617">
            <v>-81375</v>
          </cell>
        </row>
        <row r="618">
          <cell r="B618">
            <v>237</v>
          </cell>
          <cell r="C618">
            <v>752</v>
          </cell>
          <cell r="G618">
            <v>-145375</v>
          </cell>
          <cell r="I618">
            <v>-872726.6</v>
          </cell>
        </row>
        <row r="619">
          <cell r="B619">
            <v>237</v>
          </cell>
          <cell r="C619">
            <v>753</v>
          </cell>
          <cell r="G619">
            <v>342708.34</v>
          </cell>
          <cell r="I619">
            <v>-171354.17</v>
          </cell>
        </row>
        <row r="620">
          <cell r="B620">
            <v>237</v>
          </cell>
          <cell r="C620">
            <v>754</v>
          </cell>
          <cell r="G620">
            <v>-306250</v>
          </cell>
          <cell r="I620">
            <v>-1225000</v>
          </cell>
        </row>
        <row r="621">
          <cell r="B621">
            <v>237</v>
          </cell>
          <cell r="C621">
            <v>756</v>
          </cell>
          <cell r="G621">
            <v>-282500</v>
          </cell>
          <cell r="I621">
            <v>-1412500</v>
          </cell>
        </row>
        <row r="622">
          <cell r="B622">
            <v>237</v>
          </cell>
          <cell r="C622">
            <v>758</v>
          </cell>
          <cell r="G622">
            <v>-485833.33</v>
          </cell>
          <cell r="I622">
            <v>-971666.66</v>
          </cell>
        </row>
        <row r="623">
          <cell r="B623">
            <v>237</v>
          </cell>
          <cell r="C623">
            <v>759</v>
          </cell>
          <cell r="G623">
            <v>-417916.67</v>
          </cell>
          <cell r="I623">
            <v>-626875</v>
          </cell>
        </row>
        <row r="624">
          <cell r="B624">
            <v>237</v>
          </cell>
          <cell r="C624">
            <v>761</v>
          </cell>
          <cell r="G624">
            <v>-1842.9</v>
          </cell>
          <cell r="I624">
            <v>-66550.490000000005</v>
          </cell>
        </row>
        <row r="625">
          <cell r="B625">
            <v>237</v>
          </cell>
          <cell r="C625">
            <v>763</v>
          </cell>
          <cell r="G625">
            <v>-40906.83</v>
          </cell>
          <cell r="I625">
            <v>-43633.95</v>
          </cell>
        </row>
        <row r="626">
          <cell r="B626">
            <v>237</v>
          </cell>
          <cell r="C626">
            <v>912</v>
          </cell>
          <cell r="G626">
            <v>-9852.2800000000007</v>
          </cell>
          <cell r="I626">
            <v>-49179.44</v>
          </cell>
        </row>
        <row r="627">
          <cell r="B627">
            <v>237</v>
          </cell>
          <cell r="C627">
            <v>9000</v>
          </cell>
          <cell r="G627">
            <v>-7791.11</v>
          </cell>
          <cell r="I627">
            <v>-7791.11</v>
          </cell>
        </row>
        <row r="628">
          <cell r="B628">
            <v>238</v>
          </cell>
          <cell r="C628">
            <v>100</v>
          </cell>
          <cell r="G628">
            <v>-26075000</v>
          </cell>
          <cell r="I628">
            <v>-26075000</v>
          </cell>
        </row>
        <row r="629">
          <cell r="B629">
            <v>238</v>
          </cell>
          <cell r="C629">
            <v>516</v>
          </cell>
          <cell r="G629">
            <v>0</v>
          </cell>
          <cell r="I629">
            <v>-825000</v>
          </cell>
        </row>
        <row r="630">
          <cell r="B630">
            <v>238</v>
          </cell>
          <cell r="C630">
            <v>517</v>
          </cell>
          <cell r="G630">
            <v>0</v>
          </cell>
          <cell r="I630">
            <v>-725625</v>
          </cell>
        </row>
        <row r="631">
          <cell r="B631">
            <v>241</v>
          </cell>
          <cell r="C631">
            <v>106</v>
          </cell>
          <cell r="G631">
            <v>27628.22</v>
          </cell>
          <cell r="I631">
            <v>0</v>
          </cell>
        </row>
        <row r="632">
          <cell r="B632">
            <v>241</v>
          </cell>
          <cell r="C632">
            <v>107</v>
          </cell>
          <cell r="G632">
            <v>104229.49</v>
          </cell>
          <cell r="I632">
            <v>0</v>
          </cell>
        </row>
        <row r="633">
          <cell r="B633">
            <v>241</v>
          </cell>
          <cell r="C633">
            <v>108</v>
          </cell>
          <cell r="G633">
            <v>1346386.17</v>
          </cell>
          <cell r="I633">
            <v>0</v>
          </cell>
        </row>
        <row r="634">
          <cell r="B634">
            <v>241</v>
          </cell>
          <cell r="C634">
            <v>115</v>
          </cell>
          <cell r="G634">
            <v>-0.9</v>
          </cell>
          <cell r="I634">
            <v>-2.61</v>
          </cell>
        </row>
        <row r="635">
          <cell r="B635">
            <v>241</v>
          </cell>
          <cell r="C635">
            <v>117</v>
          </cell>
          <cell r="G635">
            <v>0.37</v>
          </cell>
          <cell r="I635">
            <v>0</v>
          </cell>
        </row>
        <row r="636">
          <cell r="B636">
            <v>241</v>
          </cell>
          <cell r="C636">
            <v>119</v>
          </cell>
          <cell r="G636">
            <v>119.05</v>
          </cell>
          <cell r="I636">
            <v>-84.41</v>
          </cell>
        </row>
        <row r="637">
          <cell r="B637">
            <v>241</v>
          </cell>
          <cell r="C637">
            <v>120</v>
          </cell>
          <cell r="G637">
            <v>28.76</v>
          </cell>
          <cell r="I637">
            <v>-19.5</v>
          </cell>
        </row>
        <row r="638">
          <cell r="B638">
            <v>241</v>
          </cell>
          <cell r="C638">
            <v>203</v>
          </cell>
          <cell r="G638">
            <v>-266261.28999999998</v>
          </cell>
          <cell r="I638">
            <v>-631868.49</v>
          </cell>
        </row>
        <row r="639">
          <cell r="B639">
            <v>241</v>
          </cell>
          <cell r="C639">
            <v>206</v>
          </cell>
          <cell r="G639">
            <v>-55195.05</v>
          </cell>
          <cell r="I639">
            <v>-55195.05</v>
          </cell>
        </row>
        <row r="640">
          <cell r="B640">
            <v>241</v>
          </cell>
          <cell r="C640">
            <v>207</v>
          </cell>
          <cell r="G640">
            <v>-232008.88</v>
          </cell>
          <cell r="I640">
            <v>-232008.88</v>
          </cell>
        </row>
        <row r="641">
          <cell r="B641">
            <v>241</v>
          </cell>
          <cell r="C641">
            <v>208</v>
          </cell>
          <cell r="G641">
            <v>-3036832.81</v>
          </cell>
          <cell r="I641">
            <v>-3036832.81</v>
          </cell>
        </row>
        <row r="642">
          <cell r="B642">
            <v>241</v>
          </cell>
          <cell r="C642">
            <v>214</v>
          </cell>
          <cell r="G642">
            <v>5447.23</v>
          </cell>
          <cell r="I642">
            <v>0</v>
          </cell>
        </row>
        <row r="643">
          <cell r="B643">
            <v>241</v>
          </cell>
          <cell r="C643">
            <v>216</v>
          </cell>
          <cell r="G643">
            <v>366.94</v>
          </cell>
          <cell r="I643">
            <v>0</v>
          </cell>
        </row>
        <row r="644">
          <cell r="B644">
            <v>241</v>
          </cell>
          <cell r="C644">
            <v>217</v>
          </cell>
          <cell r="G644">
            <v>116.06</v>
          </cell>
          <cell r="I644">
            <v>0</v>
          </cell>
        </row>
        <row r="645">
          <cell r="B645">
            <v>241</v>
          </cell>
          <cell r="C645">
            <v>219</v>
          </cell>
          <cell r="G645">
            <v>-0.46</v>
          </cell>
          <cell r="I645">
            <v>-0.46</v>
          </cell>
        </row>
        <row r="646">
          <cell r="B646">
            <v>241</v>
          </cell>
          <cell r="C646">
            <v>250</v>
          </cell>
          <cell r="G646">
            <v>1933227.98</v>
          </cell>
          <cell r="I646">
            <v>1933227.98</v>
          </cell>
        </row>
        <row r="647">
          <cell r="B647">
            <v>241</v>
          </cell>
          <cell r="C647">
            <v>251</v>
          </cell>
          <cell r="G647">
            <v>161612.03</v>
          </cell>
          <cell r="I647">
            <v>1212266.49</v>
          </cell>
        </row>
        <row r="648">
          <cell r="B648">
            <v>241</v>
          </cell>
          <cell r="C648">
            <v>273</v>
          </cell>
          <cell r="G648">
            <v>-21851.88</v>
          </cell>
          <cell r="I648">
            <v>-42558.14</v>
          </cell>
        </row>
        <row r="649">
          <cell r="B649">
            <v>241</v>
          </cell>
          <cell r="C649">
            <v>711</v>
          </cell>
          <cell r="G649">
            <v>-139190.12</v>
          </cell>
          <cell r="I649">
            <v>-439392.11</v>
          </cell>
        </row>
        <row r="650">
          <cell r="B650">
            <v>241</v>
          </cell>
          <cell r="C650">
            <v>716</v>
          </cell>
          <cell r="G650">
            <v>-6995.83</v>
          </cell>
          <cell r="I650">
            <v>-20525.14</v>
          </cell>
        </row>
        <row r="651">
          <cell r="B651">
            <v>241</v>
          </cell>
          <cell r="C651">
            <v>721</v>
          </cell>
          <cell r="G651">
            <v>-23504.39</v>
          </cell>
          <cell r="I651">
            <v>-56975.49</v>
          </cell>
        </row>
        <row r="652">
          <cell r="B652">
            <v>241</v>
          </cell>
          <cell r="C652">
            <v>731</v>
          </cell>
          <cell r="G652">
            <v>-11069.53</v>
          </cell>
          <cell r="I652">
            <v>-23976.41</v>
          </cell>
        </row>
        <row r="653">
          <cell r="B653">
            <v>241</v>
          </cell>
          <cell r="C653">
            <v>732</v>
          </cell>
          <cell r="G653">
            <v>-1755.76</v>
          </cell>
          <cell r="I653">
            <v>-4363.08</v>
          </cell>
        </row>
        <row r="654">
          <cell r="B654">
            <v>241</v>
          </cell>
          <cell r="C654">
            <v>733</v>
          </cell>
          <cell r="G654">
            <v>-2660.68</v>
          </cell>
          <cell r="I654">
            <v>-13658.53</v>
          </cell>
        </row>
        <row r="655">
          <cell r="B655">
            <v>241</v>
          </cell>
          <cell r="C655">
            <v>735</v>
          </cell>
          <cell r="G655">
            <v>-4291.0600000000004</v>
          </cell>
          <cell r="I655">
            <v>-18040.82</v>
          </cell>
        </row>
        <row r="656">
          <cell r="B656">
            <v>241</v>
          </cell>
          <cell r="C656">
            <v>736</v>
          </cell>
          <cell r="G656">
            <v>-918.6</v>
          </cell>
          <cell r="I656">
            <v>-1170.81</v>
          </cell>
        </row>
        <row r="657">
          <cell r="B657">
            <v>241</v>
          </cell>
          <cell r="C657">
            <v>741</v>
          </cell>
          <cell r="G657">
            <v>-97512.76</v>
          </cell>
          <cell r="I657">
            <v>-300825.71000000002</v>
          </cell>
        </row>
        <row r="658">
          <cell r="B658">
            <v>241</v>
          </cell>
          <cell r="C658">
            <v>742</v>
          </cell>
          <cell r="G658">
            <v>-21460.23</v>
          </cell>
          <cell r="I658">
            <v>-51336.94</v>
          </cell>
        </row>
        <row r="659">
          <cell r="B659">
            <v>241</v>
          </cell>
          <cell r="C659">
            <v>743</v>
          </cell>
          <cell r="G659">
            <v>-52.92</v>
          </cell>
          <cell r="I659">
            <v>521.69000000000005</v>
          </cell>
        </row>
        <row r="660">
          <cell r="B660">
            <v>241</v>
          </cell>
          <cell r="C660">
            <v>744</v>
          </cell>
          <cell r="G660">
            <v>-41881.629999999997</v>
          </cell>
          <cell r="I660">
            <v>-110110.38</v>
          </cell>
        </row>
        <row r="661">
          <cell r="B661">
            <v>241</v>
          </cell>
          <cell r="C661">
            <v>745</v>
          </cell>
          <cell r="G661">
            <v>-65403.66</v>
          </cell>
          <cell r="I661">
            <v>-198678.9</v>
          </cell>
        </row>
        <row r="662">
          <cell r="B662">
            <v>241</v>
          </cell>
          <cell r="C662">
            <v>746</v>
          </cell>
          <cell r="G662">
            <v>-22403.95</v>
          </cell>
          <cell r="I662">
            <v>-38128.269999999997</v>
          </cell>
        </row>
        <row r="663">
          <cell r="B663">
            <v>241</v>
          </cell>
          <cell r="C663">
            <v>747</v>
          </cell>
          <cell r="G663">
            <v>-31246.43</v>
          </cell>
          <cell r="I663">
            <v>-79443.58</v>
          </cell>
        </row>
        <row r="664">
          <cell r="B664">
            <v>241</v>
          </cell>
          <cell r="C664">
            <v>751</v>
          </cell>
          <cell r="G664">
            <v>-11851.95</v>
          </cell>
          <cell r="I664">
            <v>-39015.660000000003</v>
          </cell>
        </row>
        <row r="665">
          <cell r="B665">
            <v>241</v>
          </cell>
          <cell r="C665">
            <v>752</v>
          </cell>
          <cell r="G665">
            <v>-313.70999999999998</v>
          </cell>
          <cell r="I665">
            <v>-1050.83</v>
          </cell>
        </row>
        <row r="666">
          <cell r="B666">
            <v>241</v>
          </cell>
          <cell r="C666">
            <v>753</v>
          </cell>
          <cell r="G666">
            <v>-940.32</v>
          </cell>
          <cell r="I666">
            <v>-3377.92</v>
          </cell>
        </row>
        <row r="667">
          <cell r="B667">
            <v>241</v>
          </cell>
          <cell r="C667">
            <v>761</v>
          </cell>
          <cell r="G667">
            <v>-39362.28</v>
          </cell>
          <cell r="I667">
            <v>-140968.67000000001</v>
          </cell>
        </row>
        <row r="668">
          <cell r="B668">
            <v>241</v>
          </cell>
          <cell r="C668">
            <v>762</v>
          </cell>
          <cell r="G668">
            <v>-658.46</v>
          </cell>
          <cell r="I668">
            <v>-1776.28</v>
          </cell>
        </row>
        <row r="669">
          <cell r="B669">
            <v>241</v>
          </cell>
          <cell r="C669">
            <v>771</v>
          </cell>
          <cell r="G669">
            <v>-26643.22</v>
          </cell>
          <cell r="I669">
            <v>-83196.13</v>
          </cell>
        </row>
        <row r="670">
          <cell r="B670">
            <v>241</v>
          </cell>
          <cell r="C670">
            <v>772</v>
          </cell>
          <cell r="G670">
            <v>-1830.64</v>
          </cell>
          <cell r="I670">
            <v>-15072.78</v>
          </cell>
        </row>
        <row r="671">
          <cell r="B671">
            <v>241</v>
          </cell>
          <cell r="C671">
            <v>773</v>
          </cell>
          <cell r="G671">
            <v>-1447.88</v>
          </cell>
          <cell r="I671">
            <v>-4344.34</v>
          </cell>
        </row>
        <row r="672">
          <cell r="B672">
            <v>241</v>
          </cell>
          <cell r="C672">
            <v>774</v>
          </cell>
          <cell r="G672">
            <v>-56541.3</v>
          </cell>
          <cell r="I672">
            <v>-169505.9</v>
          </cell>
        </row>
        <row r="673">
          <cell r="B673">
            <v>241</v>
          </cell>
          <cell r="C673">
            <v>775</v>
          </cell>
          <cell r="G673">
            <v>-765.32</v>
          </cell>
          <cell r="I673">
            <v>-2924.89</v>
          </cell>
        </row>
        <row r="674">
          <cell r="B674">
            <v>241</v>
          </cell>
          <cell r="C674">
            <v>776</v>
          </cell>
          <cell r="G674">
            <v>-1264.3800000000001</v>
          </cell>
          <cell r="I674">
            <v>-16414.7</v>
          </cell>
        </row>
        <row r="675">
          <cell r="B675">
            <v>242</v>
          </cell>
          <cell r="C675">
            <v>22</v>
          </cell>
          <cell r="G675">
            <v>-2478264.23</v>
          </cell>
          <cell r="I675">
            <v>-2478264.23</v>
          </cell>
        </row>
        <row r="676">
          <cell r="B676">
            <v>242</v>
          </cell>
          <cell r="C676">
            <v>44</v>
          </cell>
          <cell r="G676">
            <v>595367.27</v>
          </cell>
          <cell r="I676">
            <v>0</v>
          </cell>
        </row>
        <row r="677">
          <cell r="B677">
            <v>242</v>
          </cell>
          <cell r="C677">
            <v>111</v>
          </cell>
          <cell r="G677">
            <v>-17331</v>
          </cell>
          <cell r="I677">
            <v>-17331</v>
          </cell>
        </row>
        <row r="678">
          <cell r="B678">
            <v>242</v>
          </cell>
          <cell r="C678">
            <v>113</v>
          </cell>
          <cell r="G678">
            <v>-53992.59</v>
          </cell>
          <cell r="I678">
            <v>-53992.59</v>
          </cell>
        </row>
        <row r="679">
          <cell r="B679">
            <v>242</v>
          </cell>
          <cell r="C679">
            <v>118</v>
          </cell>
          <cell r="G679">
            <v>-130614</v>
          </cell>
          <cell r="I679">
            <v>-1349224</v>
          </cell>
        </row>
        <row r="680">
          <cell r="B680">
            <v>242</v>
          </cell>
          <cell r="C680">
            <v>125</v>
          </cell>
          <cell r="G680">
            <v>-158008</v>
          </cell>
          <cell r="I680">
            <v>-1293736</v>
          </cell>
        </row>
        <row r="681">
          <cell r="B681">
            <v>242</v>
          </cell>
          <cell r="C681">
            <v>129</v>
          </cell>
          <cell r="G681">
            <v>-817033</v>
          </cell>
          <cell r="I681">
            <v>-6434893</v>
          </cell>
        </row>
        <row r="682">
          <cell r="B682">
            <v>242</v>
          </cell>
          <cell r="C682">
            <v>138</v>
          </cell>
          <cell r="G682">
            <v>-693998.59</v>
          </cell>
          <cell r="I682">
            <v>-2058526.46</v>
          </cell>
        </row>
        <row r="683">
          <cell r="B683">
            <v>242</v>
          </cell>
          <cell r="C683">
            <v>251</v>
          </cell>
          <cell r="G683">
            <v>8120000</v>
          </cell>
          <cell r="I683">
            <v>0</v>
          </cell>
        </row>
        <row r="684">
          <cell r="B684">
            <v>242</v>
          </cell>
          <cell r="C684">
            <v>310</v>
          </cell>
          <cell r="G684">
            <v>-16470</v>
          </cell>
          <cell r="I684">
            <v>-81618.5</v>
          </cell>
        </row>
        <row r="685">
          <cell r="B685">
            <v>242</v>
          </cell>
          <cell r="C685">
            <v>600</v>
          </cell>
          <cell r="G685">
            <v>63263.64</v>
          </cell>
          <cell r="I685">
            <v>0</v>
          </cell>
        </row>
        <row r="686">
          <cell r="B686">
            <v>242</v>
          </cell>
          <cell r="C686">
            <v>880</v>
          </cell>
          <cell r="G686">
            <v>-8120000</v>
          </cell>
          <cell r="I686">
            <v>-8120000</v>
          </cell>
        </row>
        <row r="687">
          <cell r="B687">
            <v>242</v>
          </cell>
          <cell r="C687">
            <v>905</v>
          </cell>
          <cell r="G687">
            <v>2101202.89</v>
          </cell>
          <cell r="I687">
            <v>0</v>
          </cell>
        </row>
        <row r="688">
          <cell r="B688">
            <v>242</v>
          </cell>
          <cell r="C688">
            <v>912</v>
          </cell>
          <cell r="G688">
            <v>1221996.97</v>
          </cell>
          <cell r="I688">
            <v>0</v>
          </cell>
        </row>
        <row r="689">
          <cell r="B689">
            <v>242</v>
          </cell>
          <cell r="C689">
            <v>921</v>
          </cell>
          <cell r="G689">
            <v>863115</v>
          </cell>
          <cell r="I689">
            <v>0</v>
          </cell>
        </row>
        <row r="690">
          <cell r="B690">
            <v>242</v>
          </cell>
          <cell r="C690">
            <v>935</v>
          </cell>
          <cell r="G690">
            <v>17519.79</v>
          </cell>
          <cell r="I690">
            <v>0</v>
          </cell>
        </row>
        <row r="691">
          <cell r="B691">
            <v>242</v>
          </cell>
          <cell r="C691">
            <v>936</v>
          </cell>
          <cell r="G691">
            <v>53596.09</v>
          </cell>
          <cell r="I691">
            <v>0</v>
          </cell>
        </row>
        <row r="692">
          <cell r="B692">
            <v>242</v>
          </cell>
          <cell r="C692">
            <v>999</v>
          </cell>
          <cell r="G692">
            <v>-1281883.43</v>
          </cell>
          <cell r="I692">
            <v>-1281883.43</v>
          </cell>
        </row>
        <row r="693">
          <cell r="B693">
            <v>242</v>
          </cell>
          <cell r="C693">
            <v>1020</v>
          </cell>
          <cell r="G693">
            <v>-910112</v>
          </cell>
          <cell r="I693">
            <v>-910112</v>
          </cell>
        </row>
        <row r="694">
          <cell r="B694">
            <v>244</v>
          </cell>
          <cell r="C694">
            <v>100</v>
          </cell>
          <cell r="G694">
            <v>253.1</v>
          </cell>
          <cell r="I694">
            <v>0</v>
          </cell>
        </row>
        <row r="695">
          <cell r="B695">
            <v>244</v>
          </cell>
          <cell r="C695">
            <v>1130</v>
          </cell>
          <cell r="G695">
            <v>-107.15</v>
          </cell>
          <cell r="I695">
            <v>-107.15</v>
          </cell>
        </row>
        <row r="696">
          <cell r="B696">
            <v>245</v>
          </cell>
          <cell r="C696">
            <v>100</v>
          </cell>
          <cell r="G696">
            <v>9441967.5199999996</v>
          </cell>
          <cell r="I696">
            <v>0</v>
          </cell>
        </row>
        <row r="697">
          <cell r="B697">
            <v>245</v>
          </cell>
          <cell r="C697">
            <v>200</v>
          </cell>
          <cell r="G697">
            <v>4446944.6399999997</v>
          </cell>
          <cell r="I697">
            <v>0</v>
          </cell>
        </row>
        <row r="698">
          <cell r="B698">
            <v>245</v>
          </cell>
          <cell r="C698">
            <v>1707</v>
          </cell>
          <cell r="G698">
            <v>-615078</v>
          </cell>
          <cell r="I698">
            <v>-615078</v>
          </cell>
        </row>
        <row r="699">
          <cell r="B699">
            <v>245</v>
          </cell>
          <cell r="C699">
            <v>2110</v>
          </cell>
          <cell r="G699">
            <v>-10366414.890000001</v>
          </cell>
          <cell r="I699">
            <v>-10366414.890000001</v>
          </cell>
        </row>
        <row r="700">
          <cell r="B700">
            <v>245</v>
          </cell>
          <cell r="C700">
            <v>6110</v>
          </cell>
          <cell r="G700">
            <v>-4931981.2300000004</v>
          </cell>
          <cell r="I700">
            <v>-4931981.2300000004</v>
          </cell>
        </row>
        <row r="701">
          <cell r="B701">
            <v>253</v>
          </cell>
          <cell r="C701">
            <v>301</v>
          </cell>
          <cell r="G701">
            <v>-540660.42000000004</v>
          </cell>
          <cell r="I701">
            <v>-10427656.550000001</v>
          </cell>
        </row>
        <row r="702">
          <cell r="B702">
            <v>253</v>
          </cell>
          <cell r="C702">
            <v>302</v>
          </cell>
          <cell r="G702">
            <v>-27458.67</v>
          </cell>
          <cell r="I702">
            <v>-3712971.86</v>
          </cell>
        </row>
        <row r="703">
          <cell r="B703">
            <v>253</v>
          </cell>
          <cell r="C703">
            <v>305</v>
          </cell>
          <cell r="G703">
            <v>-501.47</v>
          </cell>
          <cell r="I703">
            <v>-8198.73</v>
          </cell>
        </row>
        <row r="704">
          <cell r="B704">
            <v>253</v>
          </cell>
          <cell r="C704">
            <v>306</v>
          </cell>
          <cell r="G704">
            <v>-186.08</v>
          </cell>
          <cell r="I704">
            <v>-186.08</v>
          </cell>
        </row>
        <row r="705">
          <cell r="B705">
            <v>253</v>
          </cell>
          <cell r="C705">
            <v>307</v>
          </cell>
          <cell r="G705">
            <v>-63082.25</v>
          </cell>
          <cell r="I705">
            <v>-63082.25</v>
          </cell>
        </row>
        <row r="706">
          <cell r="B706">
            <v>253</v>
          </cell>
          <cell r="C706">
            <v>326</v>
          </cell>
          <cell r="G706">
            <v>-351174.05</v>
          </cell>
          <cell r="I706">
            <v>-4493010.3499999996</v>
          </cell>
        </row>
        <row r="707">
          <cell r="B707">
            <v>253</v>
          </cell>
          <cell r="C707">
            <v>328</v>
          </cell>
          <cell r="G707">
            <v>0</v>
          </cell>
          <cell r="I707">
            <v>-280433.13</v>
          </cell>
        </row>
        <row r="708">
          <cell r="B708">
            <v>253</v>
          </cell>
          <cell r="C708">
            <v>329</v>
          </cell>
          <cell r="G708">
            <v>-53860.78</v>
          </cell>
          <cell r="I708">
            <v>-1241014.03</v>
          </cell>
        </row>
        <row r="709">
          <cell r="B709">
            <v>253</v>
          </cell>
          <cell r="C709">
            <v>330</v>
          </cell>
          <cell r="G709">
            <v>0</v>
          </cell>
          <cell r="I709">
            <v>-5626.63</v>
          </cell>
        </row>
        <row r="710">
          <cell r="B710">
            <v>253</v>
          </cell>
          <cell r="C710">
            <v>331</v>
          </cell>
          <cell r="G710">
            <v>-1764363.09</v>
          </cell>
          <cell r="I710">
            <v>-43128552.140000001</v>
          </cell>
        </row>
        <row r="711">
          <cell r="B711">
            <v>253</v>
          </cell>
          <cell r="C711">
            <v>333</v>
          </cell>
          <cell r="G711">
            <v>-447215.01</v>
          </cell>
          <cell r="I711">
            <v>-9915766.4900000002</v>
          </cell>
        </row>
        <row r="712">
          <cell r="B712">
            <v>253</v>
          </cell>
          <cell r="C712">
            <v>334</v>
          </cell>
          <cell r="G712">
            <v>-32074.38</v>
          </cell>
          <cell r="I712">
            <v>-4319778.4800000004</v>
          </cell>
        </row>
        <row r="713">
          <cell r="B713">
            <v>253</v>
          </cell>
          <cell r="C713">
            <v>338</v>
          </cell>
          <cell r="G713">
            <v>0</v>
          </cell>
          <cell r="I713">
            <v>-276762</v>
          </cell>
        </row>
        <row r="714">
          <cell r="B714">
            <v>253</v>
          </cell>
          <cell r="C714">
            <v>341</v>
          </cell>
          <cell r="G714">
            <v>-461647.93</v>
          </cell>
          <cell r="I714">
            <v>-10566871.9</v>
          </cell>
        </row>
        <row r="715">
          <cell r="B715">
            <v>253</v>
          </cell>
          <cell r="C715">
            <v>342</v>
          </cell>
          <cell r="G715">
            <v>-24017.77</v>
          </cell>
          <cell r="I715">
            <v>-580008.72</v>
          </cell>
        </row>
        <row r="716">
          <cell r="B716">
            <v>253</v>
          </cell>
          <cell r="C716">
            <v>344</v>
          </cell>
          <cell r="G716">
            <v>-17390.330000000002</v>
          </cell>
          <cell r="I716">
            <v>-20213.54</v>
          </cell>
        </row>
        <row r="717">
          <cell r="B717">
            <v>253</v>
          </cell>
          <cell r="C717">
            <v>345</v>
          </cell>
          <cell r="G717">
            <v>0</v>
          </cell>
          <cell r="I717">
            <v>-60249.75</v>
          </cell>
        </row>
        <row r="718">
          <cell r="B718">
            <v>253</v>
          </cell>
          <cell r="C718">
            <v>346</v>
          </cell>
          <cell r="G718">
            <v>0</v>
          </cell>
          <cell r="I718">
            <v>-21203.1</v>
          </cell>
        </row>
        <row r="719">
          <cell r="B719">
            <v>253</v>
          </cell>
          <cell r="C719">
            <v>362</v>
          </cell>
          <cell r="G719">
            <v>-835714.7</v>
          </cell>
          <cell r="I719">
            <v>-835714.7</v>
          </cell>
        </row>
        <row r="720">
          <cell r="B720">
            <v>253</v>
          </cell>
          <cell r="C720">
            <v>364</v>
          </cell>
          <cell r="G720">
            <v>-40250</v>
          </cell>
          <cell r="I720">
            <v>-40250</v>
          </cell>
        </row>
        <row r="721">
          <cell r="B721">
            <v>253</v>
          </cell>
          <cell r="C721">
            <v>380</v>
          </cell>
          <cell r="G721">
            <v>-3648.14</v>
          </cell>
          <cell r="I721">
            <v>-3648.14</v>
          </cell>
        </row>
        <row r="722">
          <cell r="B722">
            <v>253</v>
          </cell>
          <cell r="C722">
            <v>390</v>
          </cell>
          <cell r="G722">
            <v>-300</v>
          </cell>
          <cell r="I722">
            <v>-300</v>
          </cell>
        </row>
        <row r="723">
          <cell r="B723">
            <v>253</v>
          </cell>
          <cell r="C723">
            <v>415</v>
          </cell>
          <cell r="G723">
            <v>0</v>
          </cell>
          <cell r="I723">
            <v>-265308</v>
          </cell>
        </row>
        <row r="724">
          <cell r="B724">
            <v>253</v>
          </cell>
          <cell r="C724">
            <v>524</v>
          </cell>
          <cell r="G724">
            <v>-62533.1</v>
          </cell>
          <cell r="I724">
            <v>-146520.22</v>
          </cell>
        </row>
        <row r="725">
          <cell r="B725">
            <v>253</v>
          </cell>
          <cell r="C725">
            <v>540</v>
          </cell>
          <cell r="G725">
            <v>0</v>
          </cell>
          <cell r="I725">
            <v>-72260.42</v>
          </cell>
        </row>
        <row r="726">
          <cell r="B726">
            <v>253</v>
          </cell>
          <cell r="C726">
            <v>543</v>
          </cell>
          <cell r="G726">
            <v>0</v>
          </cell>
          <cell r="I726">
            <v>-93759.14</v>
          </cell>
        </row>
        <row r="727">
          <cell r="B727">
            <v>253</v>
          </cell>
          <cell r="C727">
            <v>544</v>
          </cell>
          <cell r="G727">
            <v>0</v>
          </cell>
          <cell r="I727">
            <v>-156004.32</v>
          </cell>
        </row>
        <row r="728">
          <cell r="B728">
            <v>253</v>
          </cell>
          <cell r="C728">
            <v>545</v>
          </cell>
          <cell r="G728">
            <v>0</v>
          </cell>
          <cell r="I728">
            <v>-106907.91</v>
          </cell>
        </row>
        <row r="729">
          <cell r="B729">
            <v>253</v>
          </cell>
          <cell r="C729">
            <v>550</v>
          </cell>
          <cell r="G729">
            <v>94749</v>
          </cell>
          <cell r="I729">
            <v>0</v>
          </cell>
        </row>
        <row r="730">
          <cell r="B730">
            <v>253</v>
          </cell>
          <cell r="C730">
            <v>551</v>
          </cell>
          <cell r="G730">
            <v>16089.56</v>
          </cell>
          <cell r="I730">
            <v>-32046.25</v>
          </cell>
        </row>
        <row r="731">
          <cell r="B731">
            <v>253</v>
          </cell>
          <cell r="C731">
            <v>552</v>
          </cell>
          <cell r="G731">
            <v>0</v>
          </cell>
          <cell r="I731">
            <v>-94638.34</v>
          </cell>
        </row>
        <row r="732">
          <cell r="B732">
            <v>253</v>
          </cell>
          <cell r="C732">
            <v>556</v>
          </cell>
          <cell r="G732">
            <v>0</v>
          </cell>
          <cell r="I732">
            <v>-15318.43</v>
          </cell>
        </row>
        <row r="733">
          <cell r="B733">
            <v>253</v>
          </cell>
          <cell r="C733">
            <v>557</v>
          </cell>
          <cell r="G733">
            <v>0</v>
          </cell>
          <cell r="I733">
            <v>-13473.48</v>
          </cell>
        </row>
        <row r="734">
          <cell r="B734">
            <v>253</v>
          </cell>
          <cell r="C734">
            <v>561</v>
          </cell>
          <cell r="G734">
            <v>99527.98</v>
          </cell>
          <cell r="I734">
            <v>-204949.96</v>
          </cell>
        </row>
        <row r="735">
          <cell r="B735">
            <v>253</v>
          </cell>
          <cell r="C735">
            <v>562</v>
          </cell>
          <cell r="G735">
            <v>0</v>
          </cell>
          <cell r="I735">
            <v>-323156.96999999997</v>
          </cell>
        </row>
        <row r="736">
          <cell r="B736">
            <v>253</v>
          </cell>
          <cell r="C736">
            <v>566</v>
          </cell>
          <cell r="G736">
            <v>0</v>
          </cell>
          <cell r="I736">
            <v>-107286.41</v>
          </cell>
        </row>
        <row r="737">
          <cell r="B737">
            <v>253</v>
          </cell>
          <cell r="C737">
            <v>567</v>
          </cell>
          <cell r="G737">
            <v>18716.2</v>
          </cell>
          <cell r="I737">
            <v>-37277.839999999997</v>
          </cell>
        </row>
        <row r="738">
          <cell r="B738">
            <v>253</v>
          </cell>
          <cell r="C738">
            <v>568</v>
          </cell>
          <cell r="G738">
            <v>0</v>
          </cell>
          <cell r="I738">
            <v>-52476.67</v>
          </cell>
        </row>
        <row r="739">
          <cell r="B739">
            <v>253</v>
          </cell>
          <cell r="C739">
            <v>570</v>
          </cell>
          <cell r="G739">
            <v>3873558.82</v>
          </cell>
          <cell r="I739">
            <v>0</v>
          </cell>
        </row>
        <row r="740">
          <cell r="B740">
            <v>253</v>
          </cell>
          <cell r="C740">
            <v>640</v>
          </cell>
          <cell r="G740">
            <v>-3827.1</v>
          </cell>
          <cell r="I740">
            <v>-142748.38</v>
          </cell>
        </row>
        <row r="741">
          <cell r="B741">
            <v>253</v>
          </cell>
          <cell r="C741">
            <v>643</v>
          </cell>
          <cell r="G741">
            <v>-2827.1</v>
          </cell>
          <cell r="I741">
            <v>-100678.23</v>
          </cell>
        </row>
        <row r="742">
          <cell r="B742">
            <v>253</v>
          </cell>
          <cell r="C742">
            <v>644</v>
          </cell>
          <cell r="G742">
            <v>-3827.1</v>
          </cell>
          <cell r="I742">
            <v>-196294.82</v>
          </cell>
        </row>
        <row r="743">
          <cell r="B743">
            <v>253</v>
          </cell>
          <cell r="C743">
            <v>645</v>
          </cell>
          <cell r="G743">
            <v>-3827.1</v>
          </cell>
          <cell r="I743">
            <v>-200634.69</v>
          </cell>
        </row>
        <row r="744">
          <cell r="B744">
            <v>253</v>
          </cell>
          <cell r="C744">
            <v>662</v>
          </cell>
          <cell r="G744">
            <v>0</v>
          </cell>
          <cell r="I744">
            <v>-58359.86</v>
          </cell>
        </row>
        <row r="745">
          <cell r="B745">
            <v>253</v>
          </cell>
          <cell r="C745">
            <v>710</v>
          </cell>
          <cell r="G745">
            <v>7761720.3399999999</v>
          </cell>
          <cell r="I745">
            <v>0</v>
          </cell>
        </row>
        <row r="746">
          <cell r="B746">
            <v>253</v>
          </cell>
          <cell r="C746">
            <v>711</v>
          </cell>
          <cell r="G746">
            <v>156811.07999999999</v>
          </cell>
          <cell r="I746">
            <v>0</v>
          </cell>
        </row>
        <row r="747">
          <cell r="B747">
            <v>253</v>
          </cell>
          <cell r="C747">
            <v>712</v>
          </cell>
          <cell r="G747">
            <v>6909317</v>
          </cell>
          <cell r="I747">
            <v>0</v>
          </cell>
        </row>
        <row r="748">
          <cell r="B748">
            <v>253</v>
          </cell>
          <cell r="C748">
            <v>736</v>
          </cell>
          <cell r="G748">
            <v>-3944139.69</v>
          </cell>
          <cell r="I748">
            <v>-3944139.69</v>
          </cell>
        </row>
        <row r="749">
          <cell r="B749">
            <v>253</v>
          </cell>
          <cell r="C749">
            <v>750</v>
          </cell>
          <cell r="G749">
            <v>86531</v>
          </cell>
          <cell r="I749">
            <v>0</v>
          </cell>
        </row>
        <row r="750">
          <cell r="B750">
            <v>253</v>
          </cell>
          <cell r="C750">
            <v>901</v>
          </cell>
          <cell r="G750">
            <v>65223273</v>
          </cell>
          <cell r="I750">
            <v>0</v>
          </cell>
        </row>
        <row r="751">
          <cell r="B751">
            <v>253</v>
          </cell>
          <cell r="C751">
            <v>902</v>
          </cell>
          <cell r="G751">
            <v>-65223273</v>
          </cell>
          <cell r="I751">
            <v>-65223273</v>
          </cell>
        </row>
        <row r="752">
          <cell r="B752">
            <v>253</v>
          </cell>
          <cell r="C752">
            <v>905</v>
          </cell>
          <cell r="G752">
            <v>848571.84</v>
          </cell>
          <cell r="I752">
            <v>0</v>
          </cell>
        </row>
        <row r="753">
          <cell r="B753">
            <v>253</v>
          </cell>
          <cell r="C753">
            <v>915</v>
          </cell>
          <cell r="G753">
            <v>3648.14</v>
          </cell>
          <cell r="I753">
            <v>0</v>
          </cell>
        </row>
        <row r="754">
          <cell r="B754">
            <v>253</v>
          </cell>
          <cell r="C754">
            <v>916</v>
          </cell>
          <cell r="G754">
            <v>300</v>
          </cell>
          <cell r="I754">
            <v>0</v>
          </cell>
        </row>
        <row r="755">
          <cell r="B755">
            <v>253</v>
          </cell>
          <cell r="C755">
            <v>932</v>
          </cell>
          <cell r="G755">
            <v>42000</v>
          </cell>
          <cell r="I755">
            <v>0</v>
          </cell>
        </row>
        <row r="756">
          <cell r="B756">
            <v>253</v>
          </cell>
          <cell r="C756">
            <v>949</v>
          </cell>
          <cell r="G756">
            <v>13150</v>
          </cell>
          <cell r="I756">
            <v>-144624</v>
          </cell>
        </row>
        <row r="757">
          <cell r="B757">
            <v>253</v>
          </cell>
          <cell r="C757">
            <v>989</v>
          </cell>
          <cell r="G757">
            <v>-86531</v>
          </cell>
          <cell r="I757">
            <v>-86531</v>
          </cell>
        </row>
        <row r="758">
          <cell r="B758">
            <v>253</v>
          </cell>
          <cell r="C758">
            <v>1950</v>
          </cell>
          <cell r="G758">
            <v>-12043709.82</v>
          </cell>
          <cell r="I758">
            <v>-12043709.82</v>
          </cell>
        </row>
        <row r="759">
          <cell r="B759">
            <v>253</v>
          </cell>
          <cell r="C759">
            <v>1953</v>
          </cell>
          <cell r="G759">
            <v>10803.99</v>
          </cell>
          <cell r="I759">
            <v>-40802.28</v>
          </cell>
        </row>
        <row r="760">
          <cell r="B760">
            <v>253</v>
          </cell>
          <cell r="C760">
            <v>1954</v>
          </cell>
          <cell r="G760">
            <v>3634.4</v>
          </cell>
          <cell r="I760">
            <v>-14543.24</v>
          </cell>
        </row>
        <row r="761">
          <cell r="B761">
            <v>253</v>
          </cell>
          <cell r="C761">
            <v>1956</v>
          </cell>
          <cell r="G761">
            <v>29666.17</v>
          </cell>
          <cell r="I761">
            <v>-195544.17</v>
          </cell>
        </row>
        <row r="762">
          <cell r="B762">
            <v>253</v>
          </cell>
          <cell r="C762">
            <v>30950</v>
          </cell>
          <cell r="G762">
            <v>8141239.8799999999</v>
          </cell>
          <cell r="I762">
            <v>0</v>
          </cell>
        </row>
        <row r="763">
          <cell r="B763">
            <v>254</v>
          </cell>
          <cell r="C763">
            <v>109</v>
          </cell>
          <cell r="G763">
            <v>0.01</v>
          </cell>
          <cell r="I763">
            <v>0</v>
          </cell>
        </row>
        <row r="764">
          <cell r="B764">
            <v>254</v>
          </cell>
          <cell r="C764">
            <v>110</v>
          </cell>
          <cell r="G764">
            <v>76732.61</v>
          </cell>
          <cell r="I764">
            <v>0</v>
          </cell>
        </row>
        <row r="765">
          <cell r="B765">
            <v>254</v>
          </cell>
          <cell r="C765">
            <v>111</v>
          </cell>
          <cell r="G765">
            <v>113676.22</v>
          </cell>
          <cell r="I765">
            <v>0</v>
          </cell>
        </row>
        <row r="766">
          <cell r="B766">
            <v>254</v>
          </cell>
          <cell r="C766">
            <v>112</v>
          </cell>
          <cell r="G766">
            <v>264194.69</v>
          </cell>
          <cell r="I766">
            <v>0</v>
          </cell>
        </row>
        <row r="767">
          <cell r="B767">
            <v>254</v>
          </cell>
          <cell r="C767">
            <v>113</v>
          </cell>
          <cell r="G767">
            <v>244342.38</v>
          </cell>
          <cell r="I767">
            <v>0</v>
          </cell>
        </row>
        <row r="768">
          <cell r="B768">
            <v>254</v>
          </cell>
          <cell r="C768">
            <v>114</v>
          </cell>
          <cell r="G768">
            <v>171715.33</v>
          </cell>
          <cell r="I768">
            <v>0</v>
          </cell>
        </row>
        <row r="769">
          <cell r="B769">
            <v>254</v>
          </cell>
          <cell r="C769">
            <v>127</v>
          </cell>
          <cell r="G769">
            <v>-171715.33</v>
          </cell>
          <cell r="I769">
            <v>-171715.33</v>
          </cell>
        </row>
        <row r="770">
          <cell r="B770">
            <v>254</v>
          </cell>
          <cell r="C770">
            <v>200</v>
          </cell>
          <cell r="G770">
            <v>-312.88</v>
          </cell>
          <cell r="I770">
            <v>-5987264.5800000001</v>
          </cell>
        </row>
        <row r="771">
          <cell r="B771">
            <v>254</v>
          </cell>
          <cell r="C771">
            <v>201</v>
          </cell>
          <cell r="G771">
            <v>78154.8</v>
          </cell>
          <cell r="I771">
            <v>-5346494.7699999996</v>
          </cell>
        </row>
        <row r="772">
          <cell r="B772">
            <v>254</v>
          </cell>
          <cell r="C772">
            <v>309</v>
          </cell>
          <cell r="G772">
            <v>6394.38</v>
          </cell>
          <cell r="I772">
            <v>6394.38</v>
          </cell>
        </row>
        <row r="773">
          <cell r="B773">
            <v>254</v>
          </cell>
          <cell r="C773">
            <v>310</v>
          </cell>
          <cell r="G773">
            <v>-76732.61</v>
          </cell>
          <cell r="I773">
            <v>-76732.61</v>
          </cell>
        </row>
        <row r="774">
          <cell r="B774">
            <v>254</v>
          </cell>
          <cell r="C774">
            <v>311</v>
          </cell>
          <cell r="G774">
            <v>-113676.22</v>
          </cell>
          <cell r="I774">
            <v>-113676.22</v>
          </cell>
        </row>
        <row r="775">
          <cell r="B775">
            <v>254</v>
          </cell>
          <cell r="C775">
            <v>312</v>
          </cell>
          <cell r="G775">
            <v>-264194.69</v>
          </cell>
          <cell r="I775">
            <v>-264194.69</v>
          </cell>
        </row>
        <row r="776">
          <cell r="B776">
            <v>254</v>
          </cell>
          <cell r="C776">
            <v>313</v>
          </cell>
          <cell r="G776">
            <v>-244342.38</v>
          </cell>
          <cell r="I776">
            <v>-244342.38</v>
          </cell>
        </row>
        <row r="777">
          <cell r="B777">
            <v>254</v>
          </cell>
          <cell r="C777">
            <v>315</v>
          </cell>
          <cell r="G777">
            <v>0</v>
          </cell>
          <cell r="I777">
            <v>-110419.23</v>
          </cell>
        </row>
        <row r="778">
          <cell r="B778">
            <v>254</v>
          </cell>
          <cell r="C778">
            <v>316</v>
          </cell>
          <cell r="G778">
            <v>0</v>
          </cell>
          <cell r="I778">
            <v>-4229.2700000000004</v>
          </cell>
        </row>
        <row r="779">
          <cell r="B779">
            <v>254</v>
          </cell>
          <cell r="C779">
            <v>450</v>
          </cell>
          <cell r="G779">
            <v>426.01</v>
          </cell>
          <cell r="I779">
            <v>0</v>
          </cell>
        </row>
        <row r="780">
          <cell r="B780">
            <v>254</v>
          </cell>
          <cell r="C780">
            <v>500</v>
          </cell>
          <cell r="G780">
            <v>11727003.73</v>
          </cell>
          <cell r="I780">
            <v>0</v>
          </cell>
        </row>
        <row r="781">
          <cell r="B781">
            <v>254</v>
          </cell>
          <cell r="C781">
            <v>501</v>
          </cell>
          <cell r="G781">
            <v>1510805</v>
          </cell>
          <cell r="I781">
            <v>0</v>
          </cell>
        </row>
        <row r="782">
          <cell r="B782">
            <v>254</v>
          </cell>
          <cell r="C782">
            <v>503</v>
          </cell>
          <cell r="G782">
            <v>1272569.44</v>
          </cell>
          <cell r="I782">
            <v>0</v>
          </cell>
        </row>
        <row r="783">
          <cell r="B783">
            <v>254</v>
          </cell>
          <cell r="C783">
            <v>510</v>
          </cell>
          <cell r="G783">
            <v>142198.16</v>
          </cell>
          <cell r="I783">
            <v>0</v>
          </cell>
        </row>
        <row r="784">
          <cell r="B784">
            <v>254</v>
          </cell>
          <cell r="C784">
            <v>512</v>
          </cell>
          <cell r="G784">
            <v>27507.27</v>
          </cell>
          <cell r="I784">
            <v>-20112.75</v>
          </cell>
        </row>
        <row r="785">
          <cell r="B785">
            <v>254</v>
          </cell>
          <cell r="C785">
            <v>561</v>
          </cell>
          <cell r="G785">
            <v>-49662.05</v>
          </cell>
          <cell r="I785">
            <v>-49662.05</v>
          </cell>
        </row>
        <row r="786">
          <cell r="B786">
            <v>254</v>
          </cell>
          <cell r="C786">
            <v>600</v>
          </cell>
          <cell r="G786">
            <v>11479482.710000001</v>
          </cell>
          <cell r="I786">
            <v>0</v>
          </cell>
        </row>
        <row r="787">
          <cell r="B787">
            <v>254</v>
          </cell>
          <cell r="C787">
            <v>660</v>
          </cell>
          <cell r="G787">
            <v>-7619.16</v>
          </cell>
          <cell r="I787">
            <v>0</v>
          </cell>
        </row>
        <row r="788">
          <cell r="B788">
            <v>254</v>
          </cell>
          <cell r="C788">
            <v>670</v>
          </cell>
          <cell r="G788">
            <v>-21762.1</v>
          </cell>
          <cell r="I788">
            <v>0</v>
          </cell>
        </row>
        <row r="789">
          <cell r="B789">
            <v>254</v>
          </cell>
          <cell r="C789">
            <v>680</v>
          </cell>
          <cell r="G789">
            <v>-15452</v>
          </cell>
          <cell r="I789">
            <v>0</v>
          </cell>
        </row>
        <row r="790">
          <cell r="B790">
            <v>254</v>
          </cell>
          <cell r="C790">
            <v>817</v>
          </cell>
          <cell r="G790">
            <v>-94319.77</v>
          </cell>
          <cell r="I790">
            <v>-94319.77</v>
          </cell>
        </row>
        <row r="791">
          <cell r="B791">
            <v>254</v>
          </cell>
          <cell r="C791">
            <v>818</v>
          </cell>
          <cell r="G791">
            <v>-134128.20000000001</v>
          </cell>
          <cell r="I791">
            <v>-134128.20000000001</v>
          </cell>
        </row>
        <row r="792">
          <cell r="B792">
            <v>254</v>
          </cell>
          <cell r="C792">
            <v>917</v>
          </cell>
          <cell r="G792">
            <v>101711.08</v>
          </cell>
          <cell r="I792">
            <v>0</v>
          </cell>
        </row>
        <row r="793">
          <cell r="B793">
            <v>254</v>
          </cell>
          <cell r="C793">
            <v>918</v>
          </cell>
          <cell r="G793">
            <v>145275</v>
          </cell>
          <cell r="I793">
            <v>0</v>
          </cell>
        </row>
        <row r="794">
          <cell r="B794">
            <v>254</v>
          </cell>
          <cell r="C794">
            <v>922</v>
          </cell>
          <cell r="G794">
            <v>-517206</v>
          </cell>
          <cell r="I794">
            <v>-3773427</v>
          </cell>
        </row>
        <row r="795">
          <cell r="B795">
            <v>254</v>
          </cell>
          <cell r="C795">
            <v>923</v>
          </cell>
          <cell r="G795">
            <v>686217</v>
          </cell>
          <cell r="I795">
            <v>-2614847</v>
          </cell>
        </row>
        <row r="796">
          <cell r="B796">
            <v>254</v>
          </cell>
          <cell r="C796">
            <v>927</v>
          </cell>
          <cell r="G796">
            <v>880301.16</v>
          </cell>
          <cell r="I796">
            <v>-3354410.73</v>
          </cell>
        </row>
        <row r="797">
          <cell r="B797">
            <v>254</v>
          </cell>
          <cell r="C797">
            <v>5110</v>
          </cell>
          <cell r="G797">
            <v>-11511853.57</v>
          </cell>
          <cell r="I797">
            <v>-11511853.57</v>
          </cell>
        </row>
        <row r="798">
          <cell r="B798">
            <v>254</v>
          </cell>
          <cell r="C798">
            <v>5150</v>
          </cell>
          <cell r="G798">
            <v>7619.16</v>
          </cell>
          <cell r="I798">
            <v>7619.16</v>
          </cell>
        </row>
        <row r="799">
          <cell r="B799">
            <v>254</v>
          </cell>
          <cell r="C799">
            <v>5160</v>
          </cell>
          <cell r="G799">
            <v>21762.1</v>
          </cell>
          <cell r="I799">
            <v>21762.1</v>
          </cell>
        </row>
        <row r="800">
          <cell r="B800">
            <v>254</v>
          </cell>
          <cell r="C800">
            <v>5190</v>
          </cell>
          <cell r="G800">
            <v>15452</v>
          </cell>
          <cell r="I800">
            <v>15452</v>
          </cell>
        </row>
        <row r="801">
          <cell r="B801">
            <v>254</v>
          </cell>
          <cell r="C801">
            <v>30660</v>
          </cell>
          <cell r="G801">
            <v>-4654195</v>
          </cell>
          <cell r="I801">
            <v>-4654195</v>
          </cell>
        </row>
        <row r="802">
          <cell r="B802">
            <v>254</v>
          </cell>
          <cell r="C802">
            <v>30710</v>
          </cell>
          <cell r="G802">
            <v>-10971603.65</v>
          </cell>
          <cell r="I802">
            <v>-10971603.65</v>
          </cell>
        </row>
        <row r="803">
          <cell r="B803">
            <v>254</v>
          </cell>
          <cell r="C803">
            <v>30712</v>
          </cell>
          <cell r="G803">
            <v>-1567573.18</v>
          </cell>
          <cell r="I803">
            <v>-1567573.18</v>
          </cell>
        </row>
        <row r="804">
          <cell r="B804">
            <v>255</v>
          </cell>
          <cell r="C804">
            <v>101</v>
          </cell>
          <cell r="G804">
            <v>0</v>
          </cell>
          <cell r="I804">
            <v>3970908</v>
          </cell>
        </row>
        <row r="805">
          <cell r="B805">
            <v>255</v>
          </cell>
          <cell r="C805">
            <v>102</v>
          </cell>
          <cell r="G805">
            <v>465</v>
          </cell>
          <cell r="I805">
            <v>5285460</v>
          </cell>
        </row>
        <row r="806">
          <cell r="B806">
            <v>255</v>
          </cell>
          <cell r="C806">
            <v>103</v>
          </cell>
          <cell r="G806">
            <v>0</v>
          </cell>
          <cell r="I806">
            <v>124076</v>
          </cell>
        </row>
        <row r="807">
          <cell r="B807">
            <v>255</v>
          </cell>
          <cell r="C807">
            <v>104</v>
          </cell>
          <cell r="G807">
            <v>54074</v>
          </cell>
          <cell r="I807">
            <v>18852820</v>
          </cell>
        </row>
        <row r="808">
          <cell r="B808">
            <v>255</v>
          </cell>
          <cell r="C808">
            <v>105</v>
          </cell>
          <cell r="G808">
            <v>79043</v>
          </cell>
          <cell r="I808">
            <v>32030806</v>
          </cell>
        </row>
        <row r="809">
          <cell r="B809">
            <v>255</v>
          </cell>
          <cell r="C809">
            <v>201</v>
          </cell>
          <cell r="G809">
            <v>0</v>
          </cell>
          <cell r="I809">
            <v>-3970908</v>
          </cell>
        </row>
        <row r="810">
          <cell r="B810">
            <v>255</v>
          </cell>
          <cell r="C810">
            <v>202</v>
          </cell>
          <cell r="G810">
            <v>0</v>
          </cell>
          <cell r="I810">
            <v>-5289351</v>
          </cell>
        </row>
        <row r="811">
          <cell r="B811">
            <v>255</v>
          </cell>
          <cell r="C811">
            <v>203</v>
          </cell>
          <cell r="G811">
            <v>0</v>
          </cell>
          <cell r="I811">
            <v>-124076</v>
          </cell>
        </row>
        <row r="812">
          <cell r="B812">
            <v>255</v>
          </cell>
          <cell r="C812">
            <v>204</v>
          </cell>
          <cell r="G812">
            <v>0</v>
          </cell>
          <cell r="I812">
            <v>-23958555</v>
          </cell>
        </row>
        <row r="813">
          <cell r="B813">
            <v>255</v>
          </cell>
          <cell r="C813">
            <v>205</v>
          </cell>
          <cell r="G813">
            <v>0</v>
          </cell>
          <cell r="I813">
            <v>-36440014</v>
          </cell>
        </row>
        <row r="814">
          <cell r="B814">
            <v>255</v>
          </cell>
          <cell r="C814">
            <v>301</v>
          </cell>
          <cell r="G814">
            <v>0</v>
          </cell>
          <cell r="I814">
            <v>-78424</v>
          </cell>
        </row>
        <row r="815">
          <cell r="B815">
            <v>255</v>
          </cell>
          <cell r="C815">
            <v>302</v>
          </cell>
          <cell r="G815">
            <v>0</v>
          </cell>
          <cell r="I815">
            <v>-1526643</v>
          </cell>
        </row>
        <row r="816">
          <cell r="B816">
            <v>255</v>
          </cell>
          <cell r="C816">
            <v>351</v>
          </cell>
          <cell r="G816">
            <v>0</v>
          </cell>
          <cell r="I816">
            <v>78424</v>
          </cell>
        </row>
        <row r="817">
          <cell r="B817">
            <v>255</v>
          </cell>
          <cell r="C817">
            <v>352</v>
          </cell>
          <cell r="G817">
            <v>0</v>
          </cell>
          <cell r="I817">
            <v>1526643</v>
          </cell>
        </row>
        <row r="818">
          <cell r="B818">
            <v>281</v>
          </cell>
          <cell r="C818">
            <v>17</v>
          </cell>
          <cell r="G818">
            <v>23958617.289999999</v>
          </cell>
          <cell r="I818">
            <v>0</v>
          </cell>
        </row>
        <row r="819">
          <cell r="B819">
            <v>281</v>
          </cell>
          <cell r="C819">
            <v>18</v>
          </cell>
          <cell r="G819">
            <v>3727116.64</v>
          </cell>
          <cell r="I819">
            <v>0</v>
          </cell>
        </row>
        <row r="820">
          <cell r="B820">
            <v>281</v>
          </cell>
          <cell r="C820">
            <v>1303</v>
          </cell>
          <cell r="G820">
            <v>-25684440.170000002</v>
          </cell>
          <cell r="I820">
            <v>-25684440.170000002</v>
          </cell>
        </row>
        <row r="821">
          <cell r="B821">
            <v>281</v>
          </cell>
          <cell r="C821">
            <v>1307</v>
          </cell>
          <cell r="G821">
            <v>-3999014.96</v>
          </cell>
          <cell r="I821">
            <v>-3999014.96</v>
          </cell>
        </row>
        <row r="822">
          <cell r="B822">
            <v>282</v>
          </cell>
          <cell r="C822">
            <v>35</v>
          </cell>
          <cell r="G822">
            <v>-88626.17</v>
          </cell>
          <cell r="I822">
            <v>-20739569.170000002</v>
          </cell>
        </row>
        <row r="823">
          <cell r="B823">
            <v>282</v>
          </cell>
          <cell r="C823">
            <v>36</v>
          </cell>
          <cell r="G823">
            <v>-14752.83</v>
          </cell>
          <cell r="I823">
            <v>-3330883.83</v>
          </cell>
        </row>
        <row r="824">
          <cell r="B824">
            <v>282</v>
          </cell>
          <cell r="C824">
            <v>37</v>
          </cell>
          <cell r="G824">
            <v>-46676.53</v>
          </cell>
          <cell r="I824">
            <v>3715754.09</v>
          </cell>
        </row>
        <row r="825">
          <cell r="B825">
            <v>282</v>
          </cell>
          <cell r="C825">
            <v>38</v>
          </cell>
          <cell r="G825">
            <v>46868.67</v>
          </cell>
          <cell r="I825">
            <v>-38076.870000000003</v>
          </cell>
        </row>
        <row r="826">
          <cell r="B826">
            <v>282</v>
          </cell>
          <cell r="C826">
            <v>131</v>
          </cell>
          <cell r="G826">
            <v>-1020129.41</v>
          </cell>
          <cell r="I826">
            <v>-302578169.22000003</v>
          </cell>
        </row>
        <row r="827">
          <cell r="B827">
            <v>282</v>
          </cell>
          <cell r="C827">
            <v>132</v>
          </cell>
          <cell r="G827">
            <v>-203530.35</v>
          </cell>
          <cell r="I827">
            <v>-47189353.420000002</v>
          </cell>
        </row>
        <row r="828">
          <cell r="B828">
            <v>282</v>
          </cell>
          <cell r="C828">
            <v>141</v>
          </cell>
          <cell r="G828">
            <v>66790.080000000002</v>
          </cell>
          <cell r="I828">
            <v>61586691.93</v>
          </cell>
        </row>
        <row r="829">
          <cell r="B829">
            <v>282</v>
          </cell>
          <cell r="C829">
            <v>142</v>
          </cell>
          <cell r="G829">
            <v>10495.58</v>
          </cell>
          <cell r="I829">
            <v>9563670.9499999993</v>
          </cell>
        </row>
        <row r="830">
          <cell r="B830">
            <v>282</v>
          </cell>
          <cell r="C830">
            <v>143</v>
          </cell>
          <cell r="G830">
            <v>105657.39</v>
          </cell>
          <cell r="I830">
            <v>-12368447.880000001</v>
          </cell>
        </row>
        <row r="831">
          <cell r="B831">
            <v>282</v>
          </cell>
          <cell r="C831">
            <v>144</v>
          </cell>
          <cell r="G831">
            <v>17576.52</v>
          </cell>
          <cell r="I831">
            <v>-2604797.14</v>
          </cell>
        </row>
        <row r="832">
          <cell r="B832">
            <v>282</v>
          </cell>
          <cell r="C832">
            <v>145</v>
          </cell>
          <cell r="G832">
            <v>359248.05</v>
          </cell>
          <cell r="I832">
            <v>5552139.0499999998</v>
          </cell>
        </row>
        <row r="833">
          <cell r="B833">
            <v>282</v>
          </cell>
          <cell r="C833">
            <v>146</v>
          </cell>
          <cell r="G833">
            <v>56455.85</v>
          </cell>
          <cell r="I833">
            <v>812138.85</v>
          </cell>
        </row>
        <row r="834">
          <cell r="B834">
            <v>282</v>
          </cell>
          <cell r="C834">
            <v>147</v>
          </cell>
          <cell r="G834">
            <v>286819.46999999997</v>
          </cell>
          <cell r="I834">
            <v>15828382.359999999</v>
          </cell>
        </row>
        <row r="835">
          <cell r="B835">
            <v>282</v>
          </cell>
          <cell r="C835">
            <v>148</v>
          </cell>
          <cell r="G835">
            <v>17881.599999999999</v>
          </cell>
          <cell r="I835">
            <v>4595937.17</v>
          </cell>
        </row>
        <row r="836">
          <cell r="B836">
            <v>282</v>
          </cell>
          <cell r="C836">
            <v>400</v>
          </cell>
          <cell r="G836">
            <v>0</v>
          </cell>
          <cell r="I836">
            <v>-1042993.81</v>
          </cell>
        </row>
        <row r="837">
          <cell r="B837">
            <v>282</v>
          </cell>
          <cell r="C837">
            <v>401</v>
          </cell>
          <cell r="G837">
            <v>0</v>
          </cell>
          <cell r="I837">
            <v>356386.09</v>
          </cell>
        </row>
        <row r="838">
          <cell r="B838">
            <v>283</v>
          </cell>
          <cell r="C838">
            <v>35</v>
          </cell>
          <cell r="G838">
            <v>12905348.029999999</v>
          </cell>
          <cell r="I838">
            <v>0.03</v>
          </cell>
        </row>
        <row r="839">
          <cell r="B839">
            <v>283</v>
          </cell>
          <cell r="C839">
            <v>36</v>
          </cell>
          <cell r="G839">
            <v>2146013.9900000002</v>
          </cell>
          <cell r="I839">
            <v>-0.01</v>
          </cell>
        </row>
        <row r="840">
          <cell r="B840">
            <v>283</v>
          </cell>
          <cell r="C840">
            <v>1100</v>
          </cell>
          <cell r="G840">
            <v>22001743.23</v>
          </cell>
          <cell r="I840">
            <v>0</v>
          </cell>
        </row>
        <row r="841">
          <cell r="B841">
            <v>283</v>
          </cell>
          <cell r="C841">
            <v>1150</v>
          </cell>
          <cell r="G841">
            <v>121192.4</v>
          </cell>
          <cell r="I841">
            <v>0</v>
          </cell>
        </row>
        <row r="842">
          <cell r="B842">
            <v>283</v>
          </cell>
          <cell r="C842">
            <v>1303</v>
          </cell>
          <cell r="G842">
            <v>-23139923.510000002</v>
          </cell>
          <cell r="I842">
            <v>-23139923.510000002</v>
          </cell>
        </row>
        <row r="843">
          <cell r="B843">
            <v>283</v>
          </cell>
          <cell r="C843">
            <v>1307</v>
          </cell>
          <cell r="G843">
            <v>-3624674.14</v>
          </cell>
          <cell r="I843">
            <v>-3624674.14</v>
          </cell>
        </row>
        <row r="844">
          <cell r="B844">
            <v>283</v>
          </cell>
          <cell r="C844">
            <v>1703</v>
          </cell>
          <cell r="G844">
            <v>-121192.4</v>
          </cell>
          <cell r="I844">
            <v>-121192.4</v>
          </cell>
        </row>
        <row r="845">
          <cell r="B845">
            <v>283</v>
          </cell>
          <cell r="C845">
            <v>1707</v>
          </cell>
          <cell r="G845">
            <v>-19042.53</v>
          </cell>
          <cell r="I845">
            <v>-19042.53</v>
          </cell>
        </row>
        <row r="846">
          <cell r="B846">
            <v>283</v>
          </cell>
          <cell r="C846">
            <v>1803</v>
          </cell>
          <cell r="G846">
            <v>-12961013.609999999</v>
          </cell>
          <cell r="I846">
            <v>-12961013.609999999</v>
          </cell>
        </row>
        <row r="847">
          <cell r="B847">
            <v>283</v>
          </cell>
          <cell r="C847">
            <v>1807</v>
          </cell>
          <cell r="G847">
            <v>-2155270.5699999998</v>
          </cell>
          <cell r="I847">
            <v>-2155270.5699999998</v>
          </cell>
        </row>
        <row r="848">
          <cell r="B848">
            <v>283</v>
          </cell>
          <cell r="C848">
            <v>2100</v>
          </cell>
          <cell r="G848">
            <v>3445817.24</v>
          </cell>
          <cell r="I848">
            <v>0</v>
          </cell>
        </row>
        <row r="849">
          <cell r="B849">
            <v>283</v>
          </cell>
          <cell r="C849">
            <v>2150</v>
          </cell>
          <cell r="G849">
            <v>19042.53</v>
          </cell>
          <cell r="I849">
            <v>0</v>
          </cell>
        </row>
        <row r="850">
          <cell r="B850">
            <v>403</v>
          </cell>
          <cell r="C850">
            <v>112</v>
          </cell>
          <cell r="G850">
            <v>4776892.22</v>
          </cell>
          <cell r="I850">
            <v>4776892.22</v>
          </cell>
        </row>
        <row r="851">
          <cell r="B851">
            <v>403</v>
          </cell>
          <cell r="C851">
            <v>441</v>
          </cell>
          <cell r="G851">
            <v>30522.639999999999</v>
          </cell>
          <cell r="I851">
            <v>30522.639999999999</v>
          </cell>
        </row>
        <row r="852">
          <cell r="B852">
            <v>403</v>
          </cell>
          <cell r="C852">
            <v>442</v>
          </cell>
          <cell r="G852">
            <v>7772.37</v>
          </cell>
          <cell r="I852">
            <v>7772.37</v>
          </cell>
        </row>
        <row r="853">
          <cell r="B853">
            <v>403</v>
          </cell>
          <cell r="C853">
            <v>443</v>
          </cell>
          <cell r="G853">
            <v>290726.11</v>
          </cell>
          <cell r="I853">
            <v>290726.11</v>
          </cell>
        </row>
        <row r="854">
          <cell r="B854">
            <v>403</v>
          </cell>
          <cell r="C854">
            <v>444</v>
          </cell>
          <cell r="G854">
            <v>187667.59</v>
          </cell>
          <cell r="I854">
            <v>187667.59</v>
          </cell>
        </row>
        <row r="855">
          <cell r="B855">
            <v>403</v>
          </cell>
          <cell r="C855">
            <v>445</v>
          </cell>
          <cell r="G855">
            <v>30900.63</v>
          </cell>
          <cell r="I855">
            <v>30900.63</v>
          </cell>
        </row>
        <row r="856">
          <cell r="B856">
            <v>403</v>
          </cell>
          <cell r="C856">
            <v>446</v>
          </cell>
          <cell r="G856">
            <v>1839.17</v>
          </cell>
          <cell r="I856">
            <v>1839.17</v>
          </cell>
        </row>
        <row r="857">
          <cell r="B857">
            <v>403</v>
          </cell>
          <cell r="C857">
            <v>550</v>
          </cell>
          <cell r="G857">
            <v>18001.75</v>
          </cell>
          <cell r="I857">
            <v>18001.75</v>
          </cell>
        </row>
        <row r="858">
          <cell r="B858">
            <v>403</v>
          </cell>
          <cell r="C858">
            <v>552</v>
          </cell>
          <cell r="G858">
            <v>15234.5</v>
          </cell>
          <cell r="I858">
            <v>15234.5</v>
          </cell>
        </row>
        <row r="859">
          <cell r="B859">
            <v>403</v>
          </cell>
          <cell r="C859">
            <v>553</v>
          </cell>
          <cell r="G859">
            <v>170252.63</v>
          </cell>
          <cell r="I859">
            <v>170252.63</v>
          </cell>
        </row>
        <row r="860">
          <cell r="B860">
            <v>403</v>
          </cell>
          <cell r="C860">
            <v>554</v>
          </cell>
          <cell r="G860">
            <v>74498.7</v>
          </cell>
          <cell r="I860">
            <v>74498.7</v>
          </cell>
        </row>
        <row r="861">
          <cell r="B861">
            <v>403</v>
          </cell>
          <cell r="C861">
            <v>555</v>
          </cell>
          <cell r="G861">
            <v>260086.73</v>
          </cell>
          <cell r="I861">
            <v>260086.73</v>
          </cell>
        </row>
        <row r="862">
          <cell r="B862">
            <v>403</v>
          </cell>
          <cell r="C862">
            <v>556</v>
          </cell>
          <cell r="G862">
            <v>138352.31</v>
          </cell>
          <cell r="I862">
            <v>138352.31</v>
          </cell>
        </row>
        <row r="863">
          <cell r="B863">
            <v>403</v>
          </cell>
          <cell r="C863">
            <v>558</v>
          </cell>
          <cell r="G863">
            <v>25839.919999999998</v>
          </cell>
          <cell r="I863">
            <v>25839.919999999998</v>
          </cell>
        </row>
        <row r="864">
          <cell r="B864">
            <v>403</v>
          </cell>
          <cell r="C864">
            <v>559</v>
          </cell>
          <cell r="G864">
            <v>112.65</v>
          </cell>
          <cell r="I864">
            <v>112.65</v>
          </cell>
        </row>
        <row r="865">
          <cell r="B865">
            <v>403</v>
          </cell>
          <cell r="C865">
            <v>660</v>
          </cell>
          <cell r="G865">
            <v>340.29</v>
          </cell>
          <cell r="I865">
            <v>340.29</v>
          </cell>
        </row>
        <row r="866">
          <cell r="B866">
            <v>403</v>
          </cell>
          <cell r="C866">
            <v>661</v>
          </cell>
          <cell r="G866">
            <v>32095</v>
          </cell>
          <cell r="I866">
            <v>32095</v>
          </cell>
        </row>
        <row r="867">
          <cell r="B867">
            <v>403</v>
          </cell>
          <cell r="C867">
            <v>662</v>
          </cell>
          <cell r="G867">
            <v>318101.27</v>
          </cell>
          <cell r="I867">
            <v>318101.27</v>
          </cell>
        </row>
        <row r="868">
          <cell r="B868">
            <v>403</v>
          </cell>
          <cell r="C868">
            <v>664</v>
          </cell>
          <cell r="G868">
            <v>539972.06000000006</v>
          </cell>
          <cell r="I868">
            <v>539972.06000000006</v>
          </cell>
        </row>
        <row r="869">
          <cell r="B869">
            <v>403</v>
          </cell>
          <cell r="C869">
            <v>665</v>
          </cell>
          <cell r="G869">
            <v>276475.76</v>
          </cell>
          <cell r="I869">
            <v>276475.76</v>
          </cell>
        </row>
        <row r="870">
          <cell r="B870">
            <v>403</v>
          </cell>
          <cell r="C870">
            <v>666</v>
          </cell>
          <cell r="G870">
            <v>1420.36</v>
          </cell>
          <cell r="I870">
            <v>1420.36</v>
          </cell>
        </row>
        <row r="871">
          <cell r="B871">
            <v>403</v>
          </cell>
          <cell r="C871">
            <v>667</v>
          </cell>
          <cell r="G871">
            <v>306325.77</v>
          </cell>
          <cell r="I871">
            <v>306325.77</v>
          </cell>
        </row>
        <row r="872">
          <cell r="B872">
            <v>403</v>
          </cell>
          <cell r="C872">
            <v>668</v>
          </cell>
          <cell r="G872">
            <v>729397.63</v>
          </cell>
          <cell r="I872">
            <v>729397.63</v>
          </cell>
        </row>
        <row r="873">
          <cell r="B873">
            <v>403</v>
          </cell>
          <cell r="C873">
            <v>669</v>
          </cell>
          <cell r="G873">
            <v>237855.82</v>
          </cell>
          <cell r="I873">
            <v>237855.82</v>
          </cell>
        </row>
        <row r="874">
          <cell r="B874">
            <v>403</v>
          </cell>
          <cell r="C874">
            <v>670</v>
          </cell>
          <cell r="G874">
            <v>119628.8</v>
          </cell>
          <cell r="I874">
            <v>119628.8</v>
          </cell>
        </row>
        <row r="875">
          <cell r="B875">
            <v>403</v>
          </cell>
          <cell r="C875">
            <v>673</v>
          </cell>
          <cell r="G875">
            <v>241843.81</v>
          </cell>
          <cell r="I875">
            <v>241843.81</v>
          </cell>
        </row>
        <row r="876">
          <cell r="B876">
            <v>403</v>
          </cell>
          <cell r="C876">
            <v>790</v>
          </cell>
          <cell r="G876">
            <v>123244.55</v>
          </cell>
          <cell r="I876">
            <v>123244.55</v>
          </cell>
        </row>
        <row r="877">
          <cell r="B877">
            <v>403</v>
          </cell>
          <cell r="C877">
            <v>796</v>
          </cell>
          <cell r="G877">
            <v>2424.12</v>
          </cell>
          <cell r="I877">
            <v>2424.12</v>
          </cell>
        </row>
        <row r="878">
          <cell r="B878">
            <v>403</v>
          </cell>
          <cell r="C878">
            <v>797</v>
          </cell>
          <cell r="G878">
            <v>71912.759999999995</v>
          </cell>
          <cell r="I878">
            <v>71912.759999999995</v>
          </cell>
        </row>
        <row r="879">
          <cell r="B879">
            <v>403</v>
          </cell>
          <cell r="C879">
            <v>952</v>
          </cell>
          <cell r="G879">
            <v>503.38</v>
          </cell>
          <cell r="I879">
            <v>503.38</v>
          </cell>
        </row>
        <row r="880">
          <cell r="B880">
            <v>403</v>
          </cell>
          <cell r="C880">
            <v>953</v>
          </cell>
          <cell r="G880">
            <v>7647.85</v>
          </cell>
          <cell r="I880">
            <v>7647.85</v>
          </cell>
        </row>
        <row r="881">
          <cell r="B881">
            <v>403</v>
          </cell>
          <cell r="C881">
            <v>1952</v>
          </cell>
          <cell r="G881">
            <v>412.55</v>
          </cell>
          <cell r="I881">
            <v>412.55</v>
          </cell>
        </row>
        <row r="882">
          <cell r="B882">
            <v>403</v>
          </cell>
          <cell r="C882">
            <v>1953</v>
          </cell>
          <cell r="G882">
            <v>7060.87</v>
          </cell>
          <cell r="I882">
            <v>7060.87</v>
          </cell>
        </row>
        <row r="883">
          <cell r="B883">
            <v>403</v>
          </cell>
          <cell r="C883">
            <v>1997</v>
          </cell>
          <cell r="G883">
            <v>9.6</v>
          </cell>
          <cell r="I883">
            <v>9.6</v>
          </cell>
        </row>
        <row r="884">
          <cell r="B884">
            <v>403</v>
          </cell>
          <cell r="C884">
            <v>10117</v>
          </cell>
          <cell r="G884">
            <v>9560.2000000000007</v>
          </cell>
          <cell r="I884">
            <v>9560.2000000000007</v>
          </cell>
        </row>
        <row r="885">
          <cell r="B885">
            <v>403</v>
          </cell>
          <cell r="C885">
            <v>10447</v>
          </cell>
          <cell r="G885">
            <v>1654.97</v>
          </cell>
          <cell r="I885">
            <v>1654.97</v>
          </cell>
        </row>
        <row r="886">
          <cell r="B886">
            <v>403</v>
          </cell>
          <cell r="C886">
            <v>10557</v>
          </cell>
          <cell r="G886">
            <v>11.92</v>
          </cell>
          <cell r="I886">
            <v>11.92</v>
          </cell>
        </row>
        <row r="887">
          <cell r="B887">
            <v>403</v>
          </cell>
          <cell r="C887">
            <v>10667</v>
          </cell>
          <cell r="G887">
            <v>83.76</v>
          </cell>
          <cell r="I887">
            <v>83.76</v>
          </cell>
        </row>
        <row r="888">
          <cell r="B888">
            <v>403</v>
          </cell>
          <cell r="C888">
            <v>10777</v>
          </cell>
          <cell r="G888">
            <v>337.71</v>
          </cell>
          <cell r="I888">
            <v>337.71</v>
          </cell>
        </row>
        <row r="889">
          <cell r="B889">
            <v>403</v>
          </cell>
          <cell r="C889">
            <v>99901</v>
          </cell>
          <cell r="G889">
            <v>813570.9</v>
          </cell>
          <cell r="I889">
            <v>813570.9</v>
          </cell>
        </row>
        <row r="890">
          <cell r="B890">
            <v>403</v>
          </cell>
          <cell r="C890">
            <v>99902</v>
          </cell>
          <cell r="G890">
            <v>50732.33</v>
          </cell>
          <cell r="I890">
            <v>50732.33</v>
          </cell>
        </row>
        <row r="891">
          <cell r="B891">
            <v>403</v>
          </cell>
          <cell r="C891">
            <v>99999</v>
          </cell>
          <cell r="G891">
            <v>-864303.23</v>
          </cell>
          <cell r="I891">
            <v>-864303.23</v>
          </cell>
        </row>
        <row r="892">
          <cell r="B892">
            <v>404</v>
          </cell>
          <cell r="C892">
            <v>20</v>
          </cell>
          <cell r="G892">
            <v>71370.91</v>
          </cell>
          <cell r="I892">
            <v>71370.91</v>
          </cell>
        </row>
        <row r="893">
          <cell r="B893">
            <v>404</v>
          </cell>
          <cell r="C893">
            <v>30</v>
          </cell>
          <cell r="G893">
            <v>252090.62</v>
          </cell>
          <cell r="I893">
            <v>252090.62</v>
          </cell>
        </row>
        <row r="894">
          <cell r="B894">
            <v>404</v>
          </cell>
          <cell r="C894">
            <v>99901</v>
          </cell>
          <cell r="G894">
            <v>5898.62</v>
          </cell>
          <cell r="I894">
            <v>5898.62</v>
          </cell>
        </row>
        <row r="895">
          <cell r="B895">
            <v>404</v>
          </cell>
          <cell r="C895">
            <v>99999</v>
          </cell>
          <cell r="G895">
            <v>-5898.62</v>
          </cell>
          <cell r="I895">
            <v>-5898.62</v>
          </cell>
        </row>
        <row r="896">
          <cell r="B896">
            <v>407</v>
          </cell>
          <cell r="C896">
            <v>35100</v>
          </cell>
          <cell r="G896">
            <v>54371</v>
          </cell>
          <cell r="I896">
            <v>54371</v>
          </cell>
        </row>
        <row r="897">
          <cell r="B897">
            <v>407</v>
          </cell>
          <cell r="C897">
            <v>35500</v>
          </cell>
          <cell r="G897">
            <v>7353.63</v>
          </cell>
          <cell r="I897">
            <v>7353.63</v>
          </cell>
        </row>
        <row r="898">
          <cell r="B898">
            <v>407</v>
          </cell>
          <cell r="C898">
            <v>45100</v>
          </cell>
          <cell r="G898">
            <v>-66123.490000000005</v>
          </cell>
          <cell r="I898">
            <v>-66123.490000000005</v>
          </cell>
        </row>
        <row r="899">
          <cell r="B899">
            <v>408</v>
          </cell>
          <cell r="C899">
            <v>10105</v>
          </cell>
          <cell r="G899">
            <v>10062.61</v>
          </cell>
          <cell r="I899">
            <v>10062.61</v>
          </cell>
        </row>
        <row r="900">
          <cell r="B900">
            <v>408</v>
          </cell>
          <cell r="C900">
            <v>10107</v>
          </cell>
          <cell r="G900">
            <v>381333</v>
          </cell>
          <cell r="I900">
            <v>381333</v>
          </cell>
        </row>
        <row r="901">
          <cell r="B901">
            <v>408</v>
          </cell>
          <cell r="C901">
            <v>10109</v>
          </cell>
          <cell r="G901">
            <v>2417</v>
          </cell>
          <cell r="I901">
            <v>2417</v>
          </cell>
        </row>
        <row r="902">
          <cell r="B902">
            <v>408</v>
          </cell>
          <cell r="C902">
            <v>10121</v>
          </cell>
          <cell r="G902">
            <v>110000</v>
          </cell>
          <cell r="I902">
            <v>110000</v>
          </cell>
        </row>
        <row r="903">
          <cell r="B903">
            <v>408</v>
          </cell>
          <cell r="C903">
            <v>10124</v>
          </cell>
          <cell r="G903">
            <v>1468520.32</v>
          </cell>
          <cell r="I903">
            <v>1468520.32</v>
          </cell>
        </row>
        <row r="904">
          <cell r="B904">
            <v>408</v>
          </cell>
          <cell r="C904">
            <v>10131</v>
          </cell>
          <cell r="G904">
            <v>572.6</v>
          </cell>
          <cell r="I904">
            <v>572.6</v>
          </cell>
        </row>
        <row r="905">
          <cell r="B905">
            <v>408</v>
          </cell>
          <cell r="C905">
            <v>10200</v>
          </cell>
          <cell r="G905">
            <v>702802.04</v>
          </cell>
          <cell r="I905">
            <v>702802.04</v>
          </cell>
        </row>
        <row r="906">
          <cell r="B906">
            <v>408</v>
          </cell>
          <cell r="C906">
            <v>10210</v>
          </cell>
          <cell r="G906">
            <v>-104575.16</v>
          </cell>
          <cell r="I906">
            <v>-104575.16</v>
          </cell>
        </row>
        <row r="907">
          <cell r="B907">
            <v>408</v>
          </cell>
          <cell r="C907">
            <v>10222</v>
          </cell>
          <cell r="G907">
            <v>-1403.58</v>
          </cell>
          <cell r="I907">
            <v>-1403.58</v>
          </cell>
        </row>
        <row r="908">
          <cell r="B908">
            <v>408</v>
          </cell>
          <cell r="C908">
            <v>10310</v>
          </cell>
          <cell r="G908">
            <v>1927375.01</v>
          </cell>
          <cell r="I908">
            <v>1927375.01</v>
          </cell>
        </row>
        <row r="909">
          <cell r="B909">
            <v>408</v>
          </cell>
          <cell r="C909">
            <v>10502</v>
          </cell>
          <cell r="G909">
            <v>48799.28</v>
          </cell>
          <cell r="I909">
            <v>48799.28</v>
          </cell>
        </row>
        <row r="910">
          <cell r="B910">
            <v>408</v>
          </cell>
          <cell r="C910">
            <v>11113</v>
          </cell>
          <cell r="G910">
            <v>7348.63</v>
          </cell>
          <cell r="I910">
            <v>7348.63</v>
          </cell>
        </row>
        <row r="911">
          <cell r="B911">
            <v>408</v>
          </cell>
          <cell r="C911">
            <v>11114</v>
          </cell>
          <cell r="G911">
            <v>2924885.92</v>
          </cell>
          <cell r="I911">
            <v>2924885.92</v>
          </cell>
        </row>
        <row r="912">
          <cell r="B912">
            <v>408</v>
          </cell>
          <cell r="C912">
            <v>11116</v>
          </cell>
          <cell r="G912">
            <v>84870.95</v>
          </cell>
          <cell r="I912">
            <v>84870.95</v>
          </cell>
        </row>
        <row r="913">
          <cell r="B913">
            <v>408</v>
          </cell>
          <cell r="C913">
            <v>11118</v>
          </cell>
          <cell r="G913">
            <v>13560</v>
          </cell>
          <cell r="I913">
            <v>13560</v>
          </cell>
        </row>
        <row r="914">
          <cell r="B914">
            <v>408</v>
          </cell>
          <cell r="C914">
            <v>19106</v>
          </cell>
          <cell r="G914">
            <v>1323946</v>
          </cell>
          <cell r="I914">
            <v>1323946</v>
          </cell>
        </row>
        <row r="915">
          <cell r="B915">
            <v>408</v>
          </cell>
          <cell r="C915">
            <v>20005</v>
          </cell>
          <cell r="G915">
            <v>4748</v>
          </cell>
          <cell r="I915">
            <v>4748</v>
          </cell>
        </row>
        <row r="916">
          <cell r="B916">
            <v>408</v>
          </cell>
          <cell r="C916">
            <v>20007</v>
          </cell>
          <cell r="G916">
            <v>363.38</v>
          </cell>
          <cell r="I916">
            <v>363.38</v>
          </cell>
        </row>
        <row r="917">
          <cell r="B917">
            <v>408</v>
          </cell>
          <cell r="C917">
            <v>20008</v>
          </cell>
          <cell r="G917">
            <v>4.18</v>
          </cell>
          <cell r="I917">
            <v>4.18</v>
          </cell>
        </row>
        <row r="918">
          <cell r="B918">
            <v>408</v>
          </cell>
          <cell r="C918">
            <v>20205</v>
          </cell>
          <cell r="G918">
            <v>57</v>
          </cell>
          <cell r="I918">
            <v>57</v>
          </cell>
        </row>
        <row r="919">
          <cell r="B919">
            <v>409</v>
          </cell>
          <cell r="C919">
            <v>10002</v>
          </cell>
          <cell r="G919">
            <v>5078899.13</v>
          </cell>
          <cell r="I919">
            <v>5078899.13</v>
          </cell>
        </row>
        <row r="920">
          <cell r="B920">
            <v>409</v>
          </cell>
          <cell r="C920">
            <v>10107</v>
          </cell>
          <cell r="G920">
            <v>-83220.25</v>
          </cell>
          <cell r="I920">
            <v>-83220.25</v>
          </cell>
        </row>
        <row r="921">
          <cell r="B921">
            <v>409</v>
          </cell>
          <cell r="C921">
            <v>10405</v>
          </cell>
          <cell r="G921">
            <v>708923.97</v>
          </cell>
          <cell r="I921">
            <v>708923.97</v>
          </cell>
        </row>
        <row r="922">
          <cell r="B922">
            <v>409</v>
          </cell>
          <cell r="C922">
            <v>10506</v>
          </cell>
          <cell r="G922">
            <v>21655.18</v>
          </cell>
          <cell r="I922">
            <v>21655.18</v>
          </cell>
        </row>
        <row r="923">
          <cell r="B923">
            <v>409</v>
          </cell>
          <cell r="C923">
            <v>20206</v>
          </cell>
          <cell r="G923">
            <v>-51.99</v>
          </cell>
          <cell r="I923">
            <v>-51.99</v>
          </cell>
        </row>
        <row r="924">
          <cell r="B924">
            <v>409</v>
          </cell>
          <cell r="C924">
            <v>20240</v>
          </cell>
          <cell r="G924">
            <v>-112.75</v>
          </cell>
          <cell r="I924">
            <v>-112.75</v>
          </cell>
        </row>
        <row r="925">
          <cell r="B925">
            <v>409</v>
          </cell>
          <cell r="C925">
            <v>21001</v>
          </cell>
          <cell r="G925">
            <v>-30824.94</v>
          </cell>
          <cell r="I925">
            <v>-30824.94</v>
          </cell>
        </row>
        <row r="926">
          <cell r="B926">
            <v>409</v>
          </cell>
          <cell r="C926">
            <v>21210</v>
          </cell>
          <cell r="G926">
            <v>19175.11</v>
          </cell>
          <cell r="I926">
            <v>19175.11</v>
          </cell>
        </row>
        <row r="927">
          <cell r="B927">
            <v>409</v>
          </cell>
          <cell r="C927">
            <v>21211</v>
          </cell>
          <cell r="G927">
            <v>2916.46</v>
          </cell>
          <cell r="I927">
            <v>2916.46</v>
          </cell>
        </row>
        <row r="928">
          <cell r="B928">
            <v>409</v>
          </cell>
          <cell r="C928">
            <v>24240</v>
          </cell>
          <cell r="G928">
            <v>-4688.3500000000004</v>
          </cell>
          <cell r="I928">
            <v>-4688.3500000000004</v>
          </cell>
        </row>
        <row r="929">
          <cell r="B929">
            <v>410</v>
          </cell>
          <cell r="C929">
            <v>10017</v>
          </cell>
          <cell r="G929">
            <v>1725822.88</v>
          </cell>
          <cell r="I929">
            <v>1725822.88</v>
          </cell>
        </row>
        <row r="930">
          <cell r="B930">
            <v>410</v>
          </cell>
          <cell r="C930">
            <v>10018</v>
          </cell>
          <cell r="G930">
            <v>271898.32</v>
          </cell>
          <cell r="I930">
            <v>271898.32</v>
          </cell>
        </row>
        <row r="931">
          <cell r="B931">
            <v>410</v>
          </cell>
          <cell r="C931">
            <v>10031</v>
          </cell>
          <cell r="G931">
            <v>1621391.29</v>
          </cell>
          <cell r="I931">
            <v>1621391.29</v>
          </cell>
        </row>
        <row r="932">
          <cell r="B932">
            <v>410</v>
          </cell>
          <cell r="C932">
            <v>10032</v>
          </cell>
          <cell r="G932">
            <v>289742.55</v>
          </cell>
          <cell r="I932">
            <v>289742.55</v>
          </cell>
        </row>
        <row r="933">
          <cell r="B933">
            <v>410</v>
          </cell>
          <cell r="C933">
            <v>10153</v>
          </cell>
          <cell r="G933">
            <v>268725.09999999998</v>
          </cell>
          <cell r="I933">
            <v>268725.09999999998</v>
          </cell>
        </row>
        <row r="934">
          <cell r="B934">
            <v>410</v>
          </cell>
          <cell r="C934">
            <v>10184</v>
          </cell>
          <cell r="G934">
            <v>11900.92</v>
          </cell>
          <cell r="I934">
            <v>11900.92</v>
          </cell>
        </row>
        <row r="935">
          <cell r="B935">
            <v>410</v>
          </cell>
          <cell r="C935">
            <v>10185</v>
          </cell>
          <cell r="G935">
            <v>3662.68</v>
          </cell>
          <cell r="I935">
            <v>3662.68</v>
          </cell>
        </row>
        <row r="936">
          <cell r="B936">
            <v>410</v>
          </cell>
          <cell r="C936">
            <v>10186</v>
          </cell>
          <cell r="G936">
            <v>271725.31</v>
          </cell>
          <cell r="I936">
            <v>271725.31</v>
          </cell>
        </row>
        <row r="937">
          <cell r="B937">
            <v>410</v>
          </cell>
          <cell r="C937">
            <v>10187</v>
          </cell>
          <cell r="G937">
            <v>69889.72</v>
          </cell>
          <cell r="I937">
            <v>69889.72</v>
          </cell>
        </row>
        <row r="938">
          <cell r="B938">
            <v>410</v>
          </cell>
          <cell r="C938">
            <v>10188</v>
          </cell>
          <cell r="G938">
            <v>66790.080000000002</v>
          </cell>
          <cell r="I938">
            <v>66790.080000000002</v>
          </cell>
        </row>
        <row r="939">
          <cell r="B939">
            <v>410</v>
          </cell>
          <cell r="C939">
            <v>10189</v>
          </cell>
          <cell r="G939">
            <v>10495.58</v>
          </cell>
          <cell r="I939">
            <v>10495.58</v>
          </cell>
        </row>
        <row r="940">
          <cell r="B940">
            <v>410</v>
          </cell>
          <cell r="C940">
            <v>10308</v>
          </cell>
          <cell r="G940">
            <v>245234.63</v>
          </cell>
          <cell r="I940">
            <v>245234.63</v>
          </cell>
        </row>
        <row r="941">
          <cell r="B941">
            <v>410</v>
          </cell>
          <cell r="C941">
            <v>11100</v>
          </cell>
          <cell r="G941">
            <v>1560584</v>
          </cell>
          <cell r="I941">
            <v>1560584</v>
          </cell>
        </row>
        <row r="942">
          <cell r="B942">
            <v>410</v>
          </cell>
          <cell r="C942">
            <v>20160</v>
          </cell>
          <cell r="G942">
            <v>11.37</v>
          </cell>
          <cell r="I942">
            <v>11.37</v>
          </cell>
        </row>
        <row r="943">
          <cell r="B943">
            <v>411</v>
          </cell>
          <cell r="C943">
            <v>10031</v>
          </cell>
          <cell r="G943">
            <v>-601261.88</v>
          </cell>
          <cell r="I943">
            <v>-601261.88</v>
          </cell>
        </row>
        <row r="944">
          <cell r="B944">
            <v>411</v>
          </cell>
          <cell r="C944">
            <v>10032</v>
          </cell>
          <cell r="G944">
            <v>-86212.2</v>
          </cell>
          <cell r="I944">
            <v>-86212.2</v>
          </cell>
        </row>
        <row r="945">
          <cell r="B945">
            <v>411</v>
          </cell>
          <cell r="C945">
            <v>10041</v>
          </cell>
          <cell r="G945">
            <v>-66790.080000000002</v>
          </cell>
          <cell r="I945">
            <v>-66790.080000000002</v>
          </cell>
        </row>
        <row r="946">
          <cell r="B946">
            <v>411</v>
          </cell>
          <cell r="C946">
            <v>10042</v>
          </cell>
          <cell r="G946">
            <v>-10495.58</v>
          </cell>
          <cell r="I946">
            <v>-10495.58</v>
          </cell>
        </row>
        <row r="947">
          <cell r="B947">
            <v>411</v>
          </cell>
          <cell r="C947">
            <v>10153</v>
          </cell>
          <cell r="G947">
            <v>-310513.91999999998</v>
          </cell>
          <cell r="I947">
            <v>-310513.91999999998</v>
          </cell>
        </row>
        <row r="948">
          <cell r="B948">
            <v>411</v>
          </cell>
          <cell r="C948">
            <v>10184</v>
          </cell>
          <cell r="G948">
            <v>-117558.31</v>
          </cell>
          <cell r="I948">
            <v>-117558.31</v>
          </cell>
        </row>
        <row r="949">
          <cell r="B949">
            <v>411</v>
          </cell>
          <cell r="C949">
            <v>10185</v>
          </cell>
          <cell r="G949">
            <v>-21239.200000000001</v>
          </cell>
          <cell r="I949">
            <v>-21239.200000000001</v>
          </cell>
        </row>
        <row r="950">
          <cell r="B950">
            <v>411</v>
          </cell>
          <cell r="C950">
            <v>10186</v>
          </cell>
          <cell r="G950">
            <v>-558544.78</v>
          </cell>
          <cell r="I950">
            <v>-558544.78</v>
          </cell>
        </row>
        <row r="951">
          <cell r="B951">
            <v>411</v>
          </cell>
          <cell r="C951">
            <v>10187</v>
          </cell>
          <cell r="G951">
            <v>-87771.32</v>
          </cell>
          <cell r="I951">
            <v>-87771.32</v>
          </cell>
        </row>
        <row r="952">
          <cell r="B952">
            <v>411</v>
          </cell>
          <cell r="C952">
            <v>10188</v>
          </cell>
          <cell r="G952">
            <v>-426038.13</v>
          </cell>
          <cell r="I952">
            <v>-426038.13</v>
          </cell>
        </row>
        <row r="953">
          <cell r="B953">
            <v>411</v>
          </cell>
          <cell r="C953">
            <v>10189</v>
          </cell>
          <cell r="G953">
            <v>-66951.429999999993</v>
          </cell>
          <cell r="I953">
            <v>-66951.429999999993</v>
          </cell>
        </row>
        <row r="954">
          <cell r="B954">
            <v>411</v>
          </cell>
          <cell r="C954">
            <v>10307</v>
          </cell>
          <cell r="G954">
            <v>-3112861.68</v>
          </cell>
          <cell r="I954">
            <v>-3112861.68</v>
          </cell>
        </row>
        <row r="955">
          <cell r="B955">
            <v>411</v>
          </cell>
          <cell r="C955">
            <v>12100</v>
          </cell>
          <cell r="G955">
            <v>-489163.98</v>
          </cell>
          <cell r="I955">
            <v>-489163.98</v>
          </cell>
        </row>
        <row r="956">
          <cell r="B956">
            <v>411</v>
          </cell>
          <cell r="C956">
            <v>20347</v>
          </cell>
          <cell r="G956">
            <v>-206.77</v>
          </cell>
          <cell r="I956">
            <v>-206.77</v>
          </cell>
        </row>
        <row r="957">
          <cell r="B957">
            <v>411</v>
          </cell>
          <cell r="C957">
            <v>20348</v>
          </cell>
          <cell r="G957">
            <v>-32.49</v>
          </cell>
          <cell r="I957">
            <v>-32.49</v>
          </cell>
        </row>
        <row r="958">
          <cell r="B958">
            <v>411</v>
          </cell>
          <cell r="C958">
            <v>10117</v>
          </cell>
          <cell r="G958">
            <v>44294.15</v>
          </cell>
          <cell r="I958">
            <v>44294.15</v>
          </cell>
        </row>
        <row r="959">
          <cell r="B959">
            <v>411</v>
          </cell>
          <cell r="C959">
            <v>10447</v>
          </cell>
          <cell r="G959">
            <v>4675.1099999999997</v>
          </cell>
          <cell r="I959">
            <v>4675.1099999999997</v>
          </cell>
        </row>
        <row r="960">
          <cell r="B960">
            <v>411</v>
          </cell>
          <cell r="C960">
            <v>10557</v>
          </cell>
          <cell r="G960">
            <v>264.63</v>
          </cell>
          <cell r="I960">
            <v>264.63</v>
          </cell>
        </row>
        <row r="961">
          <cell r="B961">
            <v>411</v>
          </cell>
          <cell r="C961">
            <v>10667</v>
          </cell>
          <cell r="G961">
            <v>1085.49</v>
          </cell>
          <cell r="I961">
            <v>1085.49</v>
          </cell>
        </row>
        <row r="962">
          <cell r="B962">
            <v>411</v>
          </cell>
          <cell r="C962">
            <v>10777</v>
          </cell>
          <cell r="G962">
            <v>4155.55</v>
          </cell>
          <cell r="I962">
            <v>4155.55</v>
          </cell>
        </row>
        <row r="963">
          <cell r="B963">
            <v>411</v>
          </cell>
          <cell r="C963">
            <v>40420</v>
          </cell>
          <cell r="G963">
            <v>-133117</v>
          </cell>
          <cell r="I963">
            <v>-133117</v>
          </cell>
        </row>
        <row r="964">
          <cell r="B964">
            <v>411</v>
          </cell>
          <cell r="C964">
            <v>40422</v>
          </cell>
          <cell r="G964">
            <v>-465</v>
          </cell>
          <cell r="I964">
            <v>-465</v>
          </cell>
        </row>
        <row r="965">
          <cell r="B965">
            <v>411</v>
          </cell>
          <cell r="C965">
            <v>80000</v>
          </cell>
          <cell r="G965">
            <v>-6394.39</v>
          </cell>
          <cell r="I965">
            <v>-6394.39</v>
          </cell>
        </row>
        <row r="966">
          <cell r="B966">
            <v>415</v>
          </cell>
          <cell r="C966">
            <v>1</v>
          </cell>
          <cell r="G966">
            <v>-101356.24</v>
          </cell>
          <cell r="I966">
            <v>-101356.24</v>
          </cell>
        </row>
        <row r="967">
          <cell r="B967">
            <v>415</v>
          </cell>
          <cell r="C967">
            <v>2</v>
          </cell>
          <cell r="G967">
            <v>-424.83</v>
          </cell>
          <cell r="I967">
            <v>-424.83</v>
          </cell>
        </row>
        <row r="968">
          <cell r="B968">
            <v>416</v>
          </cell>
          <cell r="C968">
            <v>1</v>
          </cell>
          <cell r="G968">
            <v>10387.36</v>
          </cell>
          <cell r="I968">
            <v>10387.36</v>
          </cell>
        </row>
        <row r="969">
          <cell r="B969">
            <v>416</v>
          </cell>
          <cell r="C969">
            <v>3</v>
          </cell>
          <cell r="G969">
            <v>28162.1</v>
          </cell>
          <cell r="I969">
            <v>28162.1</v>
          </cell>
        </row>
        <row r="970">
          <cell r="B970">
            <v>416</v>
          </cell>
          <cell r="C970">
            <v>5</v>
          </cell>
          <cell r="G970">
            <v>285</v>
          </cell>
          <cell r="I970">
            <v>285</v>
          </cell>
        </row>
        <row r="971">
          <cell r="B971">
            <v>416</v>
          </cell>
          <cell r="C971">
            <v>9</v>
          </cell>
          <cell r="G971">
            <v>5075</v>
          </cell>
          <cell r="I971">
            <v>5075</v>
          </cell>
        </row>
        <row r="972">
          <cell r="B972">
            <v>418</v>
          </cell>
          <cell r="C972">
            <v>31</v>
          </cell>
          <cell r="G972">
            <v>281.70999999999998</v>
          </cell>
          <cell r="I972">
            <v>281.70999999999998</v>
          </cell>
        </row>
        <row r="973">
          <cell r="B973">
            <v>418</v>
          </cell>
          <cell r="C973">
            <v>10105</v>
          </cell>
          <cell r="G973">
            <v>-64405.01</v>
          </cell>
          <cell r="I973">
            <v>-64405.01</v>
          </cell>
        </row>
        <row r="974">
          <cell r="B974">
            <v>418</v>
          </cell>
          <cell r="C974">
            <v>11700</v>
          </cell>
          <cell r="G974">
            <v>211.23</v>
          </cell>
          <cell r="I974">
            <v>211.23</v>
          </cell>
        </row>
        <row r="975">
          <cell r="B975">
            <v>418</v>
          </cell>
          <cell r="C975">
            <v>11800</v>
          </cell>
          <cell r="G975">
            <v>3690.12</v>
          </cell>
          <cell r="I975">
            <v>3690.12</v>
          </cell>
        </row>
        <row r="976">
          <cell r="B976">
            <v>419</v>
          </cell>
          <cell r="C976">
            <v>1</v>
          </cell>
          <cell r="G976">
            <v>-647.48</v>
          </cell>
          <cell r="I976">
            <v>-647.48</v>
          </cell>
        </row>
        <row r="977">
          <cell r="B977">
            <v>419</v>
          </cell>
          <cell r="C977">
            <v>15</v>
          </cell>
          <cell r="G977">
            <v>-686.72</v>
          </cell>
          <cell r="I977">
            <v>-686.72</v>
          </cell>
        </row>
        <row r="978">
          <cell r="B978">
            <v>419</v>
          </cell>
          <cell r="C978">
            <v>32</v>
          </cell>
          <cell r="G978">
            <v>-464.22</v>
          </cell>
          <cell r="I978">
            <v>-464.22</v>
          </cell>
        </row>
        <row r="979">
          <cell r="B979">
            <v>419</v>
          </cell>
          <cell r="C979">
            <v>44</v>
          </cell>
          <cell r="G979">
            <v>-15</v>
          </cell>
          <cell r="I979">
            <v>-15</v>
          </cell>
        </row>
        <row r="980">
          <cell r="B980">
            <v>419</v>
          </cell>
          <cell r="C980">
            <v>46</v>
          </cell>
          <cell r="G980">
            <v>-101</v>
          </cell>
          <cell r="I980">
            <v>-101</v>
          </cell>
        </row>
        <row r="981">
          <cell r="B981">
            <v>419</v>
          </cell>
          <cell r="C981">
            <v>50</v>
          </cell>
          <cell r="G981">
            <v>-46</v>
          </cell>
          <cell r="I981">
            <v>-46</v>
          </cell>
        </row>
        <row r="982">
          <cell r="B982">
            <v>419</v>
          </cell>
          <cell r="C982">
            <v>1955</v>
          </cell>
          <cell r="G982">
            <v>-8.1999999999999993</v>
          </cell>
          <cell r="I982">
            <v>-8.1999999999999993</v>
          </cell>
        </row>
        <row r="983">
          <cell r="B983">
            <v>419</v>
          </cell>
          <cell r="C983">
            <v>10000</v>
          </cell>
          <cell r="G983">
            <v>-418341.93</v>
          </cell>
          <cell r="I983">
            <v>-418341.93</v>
          </cell>
        </row>
        <row r="984">
          <cell r="B984">
            <v>421</v>
          </cell>
          <cell r="C984">
            <v>55</v>
          </cell>
          <cell r="G984">
            <v>6351.17</v>
          </cell>
          <cell r="I984">
            <v>6351.17</v>
          </cell>
        </row>
        <row r="985">
          <cell r="B985">
            <v>425</v>
          </cell>
          <cell r="C985">
            <v>100</v>
          </cell>
          <cell r="G985">
            <v>21276</v>
          </cell>
          <cell r="I985">
            <v>21276</v>
          </cell>
        </row>
        <row r="986">
          <cell r="B986">
            <v>426</v>
          </cell>
          <cell r="C986">
            <v>10000</v>
          </cell>
          <cell r="G986">
            <v>28134.21</v>
          </cell>
          <cell r="I986">
            <v>28134.21</v>
          </cell>
        </row>
        <row r="987">
          <cell r="B987">
            <v>426</v>
          </cell>
          <cell r="C987">
            <v>40000</v>
          </cell>
          <cell r="G987">
            <v>95947.55</v>
          </cell>
          <cell r="I987">
            <v>95947.55</v>
          </cell>
        </row>
        <row r="988">
          <cell r="B988">
            <v>426</v>
          </cell>
          <cell r="C988">
            <v>40200</v>
          </cell>
          <cell r="G988">
            <v>495.5</v>
          </cell>
          <cell r="I988">
            <v>495.5</v>
          </cell>
        </row>
        <row r="989">
          <cell r="B989">
            <v>426</v>
          </cell>
          <cell r="C989">
            <v>50000</v>
          </cell>
          <cell r="G989">
            <v>46641.1</v>
          </cell>
          <cell r="I989">
            <v>46641.1</v>
          </cell>
        </row>
        <row r="990">
          <cell r="B990">
            <v>426</v>
          </cell>
          <cell r="C990">
            <v>50100</v>
          </cell>
          <cell r="G990">
            <v>6225.37</v>
          </cell>
          <cell r="I990">
            <v>6225.37</v>
          </cell>
        </row>
        <row r="991">
          <cell r="B991">
            <v>426</v>
          </cell>
          <cell r="C991">
            <v>50750</v>
          </cell>
          <cell r="G991">
            <v>5118.6099999999997</v>
          </cell>
          <cell r="I991">
            <v>5118.6099999999997</v>
          </cell>
        </row>
        <row r="992">
          <cell r="B992">
            <v>426</v>
          </cell>
          <cell r="C992">
            <v>50786</v>
          </cell>
          <cell r="G992">
            <v>-145.94999999999999</v>
          </cell>
          <cell r="I992">
            <v>-145.94999999999999</v>
          </cell>
        </row>
        <row r="993">
          <cell r="B993">
            <v>427</v>
          </cell>
          <cell r="C993">
            <v>450</v>
          </cell>
          <cell r="G993">
            <v>173437.5</v>
          </cell>
          <cell r="I993">
            <v>173437.5</v>
          </cell>
        </row>
        <row r="994">
          <cell r="B994">
            <v>427</v>
          </cell>
          <cell r="C994">
            <v>452</v>
          </cell>
          <cell r="G994">
            <v>587.88</v>
          </cell>
          <cell r="I994">
            <v>587.88</v>
          </cell>
        </row>
        <row r="995">
          <cell r="B995">
            <v>427</v>
          </cell>
          <cell r="C995">
            <v>453</v>
          </cell>
          <cell r="G995">
            <v>183750</v>
          </cell>
          <cell r="I995">
            <v>183750</v>
          </cell>
        </row>
        <row r="996">
          <cell r="B996">
            <v>427</v>
          </cell>
          <cell r="C996">
            <v>455</v>
          </cell>
          <cell r="G996">
            <v>52000</v>
          </cell>
          <cell r="I996">
            <v>52000</v>
          </cell>
        </row>
        <row r="997">
          <cell r="B997">
            <v>427</v>
          </cell>
          <cell r="C997">
            <v>456</v>
          </cell>
          <cell r="G997">
            <v>40687.5</v>
          </cell>
          <cell r="I997">
            <v>40687.5</v>
          </cell>
        </row>
        <row r="998">
          <cell r="B998">
            <v>427</v>
          </cell>
          <cell r="C998">
            <v>457</v>
          </cell>
          <cell r="G998">
            <v>145375</v>
          </cell>
          <cell r="I998">
            <v>145375</v>
          </cell>
        </row>
        <row r="999">
          <cell r="B999">
            <v>427</v>
          </cell>
          <cell r="C999">
            <v>458</v>
          </cell>
          <cell r="G999">
            <v>94791.67</v>
          </cell>
          <cell r="I999">
            <v>94791.67</v>
          </cell>
        </row>
        <row r="1000">
          <cell r="B1000">
            <v>427</v>
          </cell>
          <cell r="C1000">
            <v>459</v>
          </cell>
          <cell r="G1000">
            <v>9424.77</v>
          </cell>
          <cell r="I1000">
            <v>9424.77</v>
          </cell>
        </row>
        <row r="1001">
          <cell r="B1001">
            <v>427</v>
          </cell>
          <cell r="C1001">
            <v>721</v>
          </cell>
          <cell r="G1001">
            <v>244717</v>
          </cell>
          <cell r="I1001">
            <v>244717</v>
          </cell>
        </row>
        <row r="1002">
          <cell r="B1002">
            <v>427</v>
          </cell>
          <cell r="C1002">
            <v>722</v>
          </cell>
          <cell r="G1002">
            <v>262500</v>
          </cell>
          <cell r="I1002">
            <v>262500</v>
          </cell>
        </row>
        <row r="1003">
          <cell r="B1003">
            <v>427</v>
          </cell>
          <cell r="C1003">
            <v>723</v>
          </cell>
          <cell r="G1003">
            <v>191666.67</v>
          </cell>
          <cell r="I1003">
            <v>191666.67</v>
          </cell>
        </row>
        <row r="1004">
          <cell r="B1004">
            <v>427</v>
          </cell>
          <cell r="C1004">
            <v>749</v>
          </cell>
          <cell r="G1004">
            <v>291601.33</v>
          </cell>
          <cell r="I1004">
            <v>291601.33</v>
          </cell>
        </row>
        <row r="1005">
          <cell r="B1005">
            <v>427</v>
          </cell>
          <cell r="C1005">
            <v>753</v>
          </cell>
          <cell r="G1005">
            <v>171354.16</v>
          </cell>
          <cell r="I1005">
            <v>171354.16</v>
          </cell>
        </row>
        <row r="1006">
          <cell r="B1006">
            <v>427</v>
          </cell>
          <cell r="C1006">
            <v>754</v>
          </cell>
          <cell r="G1006">
            <v>306250</v>
          </cell>
          <cell r="I1006">
            <v>306250</v>
          </cell>
        </row>
        <row r="1007">
          <cell r="B1007">
            <v>427</v>
          </cell>
          <cell r="C1007">
            <v>756</v>
          </cell>
          <cell r="G1007">
            <v>282500</v>
          </cell>
          <cell r="I1007">
            <v>282500</v>
          </cell>
        </row>
        <row r="1008">
          <cell r="B1008">
            <v>427</v>
          </cell>
          <cell r="C1008">
            <v>758</v>
          </cell>
          <cell r="G1008">
            <v>530822.32999999996</v>
          </cell>
          <cell r="I1008">
            <v>530822.32999999996</v>
          </cell>
        </row>
        <row r="1009">
          <cell r="B1009">
            <v>427</v>
          </cell>
          <cell r="C1009">
            <v>759</v>
          </cell>
          <cell r="G1009">
            <v>392666.67</v>
          </cell>
          <cell r="I1009">
            <v>392666.67</v>
          </cell>
        </row>
        <row r="1010">
          <cell r="B1010">
            <v>427</v>
          </cell>
          <cell r="C1010">
            <v>761</v>
          </cell>
          <cell r="G1010">
            <v>110050.49</v>
          </cell>
          <cell r="I1010">
            <v>110050.49</v>
          </cell>
        </row>
        <row r="1011">
          <cell r="B1011">
            <v>427</v>
          </cell>
          <cell r="C1011">
            <v>763</v>
          </cell>
          <cell r="G1011">
            <v>40906.83</v>
          </cell>
          <cell r="I1011">
            <v>40906.83</v>
          </cell>
        </row>
        <row r="1012">
          <cell r="B1012">
            <v>428</v>
          </cell>
          <cell r="C1012">
            <v>450</v>
          </cell>
          <cell r="G1012">
            <v>5355.51</v>
          </cell>
          <cell r="I1012">
            <v>5355.51</v>
          </cell>
        </row>
        <row r="1013">
          <cell r="B1013">
            <v>428</v>
          </cell>
          <cell r="C1013">
            <v>452</v>
          </cell>
          <cell r="G1013">
            <v>179.72</v>
          </cell>
          <cell r="I1013">
            <v>179.72</v>
          </cell>
        </row>
        <row r="1014">
          <cell r="B1014">
            <v>428</v>
          </cell>
          <cell r="C1014">
            <v>453</v>
          </cell>
          <cell r="G1014">
            <v>4870.93</v>
          </cell>
          <cell r="I1014">
            <v>4870.93</v>
          </cell>
        </row>
        <row r="1015">
          <cell r="B1015">
            <v>428</v>
          </cell>
          <cell r="C1015">
            <v>455</v>
          </cell>
          <cell r="G1015">
            <v>2836.24</v>
          </cell>
          <cell r="I1015">
            <v>2836.24</v>
          </cell>
        </row>
        <row r="1016">
          <cell r="B1016">
            <v>428</v>
          </cell>
          <cell r="C1016">
            <v>456</v>
          </cell>
          <cell r="G1016">
            <v>3132.3</v>
          </cell>
          <cell r="I1016">
            <v>3132.3</v>
          </cell>
        </row>
        <row r="1017">
          <cell r="B1017">
            <v>428</v>
          </cell>
          <cell r="C1017">
            <v>457</v>
          </cell>
          <cell r="G1017">
            <v>6203.84</v>
          </cell>
          <cell r="I1017">
            <v>6203.84</v>
          </cell>
        </row>
        <row r="1018">
          <cell r="B1018">
            <v>428</v>
          </cell>
          <cell r="C1018">
            <v>458</v>
          </cell>
          <cell r="G1018">
            <v>1775.52</v>
          </cell>
          <cell r="I1018">
            <v>1775.52</v>
          </cell>
        </row>
        <row r="1019">
          <cell r="B1019">
            <v>428</v>
          </cell>
          <cell r="C1019">
            <v>459</v>
          </cell>
          <cell r="G1019">
            <v>1748.44</v>
          </cell>
          <cell r="I1019">
            <v>1748.44</v>
          </cell>
        </row>
        <row r="1020">
          <cell r="B1020">
            <v>428</v>
          </cell>
          <cell r="C1020">
            <v>721</v>
          </cell>
          <cell r="G1020">
            <v>5441.39</v>
          </cell>
          <cell r="I1020">
            <v>5441.39</v>
          </cell>
        </row>
        <row r="1021">
          <cell r="B1021">
            <v>428</v>
          </cell>
          <cell r="C1021">
            <v>722</v>
          </cell>
          <cell r="G1021">
            <v>8662.67</v>
          </cell>
          <cell r="I1021">
            <v>8662.67</v>
          </cell>
        </row>
        <row r="1022">
          <cell r="B1022">
            <v>428</v>
          </cell>
          <cell r="C1022">
            <v>723</v>
          </cell>
          <cell r="G1022">
            <v>5975.03</v>
          </cell>
          <cell r="I1022">
            <v>5975.03</v>
          </cell>
        </row>
        <row r="1023">
          <cell r="B1023">
            <v>428</v>
          </cell>
          <cell r="C1023">
            <v>749</v>
          </cell>
          <cell r="G1023">
            <v>9041.82</v>
          </cell>
          <cell r="I1023">
            <v>9041.82</v>
          </cell>
        </row>
        <row r="1024">
          <cell r="B1024">
            <v>428</v>
          </cell>
          <cell r="C1024">
            <v>753</v>
          </cell>
          <cell r="G1024">
            <v>2592.66</v>
          </cell>
          <cell r="I1024">
            <v>2592.66</v>
          </cell>
        </row>
        <row r="1025">
          <cell r="B1025">
            <v>428</v>
          </cell>
          <cell r="C1025">
            <v>754</v>
          </cell>
          <cell r="G1025">
            <v>5921.46</v>
          </cell>
          <cell r="I1025">
            <v>5921.46</v>
          </cell>
        </row>
        <row r="1026">
          <cell r="B1026">
            <v>428</v>
          </cell>
          <cell r="C1026">
            <v>756</v>
          </cell>
          <cell r="G1026">
            <v>2725.19</v>
          </cell>
          <cell r="I1026">
            <v>2725.19</v>
          </cell>
        </row>
        <row r="1027">
          <cell r="B1027">
            <v>428</v>
          </cell>
          <cell r="C1027">
            <v>758</v>
          </cell>
          <cell r="G1027">
            <v>8233.32</v>
          </cell>
          <cell r="I1027">
            <v>8233.32</v>
          </cell>
        </row>
        <row r="1028">
          <cell r="B1028">
            <v>428</v>
          </cell>
          <cell r="C1028">
            <v>759</v>
          </cell>
          <cell r="G1028">
            <v>6627.89</v>
          </cell>
          <cell r="I1028">
            <v>6627.89</v>
          </cell>
        </row>
        <row r="1029">
          <cell r="B1029">
            <v>428</v>
          </cell>
          <cell r="C1029">
            <v>761</v>
          </cell>
          <cell r="G1029">
            <v>3079.52</v>
          </cell>
          <cell r="I1029">
            <v>3079.52</v>
          </cell>
        </row>
        <row r="1030">
          <cell r="B1030">
            <v>428</v>
          </cell>
          <cell r="C1030">
            <v>763</v>
          </cell>
          <cell r="G1030">
            <v>46419.6</v>
          </cell>
          <cell r="I1030">
            <v>46419.6</v>
          </cell>
        </row>
        <row r="1031">
          <cell r="B1031">
            <v>428</v>
          </cell>
          <cell r="C1031">
            <v>1029</v>
          </cell>
          <cell r="G1031">
            <v>5452.97</v>
          </cell>
          <cell r="I1031">
            <v>5452.97</v>
          </cell>
        </row>
        <row r="1032">
          <cell r="B1032">
            <v>428</v>
          </cell>
          <cell r="C1032">
            <v>1030</v>
          </cell>
          <cell r="G1032">
            <v>20219</v>
          </cell>
          <cell r="I1032">
            <v>20219</v>
          </cell>
        </row>
        <row r="1033">
          <cell r="B1033">
            <v>428</v>
          </cell>
          <cell r="C1033">
            <v>1033</v>
          </cell>
          <cell r="G1033">
            <v>714.34</v>
          </cell>
          <cell r="I1033">
            <v>714.34</v>
          </cell>
        </row>
        <row r="1034">
          <cell r="B1034">
            <v>428</v>
          </cell>
          <cell r="C1034">
            <v>1034</v>
          </cell>
          <cell r="G1034">
            <v>961.12</v>
          </cell>
          <cell r="I1034">
            <v>961.12</v>
          </cell>
        </row>
        <row r="1035">
          <cell r="B1035">
            <v>428</v>
          </cell>
          <cell r="C1035">
            <v>1039</v>
          </cell>
          <cell r="G1035">
            <v>6279.14</v>
          </cell>
          <cell r="I1035">
            <v>6279.14</v>
          </cell>
        </row>
        <row r="1036">
          <cell r="B1036">
            <v>428</v>
          </cell>
          <cell r="C1036">
            <v>1040</v>
          </cell>
          <cell r="G1036">
            <v>4597.67</v>
          </cell>
          <cell r="I1036">
            <v>4597.67</v>
          </cell>
        </row>
        <row r="1037">
          <cell r="B1037">
            <v>428</v>
          </cell>
          <cell r="C1037">
            <v>1042</v>
          </cell>
          <cell r="G1037">
            <v>14121.68</v>
          </cell>
          <cell r="I1037">
            <v>14121.68</v>
          </cell>
        </row>
        <row r="1038">
          <cell r="B1038">
            <v>428</v>
          </cell>
          <cell r="C1038">
            <v>1049</v>
          </cell>
          <cell r="G1038">
            <v>4270.92</v>
          </cell>
          <cell r="I1038">
            <v>4270.92</v>
          </cell>
        </row>
        <row r="1039">
          <cell r="B1039">
            <v>428</v>
          </cell>
          <cell r="C1039">
            <v>1056</v>
          </cell>
          <cell r="G1039">
            <v>6072.64</v>
          </cell>
          <cell r="I1039">
            <v>6072.64</v>
          </cell>
        </row>
        <row r="1040">
          <cell r="B1040">
            <v>428</v>
          </cell>
          <cell r="C1040">
            <v>1057</v>
          </cell>
          <cell r="G1040">
            <v>3104.72</v>
          </cell>
          <cell r="I1040">
            <v>3104.72</v>
          </cell>
        </row>
        <row r="1041">
          <cell r="B1041">
            <v>428</v>
          </cell>
          <cell r="C1041">
            <v>1059</v>
          </cell>
          <cell r="G1041">
            <v>12633.41</v>
          </cell>
          <cell r="I1041">
            <v>12633.41</v>
          </cell>
        </row>
        <row r="1042">
          <cell r="B1042">
            <v>428</v>
          </cell>
          <cell r="C1042">
            <v>1061</v>
          </cell>
          <cell r="G1042">
            <v>1244.72</v>
          </cell>
          <cell r="I1042">
            <v>1244.72</v>
          </cell>
        </row>
        <row r="1043">
          <cell r="B1043">
            <v>428</v>
          </cell>
          <cell r="C1043">
            <v>1062</v>
          </cell>
          <cell r="G1043">
            <v>1628.16</v>
          </cell>
          <cell r="I1043">
            <v>1628.16</v>
          </cell>
        </row>
        <row r="1044">
          <cell r="B1044">
            <v>428</v>
          </cell>
          <cell r="C1044">
            <v>1063</v>
          </cell>
          <cell r="G1044">
            <v>733.04</v>
          </cell>
          <cell r="I1044">
            <v>733.04</v>
          </cell>
        </row>
        <row r="1045">
          <cell r="B1045">
            <v>428</v>
          </cell>
          <cell r="C1045">
            <v>1065</v>
          </cell>
          <cell r="G1045">
            <v>2941.75</v>
          </cell>
          <cell r="I1045">
            <v>2941.75</v>
          </cell>
        </row>
        <row r="1046">
          <cell r="B1046">
            <v>428</v>
          </cell>
          <cell r="C1046">
            <v>1066</v>
          </cell>
          <cell r="G1046">
            <v>10723.47</v>
          </cell>
          <cell r="I1046">
            <v>10723.47</v>
          </cell>
        </row>
        <row r="1047">
          <cell r="B1047">
            <v>428</v>
          </cell>
          <cell r="C1047">
            <v>1067</v>
          </cell>
          <cell r="G1047">
            <v>1542.27</v>
          </cell>
          <cell r="I1047">
            <v>1542.27</v>
          </cell>
        </row>
        <row r="1048">
          <cell r="B1048">
            <v>428</v>
          </cell>
          <cell r="C1048">
            <v>1068</v>
          </cell>
          <cell r="G1048">
            <v>2109.41</v>
          </cell>
          <cell r="I1048">
            <v>2109.41</v>
          </cell>
        </row>
        <row r="1049">
          <cell r="B1049">
            <v>428</v>
          </cell>
          <cell r="C1049">
            <v>1069</v>
          </cell>
          <cell r="G1049">
            <v>896.28</v>
          </cell>
          <cell r="I1049">
            <v>896.28</v>
          </cell>
        </row>
        <row r="1050">
          <cell r="B1050">
            <v>428</v>
          </cell>
          <cell r="C1050">
            <v>1070</v>
          </cell>
          <cell r="G1050">
            <v>1537.59</v>
          </cell>
          <cell r="I1050">
            <v>1537.59</v>
          </cell>
        </row>
        <row r="1051">
          <cell r="B1051">
            <v>428</v>
          </cell>
          <cell r="C1051">
            <v>1072</v>
          </cell>
          <cell r="G1051">
            <v>3392.74</v>
          </cell>
          <cell r="I1051">
            <v>3392.74</v>
          </cell>
        </row>
        <row r="1052">
          <cell r="B1052">
            <v>428</v>
          </cell>
          <cell r="C1052">
            <v>1073</v>
          </cell>
          <cell r="G1052">
            <v>3306.53</v>
          </cell>
          <cell r="I1052">
            <v>3306.53</v>
          </cell>
        </row>
        <row r="1053">
          <cell r="B1053">
            <v>428</v>
          </cell>
          <cell r="C1053">
            <v>1074</v>
          </cell>
          <cell r="G1053">
            <v>10455.06</v>
          </cell>
          <cell r="I1053">
            <v>10455.06</v>
          </cell>
        </row>
        <row r="1054">
          <cell r="B1054">
            <v>428</v>
          </cell>
          <cell r="C1054">
            <v>1075</v>
          </cell>
          <cell r="G1054">
            <v>8211.7900000000009</v>
          </cell>
          <cell r="I1054">
            <v>8211.7900000000009</v>
          </cell>
        </row>
        <row r="1055">
          <cell r="B1055">
            <v>428</v>
          </cell>
          <cell r="C1055">
            <v>1076</v>
          </cell>
          <cell r="G1055">
            <v>2397.1999999999998</v>
          </cell>
          <cell r="I1055">
            <v>2397.1999999999998</v>
          </cell>
        </row>
        <row r="1056">
          <cell r="B1056">
            <v>428</v>
          </cell>
          <cell r="C1056">
            <v>1077</v>
          </cell>
          <cell r="G1056">
            <v>1276.26</v>
          </cell>
          <cell r="I1056">
            <v>1276.26</v>
          </cell>
        </row>
        <row r="1057">
          <cell r="B1057">
            <v>428</v>
          </cell>
          <cell r="C1057">
            <v>1078</v>
          </cell>
          <cell r="G1057">
            <v>3621.06</v>
          </cell>
          <cell r="I1057">
            <v>3621.06</v>
          </cell>
        </row>
        <row r="1058">
          <cell r="B1058">
            <v>431</v>
          </cell>
          <cell r="C1058">
            <v>0</v>
          </cell>
          <cell r="G1058">
            <v>2093.96</v>
          </cell>
          <cell r="I1058">
            <v>2093.96</v>
          </cell>
        </row>
        <row r="1059">
          <cell r="B1059">
            <v>431</v>
          </cell>
          <cell r="C1059">
            <v>34</v>
          </cell>
          <cell r="G1059">
            <v>263.12</v>
          </cell>
          <cell r="I1059">
            <v>263.12</v>
          </cell>
        </row>
        <row r="1060">
          <cell r="B1060">
            <v>431</v>
          </cell>
          <cell r="C1060">
            <v>100</v>
          </cell>
          <cell r="G1060">
            <v>161051.14000000001</v>
          </cell>
          <cell r="I1060">
            <v>161051.14000000001</v>
          </cell>
        </row>
        <row r="1061">
          <cell r="B1061">
            <v>431</v>
          </cell>
          <cell r="C1061">
            <v>200</v>
          </cell>
          <cell r="G1061">
            <v>9852.2800000000007</v>
          </cell>
          <cell r="I1061">
            <v>9852.2800000000007</v>
          </cell>
        </row>
        <row r="1062">
          <cell r="B1062">
            <v>431</v>
          </cell>
          <cell r="C1062">
            <v>250</v>
          </cell>
          <cell r="G1062">
            <v>13033.86</v>
          </cell>
          <cell r="I1062">
            <v>13033.86</v>
          </cell>
        </row>
        <row r="1063">
          <cell r="B1063">
            <v>431</v>
          </cell>
          <cell r="C1063">
            <v>996</v>
          </cell>
          <cell r="G1063">
            <v>1864.47</v>
          </cell>
          <cell r="I1063">
            <v>1864.47</v>
          </cell>
        </row>
        <row r="1064">
          <cell r="B1064">
            <v>431</v>
          </cell>
          <cell r="C1064">
            <v>997</v>
          </cell>
          <cell r="G1064">
            <v>236.66</v>
          </cell>
          <cell r="I1064">
            <v>236.66</v>
          </cell>
        </row>
        <row r="1065">
          <cell r="B1065">
            <v>431</v>
          </cell>
          <cell r="C1065">
            <v>999</v>
          </cell>
          <cell r="G1065">
            <v>515</v>
          </cell>
          <cell r="I1065">
            <v>515</v>
          </cell>
        </row>
        <row r="1066">
          <cell r="B1066">
            <v>431</v>
          </cell>
          <cell r="C1066">
            <v>1953</v>
          </cell>
          <cell r="G1066">
            <v>15.14</v>
          </cell>
          <cell r="I1066">
            <v>15.14</v>
          </cell>
        </row>
        <row r="1067">
          <cell r="B1067">
            <v>431</v>
          </cell>
          <cell r="C1067">
            <v>1954</v>
          </cell>
          <cell r="G1067">
            <v>2.6</v>
          </cell>
          <cell r="I1067">
            <v>2.6</v>
          </cell>
        </row>
        <row r="1068">
          <cell r="B1068">
            <v>431</v>
          </cell>
          <cell r="C1068">
            <v>1956</v>
          </cell>
          <cell r="G1068">
            <v>33.880000000000003</v>
          </cell>
          <cell r="I1068">
            <v>33.880000000000003</v>
          </cell>
        </row>
        <row r="1069">
          <cell r="B1069">
            <v>432</v>
          </cell>
          <cell r="C1069">
            <v>0</v>
          </cell>
          <cell r="G1069">
            <v>-166724.96</v>
          </cell>
          <cell r="I1069">
            <v>-166724.96</v>
          </cell>
        </row>
        <row r="1070">
          <cell r="B1070">
            <v>437</v>
          </cell>
          <cell r="C1070">
            <v>16</v>
          </cell>
          <cell r="G1070">
            <v>825000</v>
          </cell>
          <cell r="I1070">
            <v>825000</v>
          </cell>
        </row>
        <row r="1071">
          <cell r="B1071">
            <v>437</v>
          </cell>
          <cell r="C1071">
            <v>17</v>
          </cell>
          <cell r="G1071">
            <v>725625</v>
          </cell>
          <cell r="I1071">
            <v>725625</v>
          </cell>
        </row>
        <row r="1072">
          <cell r="B1072">
            <v>437</v>
          </cell>
          <cell r="C1072">
            <v>910</v>
          </cell>
          <cell r="G1072">
            <v>-516875</v>
          </cell>
          <cell r="I1072">
            <v>-516875</v>
          </cell>
        </row>
        <row r="1073">
          <cell r="B1073">
            <v>437</v>
          </cell>
          <cell r="C1073">
            <v>43131</v>
          </cell>
          <cell r="G1073">
            <v>516875</v>
          </cell>
          <cell r="I1073">
            <v>516875</v>
          </cell>
        </row>
        <row r="1074">
          <cell r="B1074">
            <v>438</v>
          </cell>
          <cell r="C1074">
            <v>0</v>
          </cell>
          <cell r="G1074">
            <v>26075000</v>
          </cell>
          <cell r="I1074">
            <v>26075000</v>
          </cell>
        </row>
        <row r="1075">
          <cell r="B1075">
            <v>440</v>
          </cell>
          <cell r="C1075">
            <v>90</v>
          </cell>
          <cell r="G1075">
            <v>-311414</v>
          </cell>
          <cell r="I1075">
            <v>-311414</v>
          </cell>
        </row>
        <row r="1076">
          <cell r="B1076">
            <v>440</v>
          </cell>
          <cell r="C1076">
            <v>100</v>
          </cell>
          <cell r="G1076">
            <v>-64321629.170000002</v>
          </cell>
          <cell r="I1076">
            <v>-64321629.170000002</v>
          </cell>
        </row>
        <row r="1077">
          <cell r="B1077">
            <v>440</v>
          </cell>
          <cell r="C1077">
            <v>140</v>
          </cell>
          <cell r="G1077">
            <v>-1976651.87</v>
          </cell>
          <cell r="I1077">
            <v>-1976651.87</v>
          </cell>
        </row>
        <row r="1078">
          <cell r="B1078">
            <v>440</v>
          </cell>
          <cell r="C1078">
            <v>146</v>
          </cell>
          <cell r="G1078">
            <v>-43433.3</v>
          </cell>
          <cell r="I1078">
            <v>-43433.3</v>
          </cell>
        </row>
        <row r="1079">
          <cell r="B1079">
            <v>440</v>
          </cell>
          <cell r="C1079">
            <v>147</v>
          </cell>
          <cell r="G1079">
            <v>-18510.740000000002</v>
          </cell>
          <cell r="I1079">
            <v>-18510.740000000002</v>
          </cell>
        </row>
        <row r="1080">
          <cell r="B1080">
            <v>440</v>
          </cell>
          <cell r="C1080">
            <v>150</v>
          </cell>
          <cell r="G1080">
            <v>-1284285.81</v>
          </cell>
          <cell r="I1080">
            <v>-1284285.81</v>
          </cell>
        </row>
        <row r="1081">
          <cell r="B1081">
            <v>440</v>
          </cell>
          <cell r="C1081">
            <v>170</v>
          </cell>
          <cell r="G1081">
            <v>-315172.65999999997</v>
          </cell>
          <cell r="I1081">
            <v>-315172.65999999997</v>
          </cell>
        </row>
        <row r="1082">
          <cell r="B1082">
            <v>440</v>
          </cell>
          <cell r="C1082">
            <v>600</v>
          </cell>
          <cell r="G1082">
            <v>-92469.48</v>
          </cell>
          <cell r="I1082">
            <v>-92469.48</v>
          </cell>
        </row>
        <row r="1083">
          <cell r="B1083">
            <v>440</v>
          </cell>
          <cell r="C1083">
            <v>990</v>
          </cell>
          <cell r="G1083">
            <v>-5598.77</v>
          </cell>
          <cell r="I1083">
            <v>-5598.77</v>
          </cell>
        </row>
        <row r="1084">
          <cell r="B1084">
            <v>442</v>
          </cell>
          <cell r="C1084">
            <v>100</v>
          </cell>
          <cell r="G1084">
            <v>-3628287.12</v>
          </cell>
          <cell r="I1084">
            <v>-3628287.12</v>
          </cell>
        </row>
        <row r="1085">
          <cell r="B1085">
            <v>442</v>
          </cell>
          <cell r="C1085">
            <v>130</v>
          </cell>
          <cell r="G1085">
            <v>-270301.44</v>
          </cell>
          <cell r="I1085">
            <v>-270301.44</v>
          </cell>
        </row>
        <row r="1086">
          <cell r="B1086">
            <v>442</v>
          </cell>
          <cell r="C1086">
            <v>140</v>
          </cell>
          <cell r="G1086">
            <v>-22362518.449999999</v>
          </cell>
          <cell r="I1086">
            <v>-22362518.449999999</v>
          </cell>
        </row>
        <row r="1087">
          <cell r="B1087">
            <v>442</v>
          </cell>
          <cell r="C1087">
            <v>150</v>
          </cell>
          <cell r="G1087">
            <v>-35440.29</v>
          </cell>
          <cell r="I1087">
            <v>-35440.29</v>
          </cell>
        </row>
        <row r="1088">
          <cell r="B1088">
            <v>442</v>
          </cell>
          <cell r="C1088">
            <v>160</v>
          </cell>
          <cell r="G1088">
            <v>-204840.73</v>
          </cell>
          <cell r="I1088">
            <v>-204840.73</v>
          </cell>
        </row>
        <row r="1089">
          <cell r="B1089">
            <v>442</v>
          </cell>
          <cell r="C1089">
            <v>224</v>
          </cell>
          <cell r="G1089">
            <v>3813234</v>
          </cell>
          <cell r="I1089">
            <v>3813234</v>
          </cell>
        </row>
        <row r="1090">
          <cell r="B1090">
            <v>442</v>
          </cell>
          <cell r="C1090">
            <v>300</v>
          </cell>
          <cell r="G1090">
            <v>-3458369.05</v>
          </cell>
          <cell r="I1090">
            <v>-3458369.05</v>
          </cell>
        </row>
        <row r="1091">
          <cell r="B1091">
            <v>442</v>
          </cell>
          <cell r="C1091">
            <v>320</v>
          </cell>
          <cell r="G1091">
            <v>-3251504.07</v>
          </cell>
          <cell r="I1091">
            <v>-3251504.07</v>
          </cell>
        </row>
        <row r="1092">
          <cell r="B1092">
            <v>442</v>
          </cell>
          <cell r="C1092">
            <v>400</v>
          </cell>
          <cell r="G1092">
            <v>-417731.22</v>
          </cell>
          <cell r="I1092">
            <v>-417731.22</v>
          </cell>
        </row>
        <row r="1093">
          <cell r="B1093">
            <v>442</v>
          </cell>
          <cell r="C1093">
            <v>600</v>
          </cell>
          <cell r="G1093">
            <v>-401.71</v>
          </cell>
          <cell r="I1093">
            <v>-401.71</v>
          </cell>
        </row>
        <row r="1094">
          <cell r="B1094">
            <v>442</v>
          </cell>
          <cell r="C1094">
            <v>700</v>
          </cell>
          <cell r="G1094">
            <v>-777224.41</v>
          </cell>
          <cell r="I1094">
            <v>-777224.41</v>
          </cell>
        </row>
        <row r="1095">
          <cell r="B1095">
            <v>442</v>
          </cell>
          <cell r="C1095">
            <v>720</v>
          </cell>
          <cell r="G1095">
            <v>-44904.47</v>
          </cell>
          <cell r="I1095">
            <v>-44904.47</v>
          </cell>
        </row>
        <row r="1096">
          <cell r="B1096">
            <v>442</v>
          </cell>
          <cell r="C1096">
            <v>740</v>
          </cell>
          <cell r="G1096">
            <v>-356954.71</v>
          </cell>
          <cell r="I1096">
            <v>-356954.71</v>
          </cell>
        </row>
        <row r="1097">
          <cell r="B1097">
            <v>442</v>
          </cell>
          <cell r="C1097">
            <v>990</v>
          </cell>
          <cell r="G1097">
            <v>-113.1</v>
          </cell>
          <cell r="I1097">
            <v>-113.1</v>
          </cell>
        </row>
        <row r="1098">
          <cell r="B1098">
            <v>442</v>
          </cell>
          <cell r="C1098">
            <v>290</v>
          </cell>
          <cell r="G1098">
            <v>-184296</v>
          </cell>
          <cell r="I1098">
            <v>-184296</v>
          </cell>
        </row>
        <row r="1099">
          <cell r="B1099">
            <v>442</v>
          </cell>
          <cell r="C1099">
            <v>1100</v>
          </cell>
          <cell r="G1099">
            <v>-4651</v>
          </cell>
          <cell r="I1099">
            <v>-4651</v>
          </cell>
        </row>
        <row r="1100">
          <cell r="B1100">
            <v>442</v>
          </cell>
          <cell r="C1100">
            <v>1130</v>
          </cell>
          <cell r="G1100">
            <v>-2552.5300000000002</v>
          </cell>
          <cell r="I1100">
            <v>-2552.5300000000002</v>
          </cell>
        </row>
        <row r="1101">
          <cell r="B1101">
            <v>442</v>
          </cell>
          <cell r="C1101">
            <v>1140</v>
          </cell>
          <cell r="G1101">
            <v>-551029.92000000004</v>
          </cell>
          <cell r="I1101">
            <v>-551029.92000000004</v>
          </cell>
        </row>
        <row r="1102">
          <cell r="B1102">
            <v>442</v>
          </cell>
          <cell r="C1102">
            <v>1160</v>
          </cell>
          <cell r="G1102">
            <v>-10930.48</v>
          </cell>
          <cell r="I1102">
            <v>-10930.48</v>
          </cell>
        </row>
        <row r="1103">
          <cell r="B1103">
            <v>442</v>
          </cell>
          <cell r="C1103">
            <v>1300</v>
          </cell>
          <cell r="G1103">
            <v>-812725.87</v>
          </cell>
          <cell r="I1103">
            <v>-812725.87</v>
          </cell>
        </row>
        <row r="1104">
          <cell r="B1104">
            <v>442</v>
          </cell>
          <cell r="C1104">
            <v>1320</v>
          </cell>
          <cell r="G1104">
            <v>-5078835.55</v>
          </cell>
          <cell r="I1104">
            <v>-5078835.55</v>
          </cell>
        </row>
        <row r="1105">
          <cell r="B1105">
            <v>442</v>
          </cell>
          <cell r="C1105">
            <v>1400</v>
          </cell>
          <cell r="G1105">
            <v>-4539757.32</v>
          </cell>
          <cell r="I1105">
            <v>-4539757.32</v>
          </cell>
        </row>
        <row r="1106">
          <cell r="B1106">
            <v>442</v>
          </cell>
          <cell r="C1106">
            <v>1420</v>
          </cell>
          <cell r="G1106">
            <v>-294204.61</v>
          </cell>
          <cell r="I1106">
            <v>-294204.61</v>
          </cell>
        </row>
        <row r="1107">
          <cell r="B1107">
            <v>442</v>
          </cell>
          <cell r="C1107">
            <v>1500</v>
          </cell>
          <cell r="G1107">
            <v>-77017.850000000006</v>
          </cell>
          <cell r="I1107">
            <v>-77017.850000000006</v>
          </cell>
        </row>
        <row r="1108">
          <cell r="B1108">
            <v>442</v>
          </cell>
          <cell r="C1108">
            <v>1520</v>
          </cell>
          <cell r="G1108">
            <v>-29082.51</v>
          </cell>
          <cell r="I1108">
            <v>-29082.51</v>
          </cell>
        </row>
        <row r="1109">
          <cell r="B1109">
            <v>442</v>
          </cell>
          <cell r="C1109">
            <v>1700</v>
          </cell>
          <cell r="G1109">
            <v>-9967.83</v>
          </cell>
          <cell r="I1109">
            <v>-9967.83</v>
          </cell>
        </row>
        <row r="1110">
          <cell r="B1110">
            <v>442</v>
          </cell>
          <cell r="C1110">
            <v>1740</v>
          </cell>
          <cell r="G1110">
            <v>-2.12</v>
          </cell>
          <cell r="I1110">
            <v>-2.12</v>
          </cell>
        </row>
        <row r="1111">
          <cell r="B1111">
            <v>444</v>
          </cell>
          <cell r="C1111">
            <v>100</v>
          </cell>
          <cell r="G1111">
            <v>-370390.84</v>
          </cell>
          <cell r="I1111">
            <v>-370390.84</v>
          </cell>
        </row>
        <row r="1112">
          <cell r="B1112">
            <v>447</v>
          </cell>
          <cell r="C1112">
            <v>2100</v>
          </cell>
          <cell r="G1112">
            <v>-7308331.4299999997</v>
          </cell>
          <cell r="I1112">
            <v>-7308331.4299999997</v>
          </cell>
        </row>
        <row r="1113">
          <cell r="B1113">
            <v>447</v>
          </cell>
          <cell r="C1113">
            <v>2200</v>
          </cell>
          <cell r="G1113">
            <v>-22150</v>
          </cell>
          <cell r="I1113">
            <v>-22150</v>
          </cell>
        </row>
        <row r="1114">
          <cell r="B1114">
            <v>447</v>
          </cell>
          <cell r="C1114">
            <v>2290</v>
          </cell>
          <cell r="G1114">
            <v>-5334.36</v>
          </cell>
          <cell r="I1114">
            <v>-5334.36</v>
          </cell>
        </row>
        <row r="1115">
          <cell r="B1115">
            <v>447</v>
          </cell>
          <cell r="C1115">
            <v>2291</v>
          </cell>
          <cell r="G1115">
            <v>-5914.78</v>
          </cell>
          <cell r="I1115">
            <v>-5914.78</v>
          </cell>
        </row>
        <row r="1116">
          <cell r="B1116">
            <v>447</v>
          </cell>
          <cell r="C1116">
            <v>2293</v>
          </cell>
          <cell r="G1116">
            <v>-742.38</v>
          </cell>
          <cell r="I1116">
            <v>-742.38</v>
          </cell>
        </row>
        <row r="1117">
          <cell r="B1117">
            <v>447</v>
          </cell>
          <cell r="C1117">
            <v>2294</v>
          </cell>
          <cell r="G1117">
            <v>-646.92999999999995</v>
          </cell>
          <cell r="I1117">
            <v>-646.92999999999995</v>
          </cell>
        </row>
        <row r="1118">
          <cell r="B1118">
            <v>447</v>
          </cell>
          <cell r="C1118">
            <v>2297</v>
          </cell>
          <cell r="G1118">
            <v>-85.82</v>
          </cell>
          <cell r="I1118">
            <v>-85.82</v>
          </cell>
        </row>
        <row r="1119">
          <cell r="B1119">
            <v>447</v>
          </cell>
          <cell r="C1119">
            <v>2298</v>
          </cell>
          <cell r="G1119">
            <v>-66.61</v>
          </cell>
          <cell r="I1119">
            <v>-66.61</v>
          </cell>
        </row>
        <row r="1120">
          <cell r="B1120">
            <v>447</v>
          </cell>
          <cell r="C1120">
            <v>3100</v>
          </cell>
          <cell r="G1120">
            <v>-2634997.9300000002</v>
          </cell>
          <cell r="I1120">
            <v>-2634997.9300000002</v>
          </cell>
        </row>
        <row r="1121">
          <cell r="B1121">
            <v>447</v>
          </cell>
          <cell r="C1121">
            <v>3200</v>
          </cell>
          <cell r="G1121">
            <v>-921937.25</v>
          </cell>
          <cell r="I1121">
            <v>-921937.25</v>
          </cell>
        </row>
        <row r="1122">
          <cell r="B1122">
            <v>447</v>
          </cell>
          <cell r="C1122">
            <v>4100</v>
          </cell>
          <cell r="G1122">
            <v>-3947743.98</v>
          </cell>
          <cell r="I1122">
            <v>-3947743.98</v>
          </cell>
        </row>
        <row r="1123">
          <cell r="B1123">
            <v>447</v>
          </cell>
          <cell r="C1123">
            <v>4200</v>
          </cell>
          <cell r="G1123">
            <v>-2261293.9</v>
          </cell>
          <cell r="I1123">
            <v>-2261293.9</v>
          </cell>
        </row>
        <row r="1124">
          <cell r="B1124">
            <v>447</v>
          </cell>
          <cell r="C1124">
            <v>4301</v>
          </cell>
          <cell r="G1124">
            <v>-9644.9500000000007</v>
          </cell>
          <cell r="I1124">
            <v>-9644.9500000000007</v>
          </cell>
        </row>
        <row r="1125">
          <cell r="B1125">
            <v>451</v>
          </cell>
          <cell r="C1125">
            <v>8</v>
          </cell>
          <cell r="G1125">
            <v>-3485584.47</v>
          </cell>
          <cell r="I1125">
            <v>-3485584.47</v>
          </cell>
        </row>
        <row r="1126">
          <cell r="B1126">
            <v>451</v>
          </cell>
          <cell r="C1126">
            <v>12</v>
          </cell>
          <cell r="G1126">
            <v>-4850.24</v>
          </cell>
          <cell r="I1126">
            <v>-4850.24</v>
          </cell>
        </row>
        <row r="1127">
          <cell r="B1127">
            <v>451</v>
          </cell>
          <cell r="C1127">
            <v>23</v>
          </cell>
          <cell r="G1127">
            <v>-219571.32</v>
          </cell>
          <cell r="I1127">
            <v>-219571.32</v>
          </cell>
        </row>
        <row r="1128">
          <cell r="B1128">
            <v>451</v>
          </cell>
          <cell r="C1128">
            <v>28</v>
          </cell>
          <cell r="G1128">
            <v>-28986.3</v>
          </cell>
          <cell r="I1128">
            <v>-28986.3</v>
          </cell>
        </row>
        <row r="1129">
          <cell r="B1129">
            <v>451</v>
          </cell>
          <cell r="C1129">
            <v>30</v>
          </cell>
          <cell r="G1129">
            <v>-454.84</v>
          </cell>
          <cell r="I1129">
            <v>-454.84</v>
          </cell>
        </row>
        <row r="1130">
          <cell r="B1130">
            <v>451</v>
          </cell>
          <cell r="C1130">
            <v>33</v>
          </cell>
          <cell r="G1130">
            <v>-45962.03</v>
          </cell>
          <cell r="I1130">
            <v>-45962.03</v>
          </cell>
        </row>
        <row r="1131">
          <cell r="B1131">
            <v>451</v>
          </cell>
          <cell r="C1131">
            <v>34</v>
          </cell>
          <cell r="G1131">
            <v>-4320</v>
          </cell>
          <cell r="I1131">
            <v>-4320</v>
          </cell>
        </row>
        <row r="1132">
          <cell r="B1132">
            <v>451</v>
          </cell>
          <cell r="C1132">
            <v>35</v>
          </cell>
          <cell r="G1132">
            <v>-2280</v>
          </cell>
          <cell r="I1132">
            <v>-2280</v>
          </cell>
        </row>
        <row r="1133">
          <cell r="B1133">
            <v>451</v>
          </cell>
          <cell r="C1133">
            <v>80</v>
          </cell>
          <cell r="G1133">
            <v>-9261</v>
          </cell>
          <cell r="I1133">
            <v>-9261</v>
          </cell>
        </row>
        <row r="1134">
          <cell r="B1134">
            <v>451</v>
          </cell>
          <cell r="C1134">
            <v>90</v>
          </cell>
          <cell r="G1134">
            <v>-4720</v>
          </cell>
          <cell r="I1134">
            <v>-4720</v>
          </cell>
        </row>
        <row r="1135">
          <cell r="B1135">
            <v>454</v>
          </cell>
          <cell r="C1135">
            <v>100</v>
          </cell>
          <cell r="G1135">
            <v>-183876.03</v>
          </cell>
          <cell r="I1135">
            <v>-183876.03</v>
          </cell>
        </row>
        <row r="1136">
          <cell r="B1136">
            <v>454</v>
          </cell>
          <cell r="C1136">
            <v>200</v>
          </cell>
          <cell r="G1136">
            <v>-141390.92000000001</v>
          </cell>
          <cell r="I1136">
            <v>-141390.92000000001</v>
          </cell>
        </row>
        <row r="1137">
          <cell r="B1137">
            <v>454</v>
          </cell>
          <cell r="C1137">
            <v>203</v>
          </cell>
          <cell r="G1137">
            <v>-25422.9</v>
          </cell>
          <cell r="I1137">
            <v>-25422.9</v>
          </cell>
        </row>
        <row r="1138">
          <cell r="B1138">
            <v>454</v>
          </cell>
          <cell r="C1138">
            <v>410</v>
          </cell>
          <cell r="G1138">
            <v>-54204</v>
          </cell>
          <cell r="I1138">
            <v>-54204</v>
          </cell>
        </row>
        <row r="1139">
          <cell r="B1139">
            <v>454</v>
          </cell>
          <cell r="C1139">
            <v>900</v>
          </cell>
          <cell r="G1139">
            <v>-30018.14</v>
          </cell>
          <cell r="I1139">
            <v>-30018.14</v>
          </cell>
        </row>
        <row r="1140">
          <cell r="B1140">
            <v>456</v>
          </cell>
          <cell r="C1140">
            <v>0</v>
          </cell>
          <cell r="G1140">
            <v>-180457.17</v>
          </cell>
          <cell r="I1140">
            <v>-180457.17</v>
          </cell>
        </row>
        <row r="1141">
          <cell r="B1141">
            <v>456</v>
          </cell>
          <cell r="C1141">
            <v>946</v>
          </cell>
          <cell r="G1141">
            <v>-753277.22</v>
          </cell>
          <cell r="I1141">
            <v>-753277.22</v>
          </cell>
        </row>
        <row r="1142">
          <cell r="B1142">
            <v>456</v>
          </cell>
          <cell r="C1142">
            <v>947</v>
          </cell>
          <cell r="G1142">
            <v>-3456854.63</v>
          </cell>
          <cell r="I1142">
            <v>-3456854.63</v>
          </cell>
        </row>
        <row r="1143">
          <cell r="B1143">
            <v>456</v>
          </cell>
          <cell r="C1143">
            <v>948</v>
          </cell>
          <cell r="G1143">
            <v>294767.08</v>
          </cell>
          <cell r="I1143">
            <v>294767.08</v>
          </cell>
        </row>
        <row r="1144">
          <cell r="B1144">
            <v>456</v>
          </cell>
          <cell r="C1144">
            <v>949</v>
          </cell>
          <cell r="G1144">
            <v>3142875</v>
          </cell>
          <cell r="I1144">
            <v>3142875</v>
          </cell>
        </row>
        <row r="1145">
          <cell r="B1145">
            <v>456</v>
          </cell>
          <cell r="C1145">
            <v>951</v>
          </cell>
          <cell r="G1145">
            <v>-757264.55</v>
          </cell>
          <cell r="I1145">
            <v>-757264.55</v>
          </cell>
        </row>
        <row r="1146">
          <cell r="B1146">
            <v>456</v>
          </cell>
          <cell r="C1146">
            <v>1953</v>
          </cell>
          <cell r="G1146">
            <v>-10819.13</v>
          </cell>
          <cell r="I1146">
            <v>-10819.13</v>
          </cell>
        </row>
        <row r="1147">
          <cell r="B1147">
            <v>456</v>
          </cell>
          <cell r="C1147">
            <v>1954</v>
          </cell>
          <cell r="G1147">
            <v>-3637</v>
          </cell>
          <cell r="I1147">
            <v>-3637</v>
          </cell>
        </row>
        <row r="1148">
          <cell r="B1148">
            <v>456</v>
          </cell>
          <cell r="C1148">
            <v>1955</v>
          </cell>
          <cell r="G1148">
            <v>-23096.69</v>
          </cell>
          <cell r="I1148">
            <v>-23096.69</v>
          </cell>
        </row>
        <row r="1149">
          <cell r="B1149">
            <v>456</v>
          </cell>
          <cell r="C1149">
            <v>1956</v>
          </cell>
          <cell r="G1149">
            <v>-29700.05</v>
          </cell>
          <cell r="I1149">
            <v>-29700.05</v>
          </cell>
        </row>
        <row r="1150">
          <cell r="B1150">
            <v>456</v>
          </cell>
          <cell r="C1150">
            <v>12068</v>
          </cell>
          <cell r="G1150">
            <v>-2508.8000000000002</v>
          </cell>
          <cell r="I1150">
            <v>-2508.8000000000002</v>
          </cell>
        </row>
        <row r="1151">
          <cell r="B1151">
            <v>456</v>
          </cell>
          <cell r="C1151">
            <v>13011</v>
          </cell>
          <cell r="G1151">
            <v>4521.5</v>
          </cell>
          <cell r="I1151">
            <v>4521.5</v>
          </cell>
        </row>
        <row r="1152">
          <cell r="B1152">
            <v>456</v>
          </cell>
          <cell r="C1152">
            <v>13100</v>
          </cell>
          <cell r="G1152">
            <v>-56.48</v>
          </cell>
          <cell r="I1152">
            <v>-56.48</v>
          </cell>
        </row>
        <row r="1153">
          <cell r="B1153">
            <v>456</v>
          </cell>
          <cell r="C1153">
            <v>14020</v>
          </cell>
          <cell r="G1153">
            <v>-8414.24</v>
          </cell>
          <cell r="I1153">
            <v>-8414.24</v>
          </cell>
        </row>
        <row r="1154">
          <cell r="B1154">
            <v>456</v>
          </cell>
          <cell r="C1154">
            <v>14022</v>
          </cell>
          <cell r="G1154">
            <v>-3796.08</v>
          </cell>
          <cell r="I1154">
            <v>-3796.08</v>
          </cell>
        </row>
        <row r="1155">
          <cell r="B1155">
            <v>456</v>
          </cell>
          <cell r="C1155">
            <v>14024</v>
          </cell>
          <cell r="G1155">
            <v>-43586.17</v>
          </cell>
          <cell r="I1155">
            <v>-43586.17</v>
          </cell>
        </row>
        <row r="1156">
          <cell r="B1156">
            <v>456</v>
          </cell>
          <cell r="C1156">
            <v>14030</v>
          </cell>
          <cell r="G1156">
            <v>-85777.91</v>
          </cell>
          <cell r="I1156">
            <v>-85777.91</v>
          </cell>
        </row>
        <row r="1157">
          <cell r="B1157">
            <v>456</v>
          </cell>
          <cell r="C1157">
            <v>14040</v>
          </cell>
          <cell r="G1157">
            <v>-1023.65</v>
          </cell>
          <cell r="I1157">
            <v>-1023.65</v>
          </cell>
        </row>
        <row r="1158">
          <cell r="B1158">
            <v>456</v>
          </cell>
          <cell r="C1158">
            <v>14041</v>
          </cell>
          <cell r="G1158">
            <v>-2582</v>
          </cell>
          <cell r="I1158">
            <v>-2582</v>
          </cell>
        </row>
        <row r="1159">
          <cell r="B1159">
            <v>456</v>
          </cell>
          <cell r="C1159">
            <v>14042</v>
          </cell>
          <cell r="G1159">
            <v>-454.95</v>
          </cell>
          <cell r="I1159">
            <v>-454.95</v>
          </cell>
        </row>
        <row r="1160">
          <cell r="B1160">
            <v>456</v>
          </cell>
          <cell r="C1160">
            <v>14044</v>
          </cell>
          <cell r="G1160">
            <v>-4753.46</v>
          </cell>
          <cell r="I1160">
            <v>-4753.46</v>
          </cell>
        </row>
        <row r="1161">
          <cell r="B1161">
            <v>456</v>
          </cell>
          <cell r="C1161">
            <v>14071</v>
          </cell>
          <cell r="G1161">
            <v>-3582.32</v>
          </cell>
          <cell r="I1161">
            <v>-3582.32</v>
          </cell>
        </row>
        <row r="1162">
          <cell r="B1162">
            <v>456</v>
          </cell>
          <cell r="C1162">
            <v>14080</v>
          </cell>
          <cell r="G1162">
            <v>-5124.38</v>
          </cell>
          <cell r="I1162">
            <v>-5124.38</v>
          </cell>
        </row>
        <row r="1163">
          <cell r="B1163">
            <v>456</v>
          </cell>
          <cell r="C1163">
            <v>14094</v>
          </cell>
          <cell r="G1163">
            <v>-13232.39</v>
          </cell>
          <cell r="I1163">
            <v>-13232.39</v>
          </cell>
        </row>
        <row r="1164">
          <cell r="B1164">
            <v>456</v>
          </cell>
          <cell r="C1164">
            <v>14200</v>
          </cell>
          <cell r="G1164">
            <v>-8936.34</v>
          </cell>
          <cell r="I1164">
            <v>-8936.34</v>
          </cell>
        </row>
        <row r="1165">
          <cell r="B1165">
            <v>456</v>
          </cell>
          <cell r="C1165">
            <v>14210</v>
          </cell>
          <cell r="G1165">
            <v>-53589.26</v>
          </cell>
          <cell r="I1165">
            <v>-53589.26</v>
          </cell>
        </row>
        <row r="1166">
          <cell r="B1166">
            <v>456</v>
          </cell>
          <cell r="C1166">
            <v>14212</v>
          </cell>
          <cell r="G1166">
            <v>-32162.23</v>
          </cell>
          <cell r="I1166">
            <v>-32162.23</v>
          </cell>
        </row>
        <row r="1167">
          <cell r="B1167">
            <v>456</v>
          </cell>
          <cell r="C1167">
            <v>14214</v>
          </cell>
          <cell r="G1167">
            <v>-355792.45</v>
          </cell>
          <cell r="I1167">
            <v>-355792.45</v>
          </cell>
        </row>
        <row r="1168">
          <cell r="B1168">
            <v>500</v>
          </cell>
          <cell r="C1168">
            <v>0</v>
          </cell>
          <cell r="G1168">
            <v>616306.86</v>
          </cell>
          <cell r="I1168">
            <v>616306.86</v>
          </cell>
        </row>
        <row r="1169">
          <cell r="B1169">
            <v>501</v>
          </cell>
          <cell r="C1169">
            <v>0</v>
          </cell>
          <cell r="G1169">
            <v>165897.46</v>
          </cell>
          <cell r="I1169">
            <v>165897.46</v>
          </cell>
        </row>
        <row r="1170">
          <cell r="B1170">
            <v>501</v>
          </cell>
          <cell r="C1170">
            <v>1</v>
          </cell>
          <cell r="G1170">
            <v>51510906.060000002</v>
          </cell>
          <cell r="I1170">
            <v>51510906.060000002</v>
          </cell>
        </row>
        <row r="1171">
          <cell r="B1171">
            <v>501</v>
          </cell>
          <cell r="C1171">
            <v>2</v>
          </cell>
          <cell r="G1171">
            <v>191406.63</v>
          </cell>
          <cell r="I1171">
            <v>191406.63</v>
          </cell>
        </row>
        <row r="1172">
          <cell r="B1172">
            <v>501</v>
          </cell>
          <cell r="C1172">
            <v>3</v>
          </cell>
          <cell r="G1172">
            <v>408227.11</v>
          </cell>
          <cell r="I1172">
            <v>408227.11</v>
          </cell>
        </row>
        <row r="1173">
          <cell r="B1173">
            <v>501</v>
          </cell>
          <cell r="C1173">
            <v>11</v>
          </cell>
          <cell r="G1173">
            <v>273919.14</v>
          </cell>
          <cell r="I1173">
            <v>273919.14</v>
          </cell>
        </row>
        <row r="1174">
          <cell r="B1174">
            <v>501</v>
          </cell>
          <cell r="C1174">
            <v>12</v>
          </cell>
          <cell r="G1174">
            <v>3157.46</v>
          </cell>
          <cell r="I1174">
            <v>3157.46</v>
          </cell>
        </row>
        <row r="1175">
          <cell r="B1175">
            <v>501</v>
          </cell>
          <cell r="C1175">
            <v>441</v>
          </cell>
          <cell r="G1175">
            <v>11600.31</v>
          </cell>
          <cell r="I1175">
            <v>11600.31</v>
          </cell>
        </row>
        <row r="1176">
          <cell r="B1176">
            <v>501</v>
          </cell>
          <cell r="C1176">
            <v>464</v>
          </cell>
          <cell r="G1176">
            <v>66230.81</v>
          </cell>
          <cell r="I1176">
            <v>66230.81</v>
          </cell>
        </row>
        <row r="1177">
          <cell r="B1177">
            <v>501</v>
          </cell>
          <cell r="C1177">
            <v>465</v>
          </cell>
          <cell r="G1177">
            <v>31152.21</v>
          </cell>
          <cell r="I1177">
            <v>31152.21</v>
          </cell>
        </row>
        <row r="1178">
          <cell r="B1178">
            <v>502</v>
          </cell>
          <cell r="C1178">
            <v>0</v>
          </cell>
          <cell r="G1178">
            <v>551458.13</v>
          </cell>
          <cell r="I1178">
            <v>551458.13</v>
          </cell>
        </row>
        <row r="1179">
          <cell r="B1179">
            <v>502</v>
          </cell>
          <cell r="C1179">
            <v>119</v>
          </cell>
          <cell r="G1179">
            <v>66117.98</v>
          </cell>
          <cell r="I1179">
            <v>66117.98</v>
          </cell>
        </row>
        <row r="1180">
          <cell r="B1180">
            <v>502</v>
          </cell>
          <cell r="C1180">
            <v>121</v>
          </cell>
          <cell r="G1180">
            <v>271495.58</v>
          </cell>
          <cell r="I1180">
            <v>271495.58</v>
          </cell>
        </row>
        <row r="1181">
          <cell r="B1181">
            <v>502</v>
          </cell>
          <cell r="C1181">
            <v>122</v>
          </cell>
          <cell r="G1181">
            <v>821071.89</v>
          </cell>
          <cell r="I1181">
            <v>821071.89</v>
          </cell>
        </row>
        <row r="1182">
          <cell r="B1182">
            <v>505</v>
          </cell>
          <cell r="C1182">
            <v>0</v>
          </cell>
          <cell r="G1182">
            <v>333405.11</v>
          </cell>
          <cell r="I1182">
            <v>333405.11</v>
          </cell>
        </row>
        <row r="1183">
          <cell r="B1183">
            <v>506</v>
          </cell>
          <cell r="C1183">
            <v>0</v>
          </cell>
          <cell r="G1183">
            <v>949286.42</v>
          </cell>
          <cell r="I1183">
            <v>949286.42</v>
          </cell>
        </row>
        <row r="1184">
          <cell r="B1184">
            <v>506</v>
          </cell>
          <cell r="C1184">
            <v>1</v>
          </cell>
          <cell r="G1184">
            <v>52516.26</v>
          </cell>
          <cell r="I1184">
            <v>52516.26</v>
          </cell>
        </row>
        <row r="1185">
          <cell r="B1185">
            <v>506</v>
          </cell>
          <cell r="C1185">
            <v>2</v>
          </cell>
          <cell r="G1185">
            <v>142696.23000000001</v>
          </cell>
          <cell r="I1185">
            <v>142696.23000000001</v>
          </cell>
        </row>
        <row r="1186">
          <cell r="B1186">
            <v>506</v>
          </cell>
          <cell r="C1186">
            <v>3</v>
          </cell>
          <cell r="G1186">
            <v>28660.98</v>
          </cell>
          <cell r="I1186">
            <v>28660.98</v>
          </cell>
        </row>
        <row r="1187">
          <cell r="B1187">
            <v>506</v>
          </cell>
          <cell r="C1187">
            <v>103</v>
          </cell>
          <cell r="G1187">
            <v>6129.42</v>
          </cell>
          <cell r="I1187">
            <v>6129.42</v>
          </cell>
        </row>
        <row r="1188">
          <cell r="B1188">
            <v>506</v>
          </cell>
          <cell r="C1188">
            <v>105</v>
          </cell>
          <cell r="G1188">
            <v>13194.23</v>
          </cell>
          <cell r="I1188">
            <v>13194.23</v>
          </cell>
        </row>
        <row r="1189">
          <cell r="B1189">
            <v>506</v>
          </cell>
          <cell r="C1189">
            <v>106</v>
          </cell>
          <cell r="G1189">
            <v>36999.43</v>
          </cell>
          <cell r="I1189">
            <v>36999.43</v>
          </cell>
        </row>
        <row r="1190">
          <cell r="B1190">
            <v>506</v>
          </cell>
          <cell r="C1190">
            <v>111</v>
          </cell>
          <cell r="G1190">
            <v>13085.9</v>
          </cell>
          <cell r="I1190">
            <v>13085.9</v>
          </cell>
        </row>
        <row r="1191">
          <cell r="B1191">
            <v>506</v>
          </cell>
          <cell r="C1191">
            <v>112</v>
          </cell>
          <cell r="G1191">
            <v>374.71</v>
          </cell>
          <cell r="I1191">
            <v>374.71</v>
          </cell>
        </row>
        <row r="1192">
          <cell r="B1192">
            <v>506</v>
          </cell>
          <cell r="C1192">
            <v>114</v>
          </cell>
          <cell r="G1192">
            <v>-591.17999999999995</v>
          </cell>
          <cell r="I1192">
            <v>-591.17999999999995</v>
          </cell>
        </row>
        <row r="1193">
          <cell r="B1193">
            <v>506</v>
          </cell>
          <cell r="C1193">
            <v>115</v>
          </cell>
          <cell r="G1193">
            <v>625</v>
          </cell>
          <cell r="I1193">
            <v>625</v>
          </cell>
        </row>
        <row r="1194">
          <cell r="B1194">
            <v>506</v>
          </cell>
          <cell r="C1194">
            <v>128</v>
          </cell>
          <cell r="G1194">
            <v>41.49</v>
          </cell>
          <cell r="I1194">
            <v>41.49</v>
          </cell>
        </row>
        <row r="1195">
          <cell r="B1195">
            <v>509</v>
          </cell>
          <cell r="C1195">
            <v>0</v>
          </cell>
          <cell r="G1195">
            <v>681395.31</v>
          </cell>
          <cell r="I1195">
            <v>681395.31</v>
          </cell>
        </row>
        <row r="1196">
          <cell r="B1196">
            <v>509</v>
          </cell>
          <cell r="C1196">
            <v>140</v>
          </cell>
          <cell r="G1196">
            <v>2314027.2200000002</v>
          </cell>
          <cell r="I1196">
            <v>2314027.2200000002</v>
          </cell>
        </row>
        <row r="1197">
          <cell r="B1197">
            <v>510</v>
          </cell>
          <cell r="C1197">
            <v>0</v>
          </cell>
          <cell r="G1197">
            <v>534998.02</v>
          </cell>
          <cell r="I1197">
            <v>534998.02</v>
          </cell>
        </row>
        <row r="1198">
          <cell r="B1198">
            <v>511</v>
          </cell>
          <cell r="C1198">
            <v>0</v>
          </cell>
          <cell r="G1198">
            <v>248037.83</v>
          </cell>
          <cell r="I1198">
            <v>248037.83</v>
          </cell>
        </row>
        <row r="1199">
          <cell r="B1199">
            <v>512</v>
          </cell>
          <cell r="C1199">
            <v>0</v>
          </cell>
          <cell r="G1199">
            <v>1918472.34</v>
          </cell>
          <cell r="I1199">
            <v>1918472.34</v>
          </cell>
        </row>
        <row r="1200">
          <cell r="B1200">
            <v>512</v>
          </cell>
          <cell r="C1200">
            <v>116</v>
          </cell>
          <cell r="G1200">
            <v>463.38</v>
          </cell>
          <cell r="I1200">
            <v>463.38</v>
          </cell>
        </row>
        <row r="1201">
          <cell r="B1201">
            <v>512</v>
          </cell>
          <cell r="C1201">
            <v>119</v>
          </cell>
          <cell r="G1201">
            <v>4729.03</v>
          </cell>
          <cell r="I1201">
            <v>4729.03</v>
          </cell>
        </row>
        <row r="1202">
          <cell r="B1202">
            <v>512</v>
          </cell>
          <cell r="C1202">
            <v>121</v>
          </cell>
          <cell r="G1202">
            <v>2942.34</v>
          </cell>
          <cell r="I1202">
            <v>2942.34</v>
          </cell>
        </row>
        <row r="1203">
          <cell r="B1203">
            <v>512</v>
          </cell>
          <cell r="C1203">
            <v>122</v>
          </cell>
          <cell r="G1203">
            <v>459344.37</v>
          </cell>
          <cell r="I1203">
            <v>459344.37</v>
          </cell>
        </row>
        <row r="1204">
          <cell r="B1204">
            <v>513</v>
          </cell>
          <cell r="C1204">
            <v>0</v>
          </cell>
          <cell r="G1204">
            <v>136685.71</v>
          </cell>
          <cell r="I1204">
            <v>136685.71</v>
          </cell>
        </row>
        <row r="1205">
          <cell r="B1205">
            <v>514</v>
          </cell>
          <cell r="C1205">
            <v>0</v>
          </cell>
          <cell r="G1205">
            <v>207693.64</v>
          </cell>
          <cell r="I1205">
            <v>207693.64</v>
          </cell>
        </row>
        <row r="1206">
          <cell r="B1206">
            <v>514</v>
          </cell>
          <cell r="C1206">
            <v>105</v>
          </cell>
          <cell r="G1206">
            <v>14811.63</v>
          </cell>
          <cell r="I1206">
            <v>14811.63</v>
          </cell>
        </row>
        <row r="1207">
          <cell r="B1207">
            <v>546</v>
          </cell>
          <cell r="C1207">
            <v>0</v>
          </cell>
          <cell r="G1207">
            <v>83547.64</v>
          </cell>
          <cell r="I1207">
            <v>83547.64</v>
          </cell>
        </row>
        <row r="1208">
          <cell r="B1208">
            <v>547</v>
          </cell>
          <cell r="C1208">
            <v>0</v>
          </cell>
          <cell r="G1208">
            <v>45089.18</v>
          </cell>
          <cell r="I1208">
            <v>45089.18</v>
          </cell>
        </row>
        <row r="1209">
          <cell r="B1209">
            <v>547</v>
          </cell>
          <cell r="C1209">
            <v>2</v>
          </cell>
          <cell r="G1209">
            <v>176128.41</v>
          </cell>
          <cell r="I1209">
            <v>176128.41</v>
          </cell>
        </row>
        <row r="1210">
          <cell r="B1210">
            <v>547</v>
          </cell>
          <cell r="C1210">
            <v>3</v>
          </cell>
          <cell r="G1210">
            <v>6326205.0800000001</v>
          </cell>
          <cell r="I1210">
            <v>6326205.0800000001</v>
          </cell>
        </row>
        <row r="1211">
          <cell r="B1211">
            <v>547</v>
          </cell>
          <cell r="C1211">
            <v>4</v>
          </cell>
          <cell r="G1211">
            <v>1507491</v>
          </cell>
          <cell r="I1211">
            <v>1507491</v>
          </cell>
        </row>
        <row r="1212">
          <cell r="B1212">
            <v>548</v>
          </cell>
          <cell r="C1212">
            <v>0</v>
          </cell>
          <cell r="G1212">
            <v>76572.399999999994</v>
          </cell>
          <cell r="I1212">
            <v>76572.399999999994</v>
          </cell>
        </row>
        <row r="1213">
          <cell r="B1213">
            <v>549</v>
          </cell>
          <cell r="C1213">
            <v>0</v>
          </cell>
          <cell r="G1213">
            <v>18176.45</v>
          </cell>
          <cell r="I1213">
            <v>18176.45</v>
          </cell>
        </row>
        <row r="1214">
          <cell r="B1214">
            <v>549</v>
          </cell>
          <cell r="C1214">
            <v>105</v>
          </cell>
          <cell r="G1214">
            <v>57.83</v>
          </cell>
          <cell r="I1214">
            <v>57.83</v>
          </cell>
        </row>
        <row r="1215">
          <cell r="B1215">
            <v>551</v>
          </cell>
          <cell r="C1215">
            <v>0</v>
          </cell>
          <cell r="G1215">
            <v>22813.21</v>
          </cell>
          <cell r="I1215">
            <v>22813.21</v>
          </cell>
        </row>
        <row r="1216">
          <cell r="B1216">
            <v>552</v>
          </cell>
          <cell r="C1216">
            <v>0</v>
          </cell>
          <cell r="G1216">
            <v>28687.69</v>
          </cell>
          <cell r="I1216">
            <v>28687.69</v>
          </cell>
        </row>
        <row r="1217">
          <cell r="B1217">
            <v>553</v>
          </cell>
          <cell r="C1217">
            <v>0</v>
          </cell>
          <cell r="G1217">
            <v>2066634.65</v>
          </cell>
          <cell r="I1217">
            <v>2066634.65</v>
          </cell>
        </row>
        <row r="1218">
          <cell r="B1218">
            <v>554</v>
          </cell>
          <cell r="C1218">
            <v>0</v>
          </cell>
          <cell r="G1218">
            <v>1265.3800000000001</v>
          </cell>
          <cell r="I1218">
            <v>1265.3800000000001</v>
          </cell>
        </row>
        <row r="1219">
          <cell r="B1219">
            <v>554</v>
          </cell>
          <cell r="C1219">
            <v>105</v>
          </cell>
          <cell r="G1219">
            <v>1874.13</v>
          </cell>
          <cell r="I1219">
            <v>1874.13</v>
          </cell>
        </row>
        <row r="1220">
          <cell r="B1220">
            <v>555</v>
          </cell>
          <cell r="C1220">
            <v>5100</v>
          </cell>
          <cell r="G1220">
            <v>7769421.7400000002</v>
          </cell>
          <cell r="I1220">
            <v>7769421.7400000002</v>
          </cell>
        </row>
        <row r="1221">
          <cell r="B1221">
            <v>555</v>
          </cell>
          <cell r="C1221">
            <v>5200</v>
          </cell>
          <cell r="G1221">
            <v>277989.84000000003</v>
          </cell>
          <cell r="I1221">
            <v>277989.84000000003</v>
          </cell>
        </row>
        <row r="1222">
          <cell r="B1222">
            <v>555</v>
          </cell>
          <cell r="C1222">
            <v>5300</v>
          </cell>
          <cell r="G1222">
            <v>-2110313.77</v>
          </cell>
          <cell r="I1222">
            <v>-2110313.77</v>
          </cell>
        </row>
        <row r="1223">
          <cell r="B1223">
            <v>555</v>
          </cell>
          <cell r="C1223">
            <v>6100</v>
          </cell>
          <cell r="G1223">
            <v>2674068.8199999998</v>
          </cell>
          <cell r="I1223">
            <v>2674068.8199999998</v>
          </cell>
        </row>
        <row r="1224">
          <cell r="B1224">
            <v>555</v>
          </cell>
          <cell r="C1224">
            <v>6200</v>
          </cell>
          <cell r="G1224">
            <v>747700</v>
          </cell>
          <cell r="I1224">
            <v>747700</v>
          </cell>
        </row>
        <row r="1225">
          <cell r="B1225">
            <v>555</v>
          </cell>
          <cell r="C1225">
            <v>6300</v>
          </cell>
          <cell r="G1225">
            <v>38372.79</v>
          </cell>
          <cell r="I1225">
            <v>38372.79</v>
          </cell>
        </row>
        <row r="1226">
          <cell r="B1226">
            <v>555</v>
          </cell>
          <cell r="C1226">
            <v>6301</v>
          </cell>
          <cell r="G1226">
            <v>5193.42</v>
          </cell>
          <cell r="I1226">
            <v>5193.42</v>
          </cell>
        </row>
        <row r="1227">
          <cell r="B1227">
            <v>556</v>
          </cell>
          <cell r="C1227">
            <v>10</v>
          </cell>
          <cell r="G1227">
            <v>132768.99</v>
          </cell>
          <cell r="I1227">
            <v>132768.99</v>
          </cell>
        </row>
        <row r="1228">
          <cell r="B1228">
            <v>557</v>
          </cell>
          <cell r="C1228">
            <v>10</v>
          </cell>
          <cell r="G1228">
            <v>198513.55</v>
          </cell>
          <cell r="I1228">
            <v>198513.55</v>
          </cell>
        </row>
        <row r="1229">
          <cell r="B1229">
            <v>560</v>
          </cell>
          <cell r="C1229">
            <v>0</v>
          </cell>
          <cell r="G1229">
            <v>81521.41</v>
          </cell>
          <cell r="I1229">
            <v>81521.41</v>
          </cell>
        </row>
        <row r="1230">
          <cell r="B1230">
            <v>561</v>
          </cell>
          <cell r="C1230">
            <v>10000</v>
          </cell>
          <cell r="G1230">
            <v>10081</v>
          </cell>
          <cell r="I1230">
            <v>10081</v>
          </cell>
        </row>
        <row r="1231">
          <cell r="B1231">
            <v>561</v>
          </cell>
          <cell r="C1231">
            <v>20000</v>
          </cell>
          <cell r="G1231">
            <v>192293.54</v>
          </cell>
          <cell r="I1231">
            <v>192293.54</v>
          </cell>
        </row>
        <row r="1232">
          <cell r="B1232">
            <v>561</v>
          </cell>
          <cell r="C1232">
            <v>30000</v>
          </cell>
          <cell r="G1232">
            <v>8353.49</v>
          </cell>
          <cell r="I1232">
            <v>8353.49</v>
          </cell>
        </row>
        <row r="1233">
          <cell r="B1233">
            <v>561</v>
          </cell>
          <cell r="C1233">
            <v>40000</v>
          </cell>
          <cell r="G1233">
            <v>10170.629999999999</v>
          </cell>
          <cell r="I1233">
            <v>10170.629999999999</v>
          </cell>
        </row>
        <row r="1234">
          <cell r="B1234">
            <v>561</v>
          </cell>
          <cell r="C1234">
            <v>50000</v>
          </cell>
          <cell r="G1234">
            <v>13727.56</v>
          </cell>
          <cell r="I1234">
            <v>13727.56</v>
          </cell>
        </row>
        <row r="1235">
          <cell r="B1235">
            <v>561</v>
          </cell>
          <cell r="C1235">
            <v>60000</v>
          </cell>
          <cell r="G1235">
            <v>2260.75</v>
          </cell>
          <cell r="I1235">
            <v>2260.75</v>
          </cell>
        </row>
        <row r="1236">
          <cell r="B1236">
            <v>561</v>
          </cell>
          <cell r="C1236">
            <v>70000</v>
          </cell>
          <cell r="G1236">
            <v>1072.48</v>
          </cell>
          <cell r="I1236">
            <v>1072.48</v>
          </cell>
        </row>
        <row r="1237">
          <cell r="B1237">
            <v>562</v>
          </cell>
          <cell r="C1237">
            <v>0</v>
          </cell>
          <cell r="G1237">
            <v>3406.55</v>
          </cell>
          <cell r="I1237">
            <v>3406.55</v>
          </cell>
        </row>
        <row r="1238">
          <cell r="B1238">
            <v>563</v>
          </cell>
          <cell r="C1238">
            <v>0</v>
          </cell>
          <cell r="G1238">
            <v>-2812</v>
          </cell>
          <cell r="I1238">
            <v>-2812</v>
          </cell>
        </row>
        <row r="1239">
          <cell r="B1239">
            <v>563</v>
          </cell>
          <cell r="C1239">
            <v>115</v>
          </cell>
          <cell r="G1239">
            <v>4912.25</v>
          </cell>
          <cell r="I1239">
            <v>4912.25</v>
          </cell>
        </row>
        <row r="1240">
          <cell r="B1240">
            <v>563</v>
          </cell>
          <cell r="C1240">
            <v>230</v>
          </cell>
          <cell r="G1240">
            <v>957.46</v>
          </cell>
          <cell r="I1240">
            <v>957.46</v>
          </cell>
        </row>
        <row r="1241">
          <cell r="B1241">
            <v>565</v>
          </cell>
          <cell r="C1241">
            <v>200</v>
          </cell>
          <cell r="G1241">
            <v>56308.15</v>
          </cell>
          <cell r="I1241">
            <v>56308.15</v>
          </cell>
        </row>
        <row r="1242">
          <cell r="B1242">
            <v>565</v>
          </cell>
          <cell r="C1242">
            <v>940</v>
          </cell>
          <cell r="G1242">
            <v>-36123.03</v>
          </cell>
          <cell r="I1242">
            <v>-36123.03</v>
          </cell>
        </row>
        <row r="1243">
          <cell r="B1243">
            <v>566</v>
          </cell>
          <cell r="C1243">
            <v>0</v>
          </cell>
          <cell r="G1243">
            <v>67907.86</v>
          </cell>
          <cell r="I1243">
            <v>67907.86</v>
          </cell>
        </row>
        <row r="1244">
          <cell r="B1244">
            <v>567</v>
          </cell>
          <cell r="C1244">
            <v>0</v>
          </cell>
          <cell r="G1244">
            <v>13960</v>
          </cell>
          <cell r="I1244">
            <v>13960</v>
          </cell>
        </row>
        <row r="1245">
          <cell r="B1245">
            <v>567</v>
          </cell>
          <cell r="C1245">
            <v>119</v>
          </cell>
          <cell r="G1245">
            <v>196379</v>
          </cell>
          <cell r="I1245">
            <v>196379</v>
          </cell>
        </row>
        <row r="1246">
          <cell r="B1246">
            <v>568</v>
          </cell>
          <cell r="C1246">
            <v>0</v>
          </cell>
          <cell r="G1246">
            <v>54473.42</v>
          </cell>
          <cell r="I1246">
            <v>54473.42</v>
          </cell>
        </row>
        <row r="1247">
          <cell r="B1247">
            <v>569</v>
          </cell>
          <cell r="C1247">
            <v>0</v>
          </cell>
          <cell r="G1247">
            <v>15.43</v>
          </cell>
          <cell r="I1247">
            <v>15.43</v>
          </cell>
        </row>
        <row r="1248">
          <cell r="B1248">
            <v>569</v>
          </cell>
          <cell r="C1248">
            <v>207</v>
          </cell>
          <cell r="G1248">
            <v>13342.13</v>
          </cell>
          <cell r="I1248">
            <v>13342.13</v>
          </cell>
        </row>
        <row r="1249">
          <cell r="B1249">
            <v>569</v>
          </cell>
          <cell r="C1249">
            <v>10000</v>
          </cell>
          <cell r="G1249">
            <v>2575</v>
          </cell>
          <cell r="I1249">
            <v>2575</v>
          </cell>
        </row>
        <row r="1250">
          <cell r="B1250">
            <v>569</v>
          </cell>
          <cell r="C1250">
            <v>20000</v>
          </cell>
          <cell r="G1250">
            <v>7493.4</v>
          </cell>
          <cell r="I1250">
            <v>7493.4</v>
          </cell>
        </row>
        <row r="1251">
          <cell r="B1251">
            <v>570</v>
          </cell>
          <cell r="C1251">
            <v>0</v>
          </cell>
          <cell r="G1251">
            <v>48178.02</v>
          </cell>
          <cell r="I1251">
            <v>48178.02</v>
          </cell>
        </row>
        <row r="1252">
          <cell r="B1252">
            <v>571</v>
          </cell>
          <cell r="C1252">
            <v>0</v>
          </cell>
          <cell r="G1252">
            <v>2339.39</v>
          </cell>
          <cell r="I1252">
            <v>2339.39</v>
          </cell>
        </row>
        <row r="1253">
          <cell r="B1253">
            <v>571</v>
          </cell>
          <cell r="C1253">
            <v>46</v>
          </cell>
          <cell r="G1253">
            <v>381.91</v>
          </cell>
          <cell r="I1253">
            <v>381.91</v>
          </cell>
        </row>
        <row r="1254">
          <cell r="B1254">
            <v>571</v>
          </cell>
          <cell r="C1254">
            <v>115</v>
          </cell>
          <cell r="G1254">
            <v>15341.15</v>
          </cell>
          <cell r="I1254">
            <v>15341.15</v>
          </cell>
        </row>
        <row r="1255">
          <cell r="B1255">
            <v>571</v>
          </cell>
          <cell r="C1255">
            <v>230</v>
          </cell>
          <cell r="G1255">
            <v>34190.639999999999</v>
          </cell>
          <cell r="I1255">
            <v>34190.639999999999</v>
          </cell>
        </row>
        <row r="1256">
          <cell r="B1256">
            <v>573</v>
          </cell>
          <cell r="C1256">
            <v>0</v>
          </cell>
          <cell r="G1256">
            <v>7836.85</v>
          </cell>
          <cell r="I1256">
            <v>7836.85</v>
          </cell>
        </row>
        <row r="1257">
          <cell r="B1257">
            <v>580</v>
          </cell>
          <cell r="C1257">
            <v>0</v>
          </cell>
          <cell r="G1257">
            <v>426386.18</v>
          </cell>
          <cell r="I1257">
            <v>426386.18</v>
          </cell>
        </row>
        <row r="1258">
          <cell r="B1258">
            <v>581</v>
          </cell>
          <cell r="C1258">
            <v>0</v>
          </cell>
          <cell r="G1258">
            <v>51688.39</v>
          </cell>
          <cell r="I1258">
            <v>51688.39</v>
          </cell>
        </row>
        <row r="1259">
          <cell r="B1259">
            <v>582</v>
          </cell>
          <cell r="C1259">
            <v>0</v>
          </cell>
          <cell r="G1259">
            <v>12061.47</v>
          </cell>
          <cell r="I1259">
            <v>12061.47</v>
          </cell>
        </row>
        <row r="1260">
          <cell r="B1260">
            <v>583</v>
          </cell>
          <cell r="C1260">
            <v>0</v>
          </cell>
          <cell r="G1260">
            <v>255731.07</v>
          </cell>
          <cell r="I1260">
            <v>255731.07</v>
          </cell>
        </row>
        <row r="1261">
          <cell r="B1261">
            <v>583</v>
          </cell>
          <cell r="C1261">
            <v>211</v>
          </cell>
          <cell r="G1261">
            <v>3230.55</v>
          </cell>
          <cell r="I1261">
            <v>3230.55</v>
          </cell>
        </row>
        <row r="1262">
          <cell r="B1262">
            <v>584</v>
          </cell>
          <cell r="C1262">
            <v>0</v>
          </cell>
          <cell r="G1262">
            <v>60787.22</v>
          </cell>
          <cell r="I1262">
            <v>60787.22</v>
          </cell>
        </row>
        <row r="1263">
          <cell r="B1263">
            <v>585</v>
          </cell>
          <cell r="C1263">
            <v>0</v>
          </cell>
          <cell r="G1263">
            <v>48726.21</v>
          </cell>
          <cell r="I1263">
            <v>48726.21</v>
          </cell>
        </row>
        <row r="1264">
          <cell r="B1264">
            <v>586</v>
          </cell>
          <cell r="C1264">
            <v>0</v>
          </cell>
          <cell r="G1264">
            <v>274525.18</v>
          </cell>
          <cell r="I1264">
            <v>274525.18</v>
          </cell>
        </row>
        <row r="1265">
          <cell r="B1265">
            <v>587</v>
          </cell>
          <cell r="C1265">
            <v>0</v>
          </cell>
          <cell r="G1265">
            <v>62853.15</v>
          </cell>
          <cell r="I1265">
            <v>62853.15</v>
          </cell>
        </row>
        <row r="1266">
          <cell r="B1266">
            <v>588</v>
          </cell>
          <cell r="C1266">
            <v>0</v>
          </cell>
          <cell r="G1266">
            <v>155128.35</v>
          </cell>
          <cell r="I1266">
            <v>155128.35</v>
          </cell>
        </row>
        <row r="1267">
          <cell r="B1267">
            <v>588</v>
          </cell>
          <cell r="C1267">
            <v>112</v>
          </cell>
          <cell r="G1267">
            <v>85</v>
          </cell>
          <cell r="I1267">
            <v>85</v>
          </cell>
        </row>
        <row r="1268">
          <cell r="B1268">
            <v>590</v>
          </cell>
          <cell r="C1268">
            <v>0</v>
          </cell>
          <cell r="G1268">
            <v>211174.39999999999</v>
          </cell>
          <cell r="I1268">
            <v>211174.39999999999</v>
          </cell>
        </row>
        <row r="1269">
          <cell r="B1269">
            <v>591</v>
          </cell>
          <cell r="C1269">
            <v>0</v>
          </cell>
          <cell r="G1269">
            <v>3809.71</v>
          </cell>
          <cell r="I1269">
            <v>3809.71</v>
          </cell>
        </row>
        <row r="1270">
          <cell r="B1270">
            <v>591</v>
          </cell>
          <cell r="C1270">
            <v>207</v>
          </cell>
          <cell r="G1270">
            <v>84432.24</v>
          </cell>
          <cell r="I1270">
            <v>84432.24</v>
          </cell>
        </row>
        <row r="1271">
          <cell r="B1271">
            <v>592</v>
          </cell>
          <cell r="C1271">
            <v>0</v>
          </cell>
          <cell r="G1271">
            <v>128633.35</v>
          </cell>
          <cell r="I1271">
            <v>128633.35</v>
          </cell>
        </row>
        <row r="1272">
          <cell r="B1272">
            <v>593</v>
          </cell>
          <cell r="C1272">
            <v>0</v>
          </cell>
          <cell r="G1272">
            <v>892222.08</v>
          </cell>
          <cell r="I1272">
            <v>892222.08</v>
          </cell>
        </row>
        <row r="1273">
          <cell r="B1273">
            <v>594</v>
          </cell>
          <cell r="C1273">
            <v>0</v>
          </cell>
          <cell r="G1273">
            <v>186207.13</v>
          </cell>
          <cell r="I1273">
            <v>186207.13</v>
          </cell>
        </row>
        <row r="1274">
          <cell r="B1274">
            <v>595</v>
          </cell>
          <cell r="C1274">
            <v>0</v>
          </cell>
          <cell r="G1274">
            <v>39216.629999999997</v>
          </cell>
          <cell r="I1274">
            <v>39216.629999999997</v>
          </cell>
        </row>
        <row r="1275">
          <cell r="B1275">
            <v>595</v>
          </cell>
          <cell r="C1275">
            <v>211</v>
          </cell>
          <cell r="G1275">
            <v>5990.39</v>
          </cell>
          <cell r="I1275">
            <v>5990.39</v>
          </cell>
        </row>
        <row r="1276">
          <cell r="B1276">
            <v>596</v>
          </cell>
          <cell r="C1276">
            <v>0</v>
          </cell>
          <cell r="G1276">
            <v>28903.31</v>
          </cell>
          <cell r="I1276">
            <v>28903.31</v>
          </cell>
        </row>
        <row r="1277">
          <cell r="B1277">
            <v>597</v>
          </cell>
          <cell r="C1277">
            <v>0</v>
          </cell>
          <cell r="G1277">
            <v>9040.8799999999992</v>
          </cell>
          <cell r="I1277">
            <v>9040.8799999999992</v>
          </cell>
        </row>
        <row r="1278">
          <cell r="B1278">
            <v>598</v>
          </cell>
          <cell r="C1278">
            <v>0</v>
          </cell>
          <cell r="G1278">
            <v>15612.02</v>
          </cell>
          <cell r="I1278">
            <v>15612.02</v>
          </cell>
        </row>
        <row r="1279">
          <cell r="B1279">
            <v>901</v>
          </cell>
          <cell r="C1279">
            <v>0</v>
          </cell>
          <cell r="G1279">
            <v>24000.77</v>
          </cell>
          <cell r="I1279">
            <v>24000.77</v>
          </cell>
        </row>
        <row r="1280">
          <cell r="B1280">
            <v>902</v>
          </cell>
          <cell r="C1280">
            <v>0</v>
          </cell>
          <cell r="G1280">
            <v>235924.38</v>
          </cell>
          <cell r="I1280">
            <v>235924.38</v>
          </cell>
        </row>
        <row r="1281">
          <cell r="B1281">
            <v>903</v>
          </cell>
          <cell r="C1281">
            <v>0</v>
          </cell>
          <cell r="G1281">
            <v>1092438.96</v>
          </cell>
          <cell r="I1281">
            <v>1092438.96</v>
          </cell>
        </row>
        <row r="1282">
          <cell r="B1282">
            <v>904</v>
          </cell>
          <cell r="C1282">
            <v>0</v>
          </cell>
          <cell r="G1282">
            <v>1044767.29</v>
          </cell>
          <cell r="I1282">
            <v>1044767.29</v>
          </cell>
        </row>
        <row r="1283">
          <cell r="B1283">
            <v>905</v>
          </cell>
          <cell r="C1283">
            <v>0</v>
          </cell>
          <cell r="G1283">
            <v>93366.94</v>
          </cell>
          <cell r="I1283">
            <v>93366.94</v>
          </cell>
        </row>
        <row r="1284">
          <cell r="B1284">
            <v>907</v>
          </cell>
          <cell r="C1284">
            <v>0</v>
          </cell>
          <cell r="G1284">
            <v>262542.93</v>
          </cell>
          <cell r="I1284">
            <v>262542.93</v>
          </cell>
        </row>
        <row r="1285">
          <cell r="B1285">
            <v>908</v>
          </cell>
          <cell r="C1285">
            <v>0</v>
          </cell>
          <cell r="G1285">
            <v>1083715.21</v>
          </cell>
          <cell r="I1285">
            <v>1083715.21</v>
          </cell>
        </row>
        <row r="1286">
          <cell r="B1286">
            <v>909</v>
          </cell>
          <cell r="C1286">
            <v>0</v>
          </cell>
          <cell r="G1286">
            <v>26248.06</v>
          </cell>
          <cell r="I1286">
            <v>26248.06</v>
          </cell>
        </row>
        <row r="1287">
          <cell r="B1287">
            <v>910</v>
          </cell>
          <cell r="C1287">
            <v>0</v>
          </cell>
          <cell r="G1287">
            <v>5358.64</v>
          </cell>
          <cell r="I1287">
            <v>5358.64</v>
          </cell>
        </row>
        <row r="1288">
          <cell r="B1288">
            <v>912</v>
          </cell>
          <cell r="C1288">
            <v>0</v>
          </cell>
          <cell r="G1288">
            <v>440.64</v>
          </cell>
          <cell r="I1288">
            <v>440.64</v>
          </cell>
        </row>
        <row r="1289">
          <cell r="B1289">
            <v>912</v>
          </cell>
          <cell r="C1289">
            <v>1406</v>
          </cell>
          <cell r="G1289">
            <v>30616.97</v>
          </cell>
          <cell r="I1289">
            <v>30616.97</v>
          </cell>
        </row>
        <row r="1290">
          <cell r="B1290">
            <v>920</v>
          </cell>
          <cell r="C1290">
            <v>0</v>
          </cell>
          <cell r="G1290">
            <v>1073414.98</v>
          </cell>
          <cell r="I1290">
            <v>1073414.98</v>
          </cell>
        </row>
        <row r="1291">
          <cell r="B1291">
            <v>921</v>
          </cell>
          <cell r="C1291">
            <v>0</v>
          </cell>
          <cell r="G1291">
            <v>163037.79</v>
          </cell>
          <cell r="I1291">
            <v>163037.79</v>
          </cell>
        </row>
        <row r="1292">
          <cell r="B1292">
            <v>922</v>
          </cell>
          <cell r="C1292">
            <v>200</v>
          </cell>
          <cell r="G1292">
            <v>-32165.38</v>
          </cell>
          <cell r="I1292">
            <v>-32165.38</v>
          </cell>
        </row>
        <row r="1293">
          <cell r="B1293">
            <v>923</v>
          </cell>
          <cell r="C1293">
            <v>0</v>
          </cell>
          <cell r="G1293">
            <v>243100.99</v>
          </cell>
          <cell r="I1293">
            <v>243100.99</v>
          </cell>
        </row>
        <row r="1294">
          <cell r="B1294">
            <v>923</v>
          </cell>
          <cell r="C1294">
            <v>700</v>
          </cell>
          <cell r="G1294">
            <v>782265.99</v>
          </cell>
          <cell r="I1294">
            <v>782265.99</v>
          </cell>
        </row>
        <row r="1295">
          <cell r="B1295">
            <v>924</v>
          </cell>
          <cell r="C1295">
            <v>10</v>
          </cell>
          <cell r="G1295">
            <v>304741.95</v>
          </cell>
          <cell r="I1295">
            <v>304741.95</v>
          </cell>
        </row>
        <row r="1296">
          <cell r="B1296">
            <v>924</v>
          </cell>
          <cell r="C1296">
            <v>20</v>
          </cell>
          <cell r="G1296">
            <v>291667</v>
          </cell>
          <cell r="I1296">
            <v>291667</v>
          </cell>
        </row>
        <row r="1297">
          <cell r="B1297">
            <v>925</v>
          </cell>
          <cell r="C1297">
            <v>10</v>
          </cell>
          <cell r="G1297">
            <v>223489.45</v>
          </cell>
          <cell r="I1297">
            <v>223489.45</v>
          </cell>
        </row>
        <row r="1298">
          <cell r="B1298">
            <v>925</v>
          </cell>
          <cell r="C1298">
            <v>15</v>
          </cell>
          <cell r="G1298">
            <v>7387.95</v>
          </cell>
          <cell r="I1298">
            <v>7387.95</v>
          </cell>
        </row>
        <row r="1299">
          <cell r="B1299">
            <v>926</v>
          </cell>
          <cell r="C1299">
            <v>15</v>
          </cell>
          <cell r="G1299">
            <v>15902.95</v>
          </cell>
          <cell r="I1299">
            <v>15902.95</v>
          </cell>
        </row>
        <row r="1300">
          <cell r="B1300">
            <v>926</v>
          </cell>
          <cell r="C1300">
            <v>20</v>
          </cell>
          <cell r="G1300">
            <v>-7095.1</v>
          </cell>
          <cell r="I1300">
            <v>-7095.1</v>
          </cell>
        </row>
        <row r="1301">
          <cell r="B1301">
            <v>926</v>
          </cell>
          <cell r="C1301">
            <v>100</v>
          </cell>
          <cell r="G1301">
            <v>85833</v>
          </cell>
          <cell r="I1301">
            <v>85833</v>
          </cell>
        </row>
        <row r="1302">
          <cell r="B1302">
            <v>926</v>
          </cell>
          <cell r="C1302">
            <v>101</v>
          </cell>
          <cell r="G1302">
            <v>129167</v>
          </cell>
          <cell r="I1302">
            <v>129167</v>
          </cell>
        </row>
        <row r="1303">
          <cell r="B1303">
            <v>926</v>
          </cell>
          <cell r="C1303">
            <v>190</v>
          </cell>
          <cell r="G1303">
            <v>-14680.27</v>
          </cell>
          <cell r="I1303">
            <v>-14680.27</v>
          </cell>
        </row>
        <row r="1304">
          <cell r="B1304">
            <v>926</v>
          </cell>
          <cell r="C1304">
            <v>191</v>
          </cell>
          <cell r="G1304">
            <v>-470.06</v>
          </cell>
          <cell r="I1304">
            <v>-470.06</v>
          </cell>
        </row>
        <row r="1305">
          <cell r="B1305">
            <v>926</v>
          </cell>
          <cell r="C1305">
            <v>200</v>
          </cell>
          <cell r="G1305">
            <v>920497.4</v>
          </cell>
          <cell r="I1305">
            <v>920497.4</v>
          </cell>
        </row>
        <row r="1306">
          <cell r="B1306">
            <v>926</v>
          </cell>
          <cell r="C1306">
            <v>201</v>
          </cell>
          <cell r="G1306">
            <v>376667</v>
          </cell>
          <cell r="I1306">
            <v>376667</v>
          </cell>
        </row>
        <row r="1307">
          <cell r="B1307">
            <v>926</v>
          </cell>
          <cell r="C1307">
            <v>203</v>
          </cell>
          <cell r="G1307">
            <v>76667</v>
          </cell>
          <cell r="I1307">
            <v>76667</v>
          </cell>
        </row>
        <row r="1308">
          <cell r="B1308">
            <v>926</v>
          </cell>
          <cell r="C1308">
            <v>300</v>
          </cell>
          <cell r="G1308">
            <v>85277.74</v>
          </cell>
          <cell r="I1308">
            <v>85277.74</v>
          </cell>
        </row>
        <row r="1309">
          <cell r="B1309">
            <v>926</v>
          </cell>
          <cell r="C1309">
            <v>311</v>
          </cell>
          <cell r="G1309">
            <v>32534.6</v>
          </cell>
          <cell r="I1309">
            <v>32534.6</v>
          </cell>
        </row>
        <row r="1310">
          <cell r="B1310">
            <v>926</v>
          </cell>
          <cell r="C1310">
            <v>321</v>
          </cell>
          <cell r="G1310">
            <v>-47594.95</v>
          </cell>
          <cell r="I1310">
            <v>-47594.95</v>
          </cell>
        </row>
        <row r="1311">
          <cell r="B1311">
            <v>926</v>
          </cell>
          <cell r="C1311">
            <v>322</v>
          </cell>
          <cell r="G1311">
            <v>-1438.3</v>
          </cell>
          <cell r="I1311">
            <v>-1438.3</v>
          </cell>
        </row>
        <row r="1312">
          <cell r="B1312">
            <v>926</v>
          </cell>
          <cell r="C1312">
            <v>327</v>
          </cell>
          <cell r="G1312">
            <v>281368.82</v>
          </cell>
          <cell r="I1312">
            <v>281368.82</v>
          </cell>
        </row>
        <row r="1313">
          <cell r="B1313">
            <v>926</v>
          </cell>
          <cell r="C1313">
            <v>390</v>
          </cell>
          <cell r="G1313">
            <v>-237458.97</v>
          </cell>
          <cell r="I1313">
            <v>-237458.97</v>
          </cell>
        </row>
        <row r="1314">
          <cell r="B1314">
            <v>926</v>
          </cell>
          <cell r="C1314">
            <v>402</v>
          </cell>
          <cell r="G1314">
            <v>-86667</v>
          </cell>
          <cell r="I1314">
            <v>-86667</v>
          </cell>
        </row>
        <row r="1315">
          <cell r="B1315">
            <v>928</v>
          </cell>
          <cell r="C1315">
            <v>101</v>
          </cell>
          <cell r="G1315">
            <v>53155.15</v>
          </cell>
          <cell r="I1315">
            <v>53155.15</v>
          </cell>
        </row>
        <row r="1316">
          <cell r="B1316">
            <v>928</v>
          </cell>
          <cell r="C1316">
            <v>102</v>
          </cell>
          <cell r="G1316">
            <v>20441.060000000001</v>
          </cell>
          <cell r="I1316">
            <v>20441.060000000001</v>
          </cell>
        </row>
        <row r="1317">
          <cell r="B1317">
            <v>928</v>
          </cell>
          <cell r="C1317">
            <v>200</v>
          </cell>
          <cell r="G1317">
            <v>17172.5</v>
          </cell>
          <cell r="I1317">
            <v>17172.5</v>
          </cell>
        </row>
        <row r="1318">
          <cell r="B1318">
            <v>928</v>
          </cell>
          <cell r="C1318">
            <v>301</v>
          </cell>
          <cell r="G1318">
            <v>1309</v>
          </cell>
          <cell r="I1318">
            <v>1309</v>
          </cell>
        </row>
        <row r="1319">
          <cell r="B1319">
            <v>929</v>
          </cell>
          <cell r="C1319">
            <v>10</v>
          </cell>
          <cell r="G1319">
            <v>-109811.02</v>
          </cell>
          <cell r="I1319">
            <v>-109811.02</v>
          </cell>
        </row>
        <row r="1320">
          <cell r="B1320">
            <v>929</v>
          </cell>
          <cell r="C1320">
            <v>70</v>
          </cell>
          <cell r="G1320">
            <v>-18402</v>
          </cell>
          <cell r="I1320">
            <v>-18402</v>
          </cell>
        </row>
        <row r="1321">
          <cell r="B1321">
            <v>930</v>
          </cell>
          <cell r="C1321">
            <v>20000</v>
          </cell>
          <cell r="G1321">
            <v>55558.65</v>
          </cell>
          <cell r="I1321">
            <v>55558.65</v>
          </cell>
        </row>
        <row r="1322">
          <cell r="B1322">
            <v>930</v>
          </cell>
          <cell r="C1322">
            <v>20201</v>
          </cell>
          <cell r="G1322">
            <v>46770.83</v>
          </cell>
          <cell r="I1322">
            <v>46770.83</v>
          </cell>
        </row>
        <row r="1323">
          <cell r="B1323">
            <v>930</v>
          </cell>
          <cell r="C1323">
            <v>20210</v>
          </cell>
          <cell r="G1323">
            <v>12266.56</v>
          </cell>
          <cell r="I1323">
            <v>12266.56</v>
          </cell>
        </row>
        <row r="1324">
          <cell r="B1324">
            <v>930</v>
          </cell>
          <cell r="C1324">
            <v>20710</v>
          </cell>
          <cell r="G1324">
            <v>4715.66</v>
          </cell>
          <cell r="I1324">
            <v>4715.66</v>
          </cell>
        </row>
        <row r="1325">
          <cell r="B1325">
            <v>930</v>
          </cell>
          <cell r="C1325">
            <v>20801</v>
          </cell>
          <cell r="G1325">
            <v>17458.71</v>
          </cell>
          <cell r="I1325">
            <v>17458.71</v>
          </cell>
        </row>
        <row r="1326">
          <cell r="B1326">
            <v>930</v>
          </cell>
          <cell r="C1326">
            <v>20960</v>
          </cell>
          <cell r="G1326">
            <v>406772.46</v>
          </cell>
          <cell r="I1326">
            <v>406772.46</v>
          </cell>
        </row>
        <row r="1327">
          <cell r="B1327">
            <v>931</v>
          </cell>
          <cell r="C1327">
            <v>0</v>
          </cell>
          <cell r="G1327">
            <v>23926.560000000001</v>
          </cell>
          <cell r="I1327">
            <v>23926.560000000001</v>
          </cell>
        </row>
        <row r="1328">
          <cell r="B1328">
            <v>935</v>
          </cell>
          <cell r="C1328">
            <v>0</v>
          </cell>
          <cell r="G1328">
            <v>5283.81</v>
          </cell>
          <cell r="I1328">
            <v>5283.81</v>
          </cell>
        </row>
        <row r="1329">
          <cell r="B1329">
            <v>935</v>
          </cell>
          <cell r="C1329">
            <v>100</v>
          </cell>
          <cell r="G1329">
            <v>14999.26</v>
          </cell>
          <cell r="I1329">
            <v>14999.26</v>
          </cell>
        </row>
        <row r="1330">
          <cell r="B1330">
            <v>700</v>
          </cell>
          <cell r="C1330">
            <v>30000</v>
          </cell>
          <cell r="G1330">
            <v>0</v>
          </cell>
          <cell r="I1330">
            <v>96060709.790000007</v>
          </cell>
        </row>
        <row r="1331">
          <cell r="B1331">
            <v>701</v>
          </cell>
          <cell r="C1331">
            <v>0</v>
          </cell>
          <cell r="G1331">
            <v>132367.46</v>
          </cell>
          <cell r="I1331">
            <v>0</v>
          </cell>
        </row>
        <row r="1332">
          <cell r="B1332">
            <v>701</v>
          </cell>
          <cell r="C1332">
            <v>990</v>
          </cell>
          <cell r="G1332">
            <v>-188124.62</v>
          </cell>
          <cell r="I1332">
            <v>132367.46</v>
          </cell>
        </row>
        <row r="1333">
          <cell r="B1333">
            <v>701</v>
          </cell>
          <cell r="C1333">
            <v>10000</v>
          </cell>
          <cell r="G1333">
            <v>55757.16</v>
          </cell>
          <cell r="I1333">
            <v>-188124.62</v>
          </cell>
        </row>
        <row r="1334">
          <cell r="B1334">
            <v>703</v>
          </cell>
          <cell r="C1334">
            <v>0</v>
          </cell>
          <cell r="G1334">
            <v>48788.34</v>
          </cell>
          <cell r="I1334">
            <v>0</v>
          </cell>
        </row>
        <row r="1335">
          <cell r="B1335">
            <v>703</v>
          </cell>
          <cell r="C1335">
            <v>990</v>
          </cell>
          <cell r="G1335">
            <v>-48788.34</v>
          </cell>
          <cell r="I1335">
            <v>48788.34</v>
          </cell>
        </row>
        <row r="1336">
          <cell r="B1336">
            <v>712</v>
          </cell>
          <cell r="C1336">
            <v>0</v>
          </cell>
          <cell r="G1336">
            <v>119487.96</v>
          </cell>
          <cell r="I1336">
            <v>0</v>
          </cell>
        </row>
        <row r="1337">
          <cell r="B1337">
            <v>712</v>
          </cell>
          <cell r="C1337">
            <v>990</v>
          </cell>
          <cell r="G1337">
            <v>-141006.85</v>
          </cell>
          <cell r="I1337">
            <v>119487.96</v>
          </cell>
        </row>
        <row r="1338">
          <cell r="B1338">
            <v>713</v>
          </cell>
          <cell r="C1338">
            <v>0</v>
          </cell>
          <cell r="G1338">
            <v>30745.99</v>
          </cell>
          <cell r="I1338">
            <v>-21518.89</v>
          </cell>
        </row>
        <row r="1339">
          <cell r="B1339">
            <v>717</v>
          </cell>
          <cell r="C1339">
            <v>0</v>
          </cell>
          <cell r="G1339">
            <v>67882.210000000006</v>
          </cell>
          <cell r="I1339">
            <v>30745.99</v>
          </cell>
        </row>
        <row r="1340">
          <cell r="B1340">
            <v>717</v>
          </cell>
          <cell r="C1340">
            <v>990</v>
          </cell>
          <cell r="G1340">
            <v>-67882.210000000006</v>
          </cell>
          <cell r="I1340">
            <v>67882.210000000006</v>
          </cell>
        </row>
        <row r="1341">
          <cell r="B1341">
            <v>718</v>
          </cell>
          <cell r="C1341">
            <v>0</v>
          </cell>
          <cell r="G1341">
            <v>643655.48</v>
          </cell>
          <cell r="I1341">
            <v>0</v>
          </cell>
        </row>
        <row r="1342">
          <cell r="B1342">
            <v>718</v>
          </cell>
          <cell r="C1342">
            <v>990</v>
          </cell>
          <cell r="G1342">
            <v>-643655.48</v>
          </cell>
          <cell r="I1342">
            <v>643655.48</v>
          </cell>
        </row>
        <row r="1343">
          <cell r="B1343">
            <v>735</v>
          </cell>
          <cell r="C1343">
            <v>100</v>
          </cell>
          <cell r="G1343">
            <v>153161.35</v>
          </cell>
          <cell r="I1343">
            <v>0</v>
          </cell>
        </row>
        <row r="1344">
          <cell r="B1344">
            <v>735</v>
          </cell>
          <cell r="C1344">
            <v>990</v>
          </cell>
          <cell r="G1344">
            <v>-153161.32</v>
          </cell>
          <cell r="I1344">
            <v>153161.35</v>
          </cell>
        </row>
        <row r="1345">
          <cell r="B1345">
            <v>737</v>
          </cell>
          <cell r="C1345">
            <v>0</v>
          </cell>
          <cell r="G1345">
            <v>-133734.84</v>
          </cell>
          <cell r="I1345">
            <v>0.03</v>
          </cell>
        </row>
        <row r="1346">
          <cell r="B1346">
            <v>740</v>
          </cell>
          <cell r="C1346">
            <v>0</v>
          </cell>
          <cell r="G1346">
            <v>543328.84</v>
          </cell>
          <cell r="I1346">
            <v>-133734.84</v>
          </cell>
        </row>
        <row r="1347">
          <cell r="B1347">
            <v>789</v>
          </cell>
          <cell r="C1347">
            <v>0</v>
          </cell>
          <cell r="G1347">
            <v>-520540</v>
          </cell>
          <cell r="I1347">
            <v>543328.84</v>
          </cell>
        </row>
        <row r="1348">
          <cell r="B1348">
            <v>789</v>
          </cell>
          <cell r="C1348">
            <v>100</v>
          </cell>
          <cell r="G1348">
            <v>0</v>
          </cell>
          <cell r="I1348">
            <v>-520540</v>
          </cell>
        </row>
        <row r="1349">
          <cell r="B1349">
            <v>801</v>
          </cell>
          <cell r="C1349">
            <v>0</v>
          </cell>
          <cell r="G1349">
            <v>74208.36</v>
          </cell>
          <cell r="I1349">
            <v>-101718.87</v>
          </cell>
        </row>
        <row r="1350">
          <cell r="B1350">
            <v>801</v>
          </cell>
          <cell r="C1350">
            <v>10000</v>
          </cell>
          <cell r="G1350">
            <v>656.96</v>
          </cell>
          <cell r="I1350">
            <v>74208.36</v>
          </cell>
        </row>
        <row r="1351">
          <cell r="B1351">
            <v>802</v>
          </cell>
          <cell r="C1351">
            <v>0</v>
          </cell>
          <cell r="G1351">
            <v>39321.300000000003</v>
          </cell>
          <cell r="I1351">
            <v>74865.320000000007</v>
          </cell>
        </row>
        <row r="1352">
          <cell r="B1352">
            <v>805</v>
          </cell>
          <cell r="C1352">
            <v>0</v>
          </cell>
          <cell r="G1352">
            <v>-10282.35</v>
          </cell>
          <cell r="I1352">
            <v>39321.300000000003</v>
          </cell>
        </row>
        <row r="1353">
          <cell r="B1353">
            <v>809</v>
          </cell>
          <cell r="C1353">
            <v>0</v>
          </cell>
          <cell r="G1353">
            <v>1012.65</v>
          </cell>
          <cell r="I1353">
            <v>-10282.35</v>
          </cell>
        </row>
        <row r="1354">
          <cell r="B1354">
            <v>812</v>
          </cell>
          <cell r="C1354">
            <v>0</v>
          </cell>
          <cell r="G1354">
            <v>-43246.52</v>
          </cell>
          <cell r="I1354">
            <v>1012.65</v>
          </cell>
        </row>
        <row r="1355">
          <cell r="B1355">
            <v>812</v>
          </cell>
          <cell r="C1355">
            <v>1</v>
          </cell>
          <cell r="G1355">
            <v>35175.26</v>
          </cell>
          <cell r="I1355">
            <v>-43246.52</v>
          </cell>
        </row>
        <row r="1356">
          <cell r="B1356">
            <v>812</v>
          </cell>
          <cell r="C1356">
            <v>2</v>
          </cell>
          <cell r="G1356">
            <v>8071.26</v>
          </cell>
          <cell r="I1356">
            <v>35175.26</v>
          </cell>
        </row>
        <row r="1357">
          <cell r="B1357">
            <v>812</v>
          </cell>
          <cell r="C1357">
            <v>10000</v>
          </cell>
          <cell r="G1357">
            <v>0</v>
          </cell>
          <cell r="I1357">
            <v>8071.26</v>
          </cell>
        </row>
        <row r="1358">
          <cell r="B1358">
            <v>812</v>
          </cell>
          <cell r="C1358">
            <v>30000</v>
          </cell>
          <cell r="G1358">
            <v>0</v>
          </cell>
          <cell r="I1358">
            <v>0</v>
          </cell>
        </row>
        <row r="1359">
          <cell r="B1359">
            <v>812</v>
          </cell>
          <cell r="C1359">
            <v>50000</v>
          </cell>
          <cell r="G1359">
            <v>0</v>
          </cell>
          <cell r="I1359">
            <v>0</v>
          </cell>
        </row>
        <row r="1360">
          <cell r="B1360">
            <v>812</v>
          </cell>
          <cell r="C1360">
            <v>70000</v>
          </cell>
          <cell r="G1360">
            <v>-3000</v>
          </cell>
          <cell r="I1360">
            <v>0</v>
          </cell>
        </row>
        <row r="1361">
          <cell r="B1361">
            <v>812</v>
          </cell>
          <cell r="C1361">
            <v>80000</v>
          </cell>
          <cell r="G1361">
            <v>0</v>
          </cell>
          <cell r="I1361">
            <v>-3000</v>
          </cell>
        </row>
        <row r="1362">
          <cell r="B1362">
            <v>820</v>
          </cell>
          <cell r="C1362">
            <v>0</v>
          </cell>
          <cell r="G1362">
            <v>-10818.41</v>
          </cell>
          <cell r="I1362">
            <v>-3000</v>
          </cell>
        </row>
        <row r="1363">
          <cell r="B1363">
            <v>891</v>
          </cell>
          <cell r="C1363">
            <v>0</v>
          </cell>
          <cell r="G1363">
            <v>-70333.8</v>
          </cell>
          <cell r="I1363">
            <v>-10818.41</v>
          </cell>
        </row>
        <row r="1364">
          <cell r="B1364">
            <v>892</v>
          </cell>
          <cell r="C1364">
            <v>0</v>
          </cell>
          <cell r="G1364">
            <v>0</v>
          </cell>
          <cell r="I1364">
            <v>-70333.8</v>
          </cell>
        </row>
        <row r="1365">
          <cell r="B1365">
            <v>892</v>
          </cell>
          <cell r="C1365">
            <v>100</v>
          </cell>
          <cell r="G1365">
            <v>85916.31</v>
          </cell>
          <cell r="I13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I Output"/>
      <sheetName val="FIN MOD"/>
      <sheetName val="SURVEILLANCE"/>
      <sheetName val="BUDRET"/>
      <sheetName val="VOM"/>
      <sheetName val="Scherer Environ"/>
      <sheetName val="ZBRAND Excl."/>
      <sheetName val="Scherer Capacity"/>
      <sheetName val="UPS Income Statement"/>
      <sheetName val="UPS Cap Rate"/>
      <sheetName val="UPS Sales"/>
      <sheetName val="Econ Dev"/>
      <sheetName val="cm"/>
      <sheetName val="Inj &amp; Damages"/>
      <sheetName val="Detail"/>
      <sheetName val="Totals"/>
      <sheetName val="Nuclear Def Dr in PS&amp;I"/>
      <sheetName val="Nuclear Def Dr in PHFU"/>
      <sheetName val="Scherer Timber Sales"/>
      <sheetName val="N Escambia Timber"/>
      <sheetName val="N Escambia Rents"/>
      <sheetName val="D &amp; O Ins"/>
      <sheetName val="Peabody Lit"/>
      <sheetName val="Mgmt Perq"/>
      <sheetName val="Bulk Power Energy"/>
      <sheetName val="Scherer GA ITC"/>
      <sheetName val="ARO Entry Joy"/>
      <sheetName val="CASPR Sofia Q"/>
      <sheetName val="CASPR Totals - CM"/>
      <sheetName val="CASPR Totals - EB"/>
      <sheetName val="37M PCB"/>
      <sheetName val="3.93M PCB"/>
      <sheetName val="42M PCB"/>
      <sheetName val="29.075M PCB"/>
      <sheetName val="32.55M PCB"/>
      <sheetName val="65.4M PCB"/>
      <sheetName val="BASE RATES"/>
      <sheetName val="Int Bearing CWIP Joy"/>
      <sheetName val="Depr Accrual Sofia"/>
      <sheetName val="All Needed Sofia Query"/>
      <sheetName val="Liaison"/>
      <sheetName val="Transmission Mandy"/>
      <sheetName val="FPU Not used"/>
      <sheetName val="Capacity_Mandy"/>
      <sheetName val="Capacity Rev Mandy"/>
      <sheetName val="Capacity"/>
      <sheetName val="Flint Revenue Credit Calc"/>
      <sheetName val="Economy and Markup"/>
      <sheetName val="Int Analysis"/>
      <sheetName val="ECRC O&amp;M Mandy"/>
      <sheetName val="ECRC Rev Req"/>
      <sheetName val="ECRC Revenue Mandy"/>
      <sheetName val="ECCR Rev Paul"/>
      <sheetName val="ECCR Exp Paul"/>
      <sheetName val="ECCR Pyrll OH"/>
      <sheetName val="FUEL"/>
      <sheetName val="FERCREC Charl"/>
      <sheetName val="Schedule Charl"/>
      <sheetName val="CRFACTOR Charl"/>
      <sheetName val="Data Total Charlotte"/>
      <sheetName val="Total Transmission PIS"/>
      <sheetName val="12MTD O&amp;M NOI"/>
      <sheetName val="Sch 4"/>
      <sheetName val="Sch 4-A"/>
      <sheetName val="Sch 5"/>
      <sheetName val="Sch 10"/>
      <sheetName val="Sch 10-A"/>
      <sheetName val="Sch 11"/>
      <sheetName val="Sch 13"/>
      <sheetName val="Sch 14"/>
      <sheetName val="Sch 16"/>
      <sheetName val="Sch 36"/>
      <sheetName val="Sch 39"/>
      <sheetName val="Sch 57"/>
      <sheetName val="Sch 58"/>
      <sheetName val="Sch 60"/>
      <sheetName val="Sch 60 PM"/>
      <sheetName val="Sch 60 Supp 2"/>
      <sheetName val="Sch 71-B"/>
      <sheetName val="Sch 71-C"/>
      <sheetName val="Sch 72"/>
      <sheetName val="Sch 73"/>
      <sheetName val="Sch 73 All"/>
      <sheetName val="Sch 75-B"/>
      <sheetName val="GLA"/>
      <sheetName val="ESRI_MAPINFO_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Ferc</v>
          </cell>
        </row>
      </sheetData>
      <sheetData sheetId="16">
        <row r="1">
          <cell r="B1" t="str">
            <v>Ferc</v>
          </cell>
          <cell r="C1" t="str">
            <v>SUB</v>
          </cell>
          <cell r="D1" t="str">
            <v>CM Activity</v>
          </cell>
          <cell r="E1" t="str">
            <v>Ending Balance</v>
          </cell>
        </row>
        <row r="2">
          <cell r="B2">
            <v>101</v>
          </cell>
          <cell r="C2">
            <v>0</v>
          </cell>
          <cell r="D2">
            <v>43094960.770000003</v>
          </cell>
          <cell r="E2">
            <v>6176327458.0600004</v>
          </cell>
        </row>
        <row r="3">
          <cell r="B3">
            <v>105</v>
          </cell>
          <cell r="C3">
            <v>0</v>
          </cell>
          <cell r="D3">
            <v>0</v>
          </cell>
          <cell r="E3">
            <v>14109787.689999999</v>
          </cell>
        </row>
        <row r="4">
          <cell r="B4">
            <v>106</v>
          </cell>
          <cell r="C4">
            <v>0</v>
          </cell>
          <cell r="D4">
            <v>6416631.5</v>
          </cell>
          <cell r="E4">
            <v>219224896.68000001</v>
          </cell>
        </row>
        <row r="5">
          <cell r="B5">
            <v>107</v>
          </cell>
          <cell r="C5">
            <v>0</v>
          </cell>
          <cell r="D5">
            <v>-35069244.840000004</v>
          </cell>
          <cell r="E5">
            <v>-3789858897.8000002</v>
          </cell>
        </row>
        <row r="6">
          <cell r="B6">
            <v>108</v>
          </cell>
          <cell r="C6">
            <v>0</v>
          </cell>
          <cell r="D6">
            <v>-19241884.199999999</v>
          </cell>
          <cell r="E6">
            <v>-2876341877.4299998</v>
          </cell>
        </row>
        <row r="7">
          <cell r="B7">
            <v>111</v>
          </cell>
          <cell r="C7">
            <v>0</v>
          </cell>
          <cell r="D7">
            <v>2877774.03</v>
          </cell>
          <cell r="E7">
            <v>-64026626.549999997</v>
          </cell>
        </row>
        <row r="8">
          <cell r="B8">
            <v>114</v>
          </cell>
          <cell r="C8">
            <v>0</v>
          </cell>
          <cell r="D8">
            <v>-21276</v>
          </cell>
          <cell r="E8">
            <v>754348.24</v>
          </cell>
        </row>
        <row r="9">
          <cell r="B9">
            <v>121</v>
          </cell>
          <cell r="C9">
            <v>0</v>
          </cell>
          <cell r="D9">
            <v>6326</v>
          </cell>
          <cell r="E9">
            <v>17529524.68</v>
          </cell>
        </row>
        <row r="10">
          <cell r="B10">
            <v>122</v>
          </cell>
          <cell r="C10">
            <v>0</v>
          </cell>
          <cell r="D10">
            <v>-17630.310000000001</v>
          </cell>
          <cell r="E10">
            <v>-4576109.32</v>
          </cell>
        </row>
        <row r="11">
          <cell r="B11">
            <v>123</v>
          </cell>
          <cell r="C11">
            <v>0</v>
          </cell>
          <cell r="D11">
            <v>-1552075.04</v>
          </cell>
          <cell r="E11">
            <v>11711131.699999999</v>
          </cell>
        </row>
        <row r="12">
          <cell r="B12">
            <v>128</v>
          </cell>
          <cell r="C12">
            <v>0</v>
          </cell>
          <cell r="D12">
            <v>-26257921.25</v>
          </cell>
          <cell r="E12">
            <v>145966082</v>
          </cell>
        </row>
        <row r="13">
          <cell r="B13">
            <v>131</v>
          </cell>
          <cell r="C13">
            <v>0</v>
          </cell>
          <cell r="D13">
            <v>22889786.489999998</v>
          </cell>
          <cell r="E13">
            <v>4442840.92</v>
          </cell>
        </row>
        <row r="14">
          <cell r="B14">
            <v>135</v>
          </cell>
          <cell r="C14">
            <v>0</v>
          </cell>
          <cell r="D14">
            <v>0</v>
          </cell>
          <cell r="E14">
            <v>792922.62</v>
          </cell>
        </row>
        <row r="15">
          <cell r="B15">
            <v>142</v>
          </cell>
          <cell r="C15">
            <v>0</v>
          </cell>
          <cell r="D15">
            <v>6635651.3899999997</v>
          </cell>
          <cell r="E15">
            <v>74900312.980000004</v>
          </cell>
        </row>
        <row r="16">
          <cell r="B16">
            <v>143</v>
          </cell>
          <cell r="C16">
            <v>0</v>
          </cell>
          <cell r="D16">
            <v>2539300.77</v>
          </cell>
          <cell r="E16">
            <v>7290321.5199999996</v>
          </cell>
        </row>
        <row r="17">
          <cell r="B17">
            <v>144</v>
          </cell>
          <cell r="C17">
            <v>0</v>
          </cell>
          <cell r="D17">
            <v>68386</v>
          </cell>
          <cell r="E17">
            <v>-999200.33</v>
          </cell>
        </row>
        <row r="18">
          <cell r="B18">
            <v>146</v>
          </cell>
          <cell r="C18">
            <v>0</v>
          </cell>
          <cell r="D18">
            <v>-23553965.359999999</v>
          </cell>
          <cell r="E18">
            <v>0</v>
          </cell>
        </row>
        <row r="19">
          <cell r="B19">
            <v>151</v>
          </cell>
          <cell r="C19">
            <v>0</v>
          </cell>
          <cell r="D19">
            <v>8041665.4199999999</v>
          </cell>
          <cell r="E19">
            <v>55142161.009999998</v>
          </cell>
        </row>
        <row r="20">
          <cell r="B20">
            <v>152</v>
          </cell>
          <cell r="C20">
            <v>0</v>
          </cell>
          <cell r="D20">
            <v>26969.65</v>
          </cell>
          <cell r="E20">
            <v>26969.65</v>
          </cell>
        </row>
        <row r="21">
          <cell r="B21">
            <v>154</v>
          </cell>
          <cell r="C21">
            <v>0</v>
          </cell>
          <cell r="D21">
            <v>70922.09</v>
          </cell>
          <cell r="E21">
            <v>66462777.460000001</v>
          </cell>
        </row>
        <row r="22">
          <cell r="B22">
            <v>158</v>
          </cell>
          <cell r="C22">
            <v>0</v>
          </cell>
          <cell r="D22">
            <v>-3609.79</v>
          </cell>
          <cell r="E22">
            <v>6329744.96</v>
          </cell>
        </row>
        <row r="23">
          <cell r="B23">
            <v>165</v>
          </cell>
          <cell r="C23">
            <v>0</v>
          </cell>
          <cell r="D23">
            <v>449057.06</v>
          </cell>
          <cell r="E23">
            <v>20153323.289999999</v>
          </cell>
        </row>
        <row r="24">
          <cell r="B24">
            <v>171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172</v>
          </cell>
          <cell r="C25">
            <v>0</v>
          </cell>
          <cell r="D25">
            <v>-221393.03</v>
          </cell>
          <cell r="E25">
            <v>670099.61</v>
          </cell>
        </row>
        <row r="26">
          <cell r="B26">
            <v>173</v>
          </cell>
          <cell r="C26">
            <v>0</v>
          </cell>
          <cell r="D26">
            <v>-991032.27</v>
          </cell>
          <cell r="E26">
            <v>56649753.549999997</v>
          </cell>
        </row>
        <row r="27">
          <cell r="B27">
            <v>175</v>
          </cell>
          <cell r="C27">
            <v>0</v>
          </cell>
          <cell r="D27">
            <v>-4650.49</v>
          </cell>
          <cell r="E27">
            <v>79176.539999999994</v>
          </cell>
        </row>
        <row r="28">
          <cell r="B28">
            <v>176</v>
          </cell>
          <cell r="C28">
            <v>0</v>
          </cell>
          <cell r="D28">
            <v>-566570.88</v>
          </cell>
          <cell r="E28">
            <v>23044.51</v>
          </cell>
        </row>
        <row r="29">
          <cell r="B29">
            <v>181</v>
          </cell>
          <cell r="C29">
            <v>0</v>
          </cell>
          <cell r="D29">
            <v>-94632.06</v>
          </cell>
          <cell r="E29">
            <v>9095550.6600000001</v>
          </cell>
        </row>
        <row r="30">
          <cell r="B30">
            <v>182</v>
          </cell>
          <cell r="C30">
            <v>0</v>
          </cell>
          <cell r="D30">
            <v>-2515074.08</v>
          </cell>
          <cell r="E30">
            <v>552723572.42999995</v>
          </cell>
        </row>
        <row r="31">
          <cell r="B31">
            <v>184</v>
          </cell>
          <cell r="C31">
            <v>0</v>
          </cell>
          <cell r="D31">
            <v>18895.64</v>
          </cell>
          <cell r="E31">
            <v>27057.59</v>
          </cell>
        </row>
        <row r="32">
          <cell r="B32">
            <v>185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186</v>
          </cell>
          <cell r="C33">
            <v>0</v>
          </cell>
          <cell r="D33">
            <v>4041145.61</v>
          </cell>
          <cell r="E33">
            <v>15386408.380000001</v>
          </cell>
        </row>
        <row r="34">
          <cell r="B34">
            <v>189</v>
          </cell>
          <cell r="C34">
            <v>0</v>
          </cell>
          <cell r="D34">
            <v>-98445.51</v>
          </cell>
          <cell r="E34">
            <v>15146147.82</v>
          </cell>
        </row>
        <row r="35">
          <cell r="B35">
            <v>190</v>
          </cell>
          <cell r="C35">
            <v>0</v>
          </cell>
          <cell r="D35">
            <v>4083312.26</v>
          </cell>
          <cell r="E35">
            <v>182170338.88</v>
          </cell>
        </row>
        <row r="36">
          <cell r="B36">
            <v>201</v>
          </cell>
          <cell r="C36">
            <v>0</v>
          </cell>
          <cell r="D36">
            <v>0</v>
          </cell>
          <cell r="E36">
            <v>-678060000</v>
          </cell>
        </row>
        <row r="37">
          <cell r="B37">
            <v>211</v>
          </cell>
          <cell r="C37">
            <v>0</v>
          </cell>
          <cell r="D37">
            <v>-345245127.61000001</v>
          </cell>
          <cell r="E37">
            <v>-983098089.84000003</v>
          </cell>
        </row>
        <row r="38">
          <cell r="B38">
            <v>216</v>
          </cell>
          <cell r="C38">
            <v>0</v>
          </cell>
          <cell r="D38">
            <v>0</v>
          </cell>
          <cell r="E38">
            <v>-259071170.33000001</v>
          </cell>
        </row>
        <row r="39">
          <cell r="B39">
            <v>219</v>
          </cell>
          <cell r="C39">
            <v>0</v>
          </cell>
          <cell r="D39">
            <v>2815.32</v>
          </cell>
          <cell r="E39">
            <v>528594.87</v>
          </cell>
        </row>
        <row r="40">
          <cell r="B40">
            <v>224</v>
          </cell>
          <cell r="C40">
            <v>0</v>
          </cell>
          <cell r="D40">
            <v>0</v>
          </cell>
          <cell r="E40">
            <v>-1298955000</v>
          </cell>
        </row>
        <row r="41">
          <cell r="B41">
            <v>226</v>
          </cell>
          <cell r="C41">
            <v>0</v>
          </cell>
          <cell r="D41">
            <v>-32913.03</v>
          </cell>
          <cell r="E41">
            <v>4358327.3</v>
          </cell>
        </row>
        <row r="42">
          <cell r="B42">
            <v>228</v>
          </cell>
          <cell r="C42">
            <v>0</v>
          </cell>
          <cell r="D42">
            <v>-3498175.33</v>
          </cell>
          <cell r="E42">
            <v>-296782330</v>
          </cell>
        </row>
        <row r="43">
          <cell r="B43">
            <v>229</v>
          </cell>
          <cell r="C43">
            <v>0</v>
          </cell>
          <cell r="D43">
            <v>-322206</v>
          </cell>
          <cell r="E43">
            <v>-472090.2</v>
          </cell>
        </row>
        <row r="44">
          <cell r="B44">
            <v>230</v>
          </cell>
          <cell r="C44">
            <v>0</v>
          </cell>
          <cell r="D44">
            <v>-14607075.66</v>
          </cell>
          <cell r="E44">
            <v>-78285431.069999993</v>
          </cell>
        </row>
        <row r="45">
          <cell r="B45">
            <v>232</v>
          </cell>
          <cell r="C45">
            <v>0</v>
          </cell>
          <cell r="D45">
            <v>56810476.630000003</v>
          </cell>
          <cell r="E45">
            <v>-190619107.33000001</v>
          </cell>
        </row>
        <row r="46">
          <cell r="B46">
            <v>233</v>
          </cell>
          <cell r="C46">
            <v>0</v>
          </cell>
          <cell r="D46">
            <v>109937802.77</v>
          </cell>
          <cell r="E46">
            <v>0</v>
          </cell>
        </row>
        <row r="47">
          <cell r="B47">
            <v>234</v>
          </cell>
          <cell r="C47">
            <v>0</v>
          </cell>
          <cell r="D47">
            <v>133331177.31999999</v>
          </cell>
          <cell r="E47">
            <v>0</v>
          </cell>
        </row>
        <row r="48">
          <cell r="B48">
            <v>235</v>
          </cell>
          <cell r="C48">
            <v>0</v>
          </cell>
          <cell r="D48">
            <v>183766.62</v>
          </cell>
          <cell r="E48">
            <v>-34412173.780000001</v>
          </cell>
        </row>
        <row r="49">
          <cell r="B49">
            <v>236</v>
          </cell>
          <cell r="C49">
            <v>0</v>
          </cell>
          <cell r="D49">
            <v>-51097873.380000003</v>
          </cell>
          <cell r="E49">
            <v>-17895274.84</v>
          </cell>
        </row>
        <row r="50">
          <cell r="B50">
            <v>237</v>
          </cell>
          <cell r="C50">
            <v>0</v>
          </cell>
          <cell r="D50">
            <v>-711372.09</v>
          </cell>
          <cell r="E50">
            <v>-8560855.4299999997</v>
          </cell>
        </row>
        <row r="51">
          <cell r="B51">
            <v>238</v>
          </cell>
          <cell r="C51">
            <v>0</v>
          </cell>
          <cell r="D51">
            <v>38201000</v>
          </cell>
          <cell r="E51">
            <v>0</v>
          </cell>
        </row>
        <row r="52">
          <cell r="B52">
            <v>241</v>
          </cell>
          <cell r="C52">
            <v>0</v>
          </cell>
          <cell r="D52">
            <v>-276254.34999999998</v>
          </cell>
          <cell r="E52">
            <v>-1463547.8</v>
          </cell>
        </row>
        <row r="53">
          <cell r="B53">
            <v>242</v>
          </cell>
          <cell r="C53">
            <v>0</v>
          </cell>
          <cell r="D53">
            <v>27010357.920000002</v>
          </cell>
          <cell r="E53">
            <v>-13268221.35</v>
          </cell>
        </row>
        <row r="54">
          <cell r="B54">
            <v>244</v>
          </cell>
          <cell r="C54">
            <v>0</v>
          </cell>
          <cell r="D54">
            <v>-7806.52</v>
          </cell>
          <cell r="E54">
            <v>-40213.17</v>
          </cell>
        </row>
        <row r="55">
          <cell r="B55">
            <v>245</v>
          </cell>
          <cell r="C55">
            <v>0</v>
          </cell>
          <cell r="D55">
            <v>-1321354.25</v>
          </cell>
          <cell r="E55">
            <v>-6362271.0700000003</v>
          </cell>
        </row>
        <row r="56">
          <cell r="B56">
            <v>253</v>
          </cell>
          <cell r="C56">
            <v>0</v>
          </cell>
          <cell r="D56">
            <v>17923560.359999999</v>
          </cell>
          <cell r="E56">
            <v>-249691723.74000001</v>
          </cell>
        </row>
        <row r="57">
          <cell r="B57">
            <v>254</v>
          </cell>
          <cell r="C57">
            <v>0</v>
          </cell>
          <cell r="D57">
            <v>6212589.4800000004</v>
          </cell>
          <cell r="E57">
            <v>-435909111.14999998</v>
          </cell>
        </row>
        <row r="58">
          <cell r="B58">
            <v>255</v>
          </cell>
          <cell r="C58">
            <v>0</v>
          </cell>
          <cell r="D58">
            <v>27018.21</v>
          </cell>
          <cell r="E58">
            <v>-966065.35</v>
          </cell>
        </row>
        <row r="59">
          <cell r="B59">
            <v>281</v>
          </cell>
          <cell r="C59">
            <v>0</v>
          </cell>
          <cell r="D59">
            <v>-378892.55</v>
          </cell>
          <cell r="E59">
            <v>-152030729.44</v>
          </cell>
        </row>
        <row r="60">
          <cell r="B60">
            <v>282</v>
          </cell>
          <cell r="C60">
            <v>0</v>
          </cell>
          <cell r="D60">
            <v>-4503814.54</v>
          </cell>
          <cell r="E60">
            <v>-518024471.82999998</v>
          </cell>
        </row>
        <row r="61">
          <cell r="B61">
            <v>283</v>
          </cell>
          <cell r="C61">
            <v>0</v>
          </cell>
          <cell r="D61">
            <v>-5673866.0700000003</v>
          </cell>
          <cell r="E61">
            <v>-130031594.53</v>
          </cell>
        </row>
        <row r="62">
          <cell r="B62">
            <v>403</v>
          </cell>
          <cell r="C62">
            <v>0</v>
          </cell>
          <cell r="D62">
            <v>15530747.029999999</v>
          </cell>
          <cell r="E62">
            <v>182669988.66999999</v>
          </cell>
        </row>
        <row r="63">
          <cell r="B63">
            <v>404</v>
          </cell>
          <cell r="C63">
            <v>0</v>
          </cell>
          <cell r="D63">
            <v>493674.8</v>
          </cell>
          <cell r="E63">
            <v>6066789.8600000003</v>
          </cell>
        </row>
        <row r="64">
          <cell r="B64">
            <v>407</v>
          </cell>
          <cell r="C64">
            <v>0</v>
          </cell>
          <cell r="D64">
            <v>-98752.6</v>
          </cell>
          <cell r="E64">
            <v>-171021.19</v>
          </cell>
        </row>
        <row r="65">
          <cell r="B65">
            <v>408</v>
          </cell>
          <cell r="C65">
            <v>0</v>
          </cell>
          <cell r="D65">
            <v>8564397.1799999997</v>
          </cell>
          <cell r="E65">
            <v>117976148.36</v>
          </cell>
        </row>
        <row r="66">
          <cell r="B66">
            <v>409</v>
          </cell>
          <cell r="C66">
            <v>0</v>
          </cell>
          <cell r="D66">
            <v>-3006906.7</v>
          </cell>
          <cell r="E66">
            <v>-23082681.620000001</v>
          </cell>
        </row>
        <row r="67">
          <cell r="B67">
            <v>410</v>
          </cell>
          <cell r="C67">
            <v>0</v>
          </cell>
          <cell r="D67">
            <v>22091771.399999999</v>
          </cell>
          <cell r="E67">
            <v>158930355.61000001</v>
          </cell>
        </row>
        <row r="68">
          <cell r="B68">
            <v>411</v>
          </cell>
          <cell r="C68">
            <v>0</v>
          </cell>
          <cell r="D68">
            <v>-22750982.809999999</v>
          </cell>
          <cell r="E68">
            <v>-153594251.22999999</v>
          </cell>
        </row>
        <row r="69">
          <cell r="B69">
            <v>415</v>
          </cell>
          <cell r="C69">
            <v>0</v>
          </cell>
          <cell r="D69">
            <v>-169646.6</v>
          </cell>
          <cell r="E69">
            <v>-2405609.2000000002</v>
          </cell>
        </row>
        <row r="70">
          <cell r="B70">
            <v>416</v>
          </cell>
          <cell r="C70">
            <v>0</v>
          </cell>
          <cell r="D70">
            <v>81947.259999999995</v>
          </cell>
          <cell r="E70">
            <v>1331772.3999999999</v>
          </cell>
        </row>
        <row r="71">
          <cell r="B71">
            <v>418</v>
          </cell>
          <cell r="C71">
            <v>0</v>
          </cell>
          <cell r="D71">
            <v>-20388.93</v>
          </cell>
          <cell r="E71">
            <v>65489.33</v>
          </cell>
        </row>
        <row r="72">
          <cell r="B72">
            <v>419</v>
          </cell>
          <cell r="C72">
            <v>0</v>
          </cell>
          <cell r="D72">
            <v>-8544.64</v>
          </cell>
          <cell r="E72">
            <v>-163130.65</v>
          </cell>
        </row>
        <row r="73">
          <cell r="B73">
            <v>421</v>
          </cell>
          <cell r="C73">
            <v>0</v>
          </cell>
          <cell r="D73">
            <v>-20710.82</v>
          </cell>
          <cell r="E73">
            <v>-591153.35</v>
          </cell>
        </row>
        <row r="74">
          <cell r="B74">
            <v>425</v>
          </cell>
          <cell r="C74">
            <v>0</v>
          </cell>
          <cell r="D74">
            <v>21276</v>
          </cell>
          <cell r="E74">
            <v>255312</v>
          </cell>
        </row>
        <row r="75">
          <cell r="B75">
            <v>426</v>
          </cell>
          <cell r="C75">
            <v>0</v>
          </cell>
          <cell r="D75">
            <v>3700119.25</v>
          </cell>
          <cell r="E75">
            <v>19085194.010000002</v>
          </cell>
        </row>
        <row r="76">
          <cell r="B76">
            <v>427</v>
          </cell>
          <cell r="C76">
            <v>0</v>
          </cell>
          <cell r="D76">
            <v>3994170.02</v>
          </cell>
          <cell r="E76">
            <v>47587233</v>
          </cell>
        </row>
        <row r="77">
          <cell r="B77">
            <v>428</v>
          </cell>
          <cell r="C77">
            <v>0</v>
          </cell>
          <cell r="D77">
            <v>230041.96</v>
          </cell>
          <cell r="E77">
            <v>2332913.7599999998</v>
          </cell>
        </row>
        <row r="78">
          <cell r="B78">
            <v>430</v>
          </cell>
          <cell r="C78">
            <v>0</v>
          </cell>
          <cell r="D78">
            <v>394675.11</v>
          </cell>
          <cell r="E78">
            <v>1513433.09</v>
          </cell>
        </row>
        <row r="79">
          <cell r="B79">
            <v>431</v>
          </cell>
          <cell r="C79">
            <v>0</v>
          </cell>
          <cell r="D79">
            <v>195830.45</v>
          </cell>
          <cell r="E79">
            <v>1843861.01</v>
          </cell>
        </row>
        <row r="80">
          <cell r="B80">
            <v>432</v>
          </cell>
          <cell r="C80">
            <v>0</v>
          </cell>
          <cell r="D80">
            <v>-3456.91</v>
          </cell>
          <cell r="E80">
            <v>-40435.46</v>
          </cell>
        </row>
        <row r="81">
          <cell r="B81">
            <v>438</v>
          </cell>
          <cell r="C81">
            <v>0</v>
          </cell>
          <cell r="D81">
            <v>0</v>
          </cell>
          <cell r="E81">
            <v>153370000</v>
          </cell>
        </row>
        <row r="82">
          <cell r="B82">
            <v>439</v>
          </cell>
          <cell r="C82">
            <v>0</v>
          </cell>
          <cell r="D82">
            <v>0</v>
          </cell>
          <cell r="E82">
            <v>-105720.5</v>
          </cell>
        </row>
        <row r="83">
          <cell r="B83">
            <v>440</v>
          </cell>
          <cell r="C83">
            <v>0</v>
          </cell>
          <cell r="D83">
            <v>-53431718.799999997</v>
          </cell>
          <cell r="E83">
            <v>-728193758.29999995</v>
          </cell>
        </row>
        <row r="84">
          <cell r="B84">
            <v>442</v>
          </cell>
          <cell r="C84">
            <v>0</v>
          </cell>
          <cell r="D84">
            <v>-37430447.990000002</v>
          </cell>
          <cell r="E84">
            <v>-540359975.42999995</v>
          </cell>
        </row>
        <row r="85">
          <cell r="B85">
            <v>444</v>
          </cell>
          <cell r="C85">
            <v>0</v>
          </cell>
          <cell r="D85">
            <v>-414144.61</v>
          </cell>
          <cell r="E85">
            <v>-5126034.46</v>
          </cell>
        </row>
        <row r="86">
          <cell r="B86">
            <v>447</v>
          </cell>
          <cell r="C86">
            <v>0</v>
          </cell>
          <cell r="D86">
            <v>-23916910.719999999</v>
          </cell>
          <cell r="E86">
            <v>-186897749.91</v>
          </cell>
        </row>
        <row r="87">
          <cell r="B87">
            <v>449</v>
          </cell>
          <cell r="C87">
            <v>0</v>
          </cell>
          <cell r="D87">
            <v>322206</v>
          </cell>
          <cell r="E87">
            <v>292775.46000000002</v>
          </cell>
        </row>
        <row r="88">
          <cell r="B88">
            <v>451</v>
          </cell>
          <cell r="C88">
            <v>0</v>
          </cell>
          <cell r="D88">
            <v>-3606089.07</v>
          </cell>
          <cell r="E88">
            <v>-49220341.590000004</v>
          </cell>
        </row>
        <row r="89">
          <cell r="B89">
            <v>454</v>
          </cell>
          <cell r="C89">
            <v>0</v>
          </cell>
          <cell r="D89">
            <v>-553051.09</v>
          </cell>
          <cell r="E89">
            <v>-5943313.6600000001</v>
          </cell>
        </row>
        <row r="90">
          <cell r="B90">
            <v>456</v>
          </cell>
          <cell r="C90">
            <v>0</v>
          </cell>
          <cell r="D90">
            <v>-3952608.37</v>
          </cell>
          <cell r="E90">
            <v>49694982.920000002</v>
          </cell>
        </row>
        <row r="91">
          <cell r="B91">
            <v>500</v>
          </cell>
          <cell r="C91">
            <v>0</v>
          </cell>
          <cell r="D91">
            <v>893643.05</v>
          </cell>
          <cell r="E91">
            <v>9843093.9000000004</v>
          </cell>
        </row>
        <row r="92">
          <cell r="B92">
            <v>501</v>
          </cell>
          <cell r="C92">
            <v>0</v>
          </cell>
          <cell r="D92">
            <v>18046301.920000002</v>
          </cell>
          <cell r="E92">
            <v>181503675.31999999</v>
          </cell>
        </row>
        <row r="93">
          <cell r="B93">
            <v>502</v>
          </cell>
          <cell r="C93">
            <v>0</v>
          </cell>
          <cell r="D93">
            <v>1663260.16</v>
          </cell>
          <cell r="E93">
            <v>15745452.26</v>
          </cell>
        </row>
        <row r="94">
          <cell r="B94">
            <v>505</v>
          </cell>
          <cell r="C94">
            <v>0</v>
          </cell>
          <cell r="D94">
            <v>370598.48</v>
          </cell>
          <cell r="E94">
            <v>4274298.67</v>
          </cell>
        </row>
        <row r="95">
          <cell r="B95">
            <v>506</v>
          </cell>
          <cell r="C95">
            <v>0</v>
          </cell>
          <cell r="D95">
            <v>2052167.01</v>
          </cell>
          <cell r="E95">
            <v>17670502.140000001</v>
          </cell>
        </row>
        <row r="96">
          <cell r="B96">
            <v>509</v>
          </cell>
          <cell r="C96">
            <v>0</v>
          </cell>
          <cell r="D96">
            <v>3609.79</v>
          </cell>
          <cell r="E96">
            <v>58543.7</v>
          </cell>
        </row>
        <row r="97">
          <cell r="B97">
            <v>510</v>
          </cell>
          <cell r="C97">
            <v>0</v>
          </cell>
          <cell r="D97">
            <v>503490.2</v>
          </cell>
          <cell r="E97">
            <v>6613463.1799999997</v>
          </cell>
        </row>
        <row r="98">
          <cell r="B98">
            <v>511</v>
          </cell>
          <cell r="C98">
            <v>0</v>
          </cell>
          <cell r="D98">
            <v>1056065.1599999999</v>
          </cell>
          <cell r="E98">
            <v>7490600.8799999999</v>
          </cell>
        </row>
        <row r="99">
          <cell r="B99">
            <v>512</v>
          </cell>
          <cell r="C99">
            <v>0</v>
          </cell>
          <cell r="D99">
            <v>2949730.2</v>
          </cell>
          <cell r="E99">
            <v>36655275.770000003</v>
          </cell>
        </row>
        <row r="100">
          <cell r="B100">
            <v>513</v>
          </cell>
          <cell r="C100">
            <v>0</v>
          </cell>
          <cell r="D100">
            <v>453910.19</v>
          </cell>
          <cell r="E100">
            <v>3956678.86</v>
          </cell>
        </row>
        <row r="101">
          <cell r="B101">
            <v>514</v>
          </cell>
          <cell r="C101">
            <v>0</v>
          </cell>
          <cell r="D101">
            <v>482866.69</v>
          </cell>
          <cell r="E101">
            <v>4843503.53</v>
          </cell>
        </row>
        <row r="102">
          <cell r="B102">
            <v>546</v>
          </cell>
          <cell r="C102">
            <v>0</v>
          </cell>
          <cell r="D102">
            <v>215474.5</v>
          </cell>
          <cell r="E102">
            <v>2389044.8199999998</v>
          </cell>
        </row>
        <row r="103">
          <cell r="B103">
            <v>547</v>
          </cell>
          <cell r="C103">
            <v>0</v>
          </cell>
          <cell r="D103">
            <v>22640842.219999999</v>
          </cell>
          <cell r="E103">
            <v>238949620.66999999</v>
          </cell>
        </row>
        <row r="104">
          <cell r="B104">
            <v>548</v>
          </cell>
          <cell r="C104">
            <v>0</v>
          </cell>
          <cell r="D104">
            <v>146700.09</v>
          </cell>
          <cell r="E104">
            <v>1217834.42</v>
          </cell>
        </row>
        <row r="105">
          <cell r="B105">
            <v>549</v>
          </cell>
          <cell r="C105">
            <v>0</v>
          </cell>
          <cell r="D105">
            <v>305313.53000000003</v>
          </cell>
          <cell r="E105">
            <v>2238800.73</v>
          </cell>
        </row>
        <row r="106">
          <cell r="B106">
            <v>551</v>
          </cell>
          <cell r="C106">
            <v>0</v>
          </cell>
          <cell r="D106">
            <v>79726.84</v>
          </cell>
          <cell r="E106">
            <v>948488.4</v>
          </cell>
        </row>
        <row r="107">
          <cell r="B107">
            <v>552</v>
          </cell>
          <cell r="C107">
            <v>0</v>
          </cell>
          <cell r="D107">
            <v>215962.96</v>
          </cell>
          <cell r="E107">
            <v>1000459.82</v>
          </cell>
        </row>
        <row r="108">
          <cell r="B108">
            <v>553</v>
          </cell>
          <cell r="C108">
            <v>0</v>
          </cell>
          <cell r="D108">
            <v>1109387.1299999999</v>
          </cell>
          <cell r="E108">
            <v>8110504.7599999998</v>
          </cell>
        </row>
        <row r="109">
          <cell r="B109">
            <v>554</v>
          </cell>
          <cell r="C109">
            <v>0</v>
          </cell>
          <cell r="D109">
            <v>49048.87</v>
          </cell>
          <cell r="E109">
            <v>655383.24</v>
          </cell>
        </row>
        <row r="110">
          <cell r="B110">
            <v>555</v>
          </cell>
          <cell r="C110">
            <v>0</v>
          </cell>
          <cell r="D110">
            <v>12966951.300000001</v>
          </cell>
          <cell r="E110">
            <v>177488596.19</v>
          </cell>
        </row>
        <row r="111">
          <cell r="B111">
            <v>556</v>
          </cell>
          <cell r="C111">
            <v>0</v>
          </cell>
          <cell r="D111">
            <v>144420.32999999999</v>
          </cell>
          <cell r="E111">
            <v>1341411.25</v>
          </cell>
        </row>
        <row r="112">
          <cell r="B112">
            <v>557</v>
          </cell>
          <cell r="C112">
            <v>0</v>
          </cell>
          <cell r="D112">
            <v>196200.29</v>
          </cell>
          <cell r="E112">
            <v>2007101.09</v>
          </cell>
        </row>
        <row r="113">
          <cell r="B113">
            <v>560</v>
          </cell>
          <cell r="C113">
            <v>0</v>
          </cell>
          <cell r="D113">
            <v>347658.3</v>
          </cell>
          <cell r="E113">
            <v>1892293.57</v>
          </cell>
        </row>
        <row r="114">
          <cell r="B114">
            <v>561</v>
          </cell>
          <cell r="C114">
            <v>0</v>
          </cell>
          <cell r="D114">
            <v>321264.74</v>
          </cell>
          <cell r="E114">
            <v>3686008.42</v>
          </cell>
        </row>
        <row r="115">
          <cell r="B115">
            <v>562</v>
          </cell>
          <cell r="C115">
            <v>0</v>
          </cell>
          <cell r="D115">
            <v>19384.669999999998</v>
          </cell>
          <cell r="E115">
            <v>261570.58</v>
          </cell>
        </row>
        <row r="116">
          <cell r="B116">
            <v>563</v>
          </cell>
          <cell r="C116">
            <v>0</v>
          </cell>
          <cell r="D116">
            <v>0</v>
          </cell>
          <cell r="E116">
            <v>28440.53</v>
          </cell>
        </row>
        <row r="117">
          <cell r="B117">
            <v>565</v>
          </cell>
          <cell r="C117">
            <v>0</v>
          </cell>
          <cell r="D117">
            <v>5226.62</v>
          </cell>
          <cell r="E117">
            <v>63875.32</v>
          </cell>
        </row>
        <row r="118">
          <cell r="B118">
            <v>566</v>
          </cell>
          <cell r="C118">
            <v>0</v>
          </cell>
          <cell r="D118">
            <v>557566.86</v>
          </cell>
          <cell r="E118">
            <v>1428897.69</v>
          </cell>
        </row>
        <row r="119">
          <cell r="B119">
            <v>567</v>
          </cell>
          <cell r="C119">
            <v>0</v>
          </cell>
          <cell r="D119">
            <v>1064017.1599999999</v>
          </cell>
          <cell r="E119">
            <v>12843147.18</v>
          </cell>
        </row>
        <row r="120">
          <cell r="B120">
            <v>568</v>
          </cell>
          <cell r="C120">
            <v>0</v>
          </cell>
          <cell r="D120">
            <v>125847.45</v>
          </cell>
          <cell r="E120">
            <v>1027772.84</v>
          </cell>
        </row>
        <row r="121">
          <cell r="B121">
            <v>569</v>
          </cell>
          <cell r="C121">
            <v>0</v>
          </cell>
          <cell r="D121">
            <v>64996.27</v>
          </cell>
          <cell r="E121">
            <v>513461.82</v>
          </cell>
        </row>
        <row r="122">
          <cell r="B122">
            <v>570</v>
          </cell>
          <cell r="C122">
            <v>0</v>
          </cell>
          <cell r="D122">
            <v>58098.47</v>
          </cell>
          <cell r="E122">
            <v>759881.78</v>
          </cell>
        </row>
        <row r="123">
          <cell r="B123">
            <v>571</v>
          </cell>
          <cell r="C123">
            <v>0</v>
          </cell>
          <cell r="D123">
            <v>875097.94</v>
          </cell>
          <cell r="E123">
            <v>3196118.83</v>
          </cell>
        </row>
        <row r="124">
          <cell r="B124">
            <v>572</v>
          </cell>
          <cell r="C124">
            <v>0</v>
          </cell>
          <cell r="D124">
            <v>0</v>
          </cell>
          <cell r="E124">
            <v>939.28</v>
          </cell>
        </row>
        <row r="125">
          <cell r="B125">
            <v>573</v>
          </cell>
          <cell r="C125">
            <v>0</v>
          </cell>
          <cell r="D125">
            <v>26122.93</v>
          </cell>
          <cell r="E125">
            <v>191492.37</v>
          </cell>
        </row>
        <row r="126">
          <cell r="B126">
            <v>580</v>
          </cell>
          <cell r="C126">
            <v>0</v>
          </cell>
          <cell r="D126">
            <v>663070.75</v>
          </cell>
          <cell r="E126">
            <v>5905550.1299999999</v>
          </cell>
        </row>
        <row r="127">
          <cell r="B127">
            <v>581</v>
          </cell>
          <cell r="C127">
            <v>0</v>
          </cell>
          <cell r="D127">
            <v>69755.820000000007</v>
          </cell>
          <cell r="E127">
            <v>642581.64</v>
          </cell>
        </row>
        <row r="128">
          <cell r="B128">
            <v>582</v>
          </cell>
          <cell r="C128">
            <v>0</v>
          </cell>
          <cell r="D128">
            <v>36503.199999999997</v>
          </cell>
          <cell r="E128">
            <v>633483.41</v>
          </cell>
        </row>
        <row r="129">
          <cell r="B129">
            <v>583</v>
          </cell>
          <cell r="C129">
            <v>0</v>
          </cell>
          <cell r="D129">
            <v>-304950.98</v>
          </cell>
          <cell r="E129">
            <v>2158614.86</v>
          </cell>
        </row>
        <row r="130">
          <cell r="B130">
            <v>584</v>
          </cell>
          <cell r="C130">
            <v>0</v>
          </cell>
          <cell r="D130">
            <v>-206802.81</v>
          </cell>
          <cell r="E130">
            <v>1749072.06</v>
          </cell>
        </row>
        <row r="131">
          <cell r="B131">
            <v>585</v>
          </cell>
          <cell r="C131">
            <v>0</v>
          </cell>
          <cell r="D131">
            <v>60668.76</v>
          </cell>
          <cell r="E131">
            <v>724926.78</v>
          </cell>
        </row>
        <row r="132">
          <cell r="B132">
            <v>586</v>
          </cell>
          <cell r="C132">
            <v>0</v>
          </cell>
          <cell r="D132">
            <v>323008.46999999997</v>
          </cell>
          <cell r="E132">
            <v>2187236.67</v>
          </cell>
        </row>
        <row r="133">
          <cell r="B133">
            <v>587</v>
          </cell>
          <cell r="C133">
            <v>0</v>
          </cell>
          <cell r="D133">
            <v>142701.56</v>
          </cell>
          <cell r="E133">
            <v>1490398.05</v>
          </cell>
        </row>
        <row r="134">
          <cell r="B134">
            <v>588</v>
          </cell>
          <cell r="C134">
            <v>0</v>
          </cell>
          <cell r="D134">
            <v>1453005.06</v>
          </cell>
          <cell r="E134">
            <v>5269494.9800000004</v>
          </cell>
        </row>
        <row r="135">
          <cell r="B135">
            <v>590</v>
          </cell>
          <cell r="C135">
            <v>0</v>
          </cell>
          <cell r="D135">
            <v>292375.71000000002</v>
          </cell>
          <cell r="E135">
            <v>3044777.47</v>
          </cell>
        </row>
        <row r="136">
          <cell r="B136">
            <v>591</v>
          </cell>
          <cell r="C136">
            <v>0</v>
          </cell>
          <cell r="D136">
            <v>-111879.88</v>
          </cell>
          <cell r="E136">
            <v>3179782.33</v>
          </cell>
        </row>
        <row r="137">
          <cell r="B137">
            <v>592</v>
          </cell>
          <cell r="C137">
            <v>0</v>
          </cell>
          <cell r="D137">
            <v>126683.63</v>
          </cell>
          <cell r="E137">
            <v>1245818.81</v>
          </cell>
        </row>
        <row r="138">
          <cell r="B138">
            <v>593</v>
          </cell>
          <cell r="C138">
            <v>0</v>
          </cell>
          <cell r="D138">
            <v>1273764.97</v>
          </cell>
          <cell r="E138">
            <v>15054811.060000001</v>
          </cell>
        </row>
        <row r="139">
          <cell r="B139">
            <v>594</v>
          </cell>
          <cell r="C139">
            <v>0</v>
          </cell>
          <cell r="D139">
            <v>247008.77</v>
          </cell>
          <cell r="E139">
            <v>1796181.06</v>
          </cell>
        </row>
        <row r="140">
          <cell r="B140">
            <v>595</v>
          </cell>
          <cell r="C140">
            <v>0</v>
          </cell>
          <cell r="D140">
            <v>66792.89</v>
          </cell>
          <cell r="E140">
            <v>747565.07</v>
          </cell>
        </row>
        <row r="141">
          <cell r="B141">
            <v>596</v>
          </cell>
          <cell r="C141">
            <v>0</v>
          </cell>
          <cell r="D141">
            <v>24251.61</v>
          </cell>
          <cell r="E141">
            <v>499751.6</v>
          </cell>
        </row>
        <row r="142">
          <cell r="B142">
            <v>597</v>
          </cell>
          <cell r="C142">
            <v>0</v>
          </cell>
          <cell r="D142">
            <v>24522.57</v>
          </cell>
          <cell r="E142">
            <v>181437.08</v>
          </cell>
        </row>
        <row r="143">
          <cell r="B143">
            <v>598</v>
          </cell>
          <cell r="C143">
            <v>0</v>
          </cell>
          <cell r="D143">
            <v>-29653.9</v>
          </cell>
          <cell r="E143">
            <v>626807.27</v>
          </cell>
        </row>
        <row r="144">
          <cell r="B144">
            <v>701</v>
          </cell>
          <cell r="C144">
            <v>0</v>
          </cell>
          <cell r="D144">
            <v>0</v>
          </cell>
          <cell r="E144">
            <v>0</v>
          </cell>
        </row>
        <row r="145">
          <cell r="B145">
            <v>703</v>
          </cell>
          <cell r="C145">
            <v>0</v>
          </cell>
          <cell r="D145">
            <v>0</v>
          </cell>
          <cell r="E145">
            <v>0</v>
          </cell>
        </row>
        <row r="146">
          <cell r="B146">
            <v>712</v>
          </cell>
          <cell r="C146">
            <v>0</v>
          </cell>
          <cell r="D146">
            <v>0</v>
          </cell>
          <cell r="E146">
            <v>0</v>
          </cell>
        </row>
        <row r="147">
          <cell r="B147">
            <v>713</v>
          </cell>
          <cell r="C147">
            <v>0</v>
          </cell>
          <cell r="D147">
            <v>0</v>
          </cell>
          <cell r="E147">
            <v>0</v>
          </cell>
        </row>
        <row r="148">
          <cell r="B148">
            <v>717</v>
          </cell>
          <cell r="C148">
            <v>0</v>
          </cell>
          <cell r="D148">
            <v>0</v>
          </cell>
          <cell r="E148">
            <v>0</v>
          </cell>
        </row>
        <row r="149">
          <cell r="B149">
            <v>718</v>
          </cell>
          <cell r="C149">
            <v>0</v>
          </cell>
          <cell r="D149">
            <v>-17.21</v>
          </cell>
          <cell r="E149">
            <v>15</v>
          </cell>
        </row>
        <row r="150">
          <cell r="B150">
            <v>729</v>
          </cell>
          <cell r="C150">
            <v>0</v>
          </cell>
          <cell r="D150">
            <v>-108089.32</v>
          </cell>
          <cell r="E150">
            <v>44206</v>
          </cell>
        </row>
        <row r="151">
          <cell r="B151">
            <v>735</v>
          </cell>
          <cell r="C151">
            <v>0</v>
          </cell>
          <cell r="D151">
            <v>0</v>
          </cell>
          <cell r="E151">
            <v>0</v>
          </cell>
        </row>
        <row r="152">
          <cell r="B152">
            <v>737</v>
          </cell>
          <cell r="C152">
            <v>0</v>
          </cell>
          <cell r="D152">
            <v>-5126.58</v>
          </cell>
          <cell r="E152">
            <v>0</v>
          </cell>
        </row>
        <row r="153">
          <cell r="B153">
            <v>740</v>
          </cell>
          <cell r="C153">
            <v>0</v>
          </cell>
          <cell r="D153">
            <v>-855222.34</v>
          </cell>
          <cell r="E153">
            <v>-399859.75</v>
          </cell>
        </row>
        <row r="154">
          <cell r="B154">
            <v>801</v>
          </cell>
          <cell r="C154">
            <v>0</v>
          </cell>
          <cell r="D154">
            <v>182635.56</v>
          </cell>
          <cell r="E154">
            <v>343732.62</v>
          </cell>
        </row>
        <row r="155">
          <cell r="B155">
            <v>802</v>
          </cell>
          <cell r="C155">
            <v>0</v>
          </cell>
          <cell r="D155">
            <v>-24800.25</v>
          </cell>
          <cell r="E155">
            <v>-10014.879999999999</v>
          </cell>
        </row>
        <row r="156">
          <cell r="B156">
            <v>805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809</v>
          </cell>
          <cell r="C157">
            <v>0</v>
          </cell>
          <cell r="D157">
            <v>-893.82</v>
          </cell>
          <cell r="E157">
            <v>0</v>
          </cell>
        </row>
        <row r="158">
          <cell r="B158">
            <v>812</v>
          </cell>
          <cell r="C158">
            <v>0</v>
          </cell>
          <cell r="D158">
            <v>73.2</v>
          </cell>
          <cell r="E158">
            <v>1942.47</v>
          </cell>
        </row>
        <row r="159">
          <cell r="B159">
            <v>820</v>
          </cell>
          <cell r="C159">
            <v>0</v>
          </cell>
          <cell r="D159">
            <v>-8019621.8799999999</v>
          </cell>
          <cell r="E159">
            <v>292039948.36000001</v>
          </cell>
        </row>
        <row r="160">
          <cell r="B160">
            <v>821</v>
          </cell>
          <cell r="C160">
            <v>0</v>
          </cell>
          <cell r="D160">
            <v>-3638.89</v>
          </cell>
          <cell r="E160">
            <v>35429.97</v>
          </cell>
        </row>
        <row r="161">
          <cell r="B161">
            <v>822</v>
          </cell>
          <cell r="C161">
            <v>0</v>
          </cell>
          <cell r="D161">
            <v>420169</v>
          </cell>
          <cell r="E161">
            <v>420193.9</v>
          </cell>
        </row>
        <row r="162">
          <cell r="B162">
            <v>891</v>
          </cell>
          <cell r="C162">
            <v>0</v>
          </cell>
          <cell r="D162">
            <v>57513.86</v>
          </cell>
          <cell r="E162">
            <v>431320.16</v>
          </cell>
        </row>
        <row r="163">
          <cell r="B163">
            <v>892</v>
          </cell>
          <cell r="C163">
            <v>0</v>
          </cell>
          <cell r="D163">
            <v>-514615.33</v>
          </cell>
          <cell r="E163">
            <v>6549909.5800000001</v>
          </cell>
        </row>
        <row r="164">
          <cell r="B164">
            <v>901</v>
          </cell>
          <cell r="C164">
            <v>0</v>
          </cell>
          <cell r="D164">
            <v>22672.92</v>
          </cell>
          <cell r="E164">
            <v>447293.89</v>
          </cell>
        </row>
        <row r="165">
          <cell r="B165">
            <v>902</v>
          </cell>
          <cell r="C165">
            <v>0</v>
          </cell>
          <cell r="D165">
            <v>88231.81</v>
          </cell>
          <cell r="E165">
            <v>851939.36</v>
          </cell>
        </row>
        <row r="166">
          <cell r="B166">
            <v>903</v>
          </cell>
          <cell r="C166">
            <v>0</v>
          </cell>
          <cell r="D166">
            <v>1812797.78</v>
          </cell>
          <cell r="E166">
            <v>16747400.49</v>
          </cell>
        </row>
        <row r="167">
          <cell r="B167">
            <v>904</v>
          </cell>
          <cell r="C167">
            <v>0</v>
          </cell>
          <cell r="D167">
            <v>352940.9</v>
          </cell>
          <cell r="E167">
            <v>4049175.35</v>
          </cell>
        </row>
        <row r="168">
          <cell r="B168">
            <v>905</v>
          </cell>
          <cell r="C168">
            <v>0</v>
          </cell>
          <cell r="D168">
            <v>77282.98</v>
          </cell>
          <cell r="E168">
            <v>1085814.75</v>
          </cell>
        </row>
        <row r="169">
          <cell r="B169">
            <v>907</v>
          </cell>
          <cell r="C169">
            <v>0</v>
          </cell>
          <cell r="D169">
            <v>683240.24</v>
          </cell>
          <cell r="E169">
            <v>1774644.9</v>
          </cell>
        </row>
        <row r="170">
          <cell r="B170">
            <v>908</v>
          </cell>
          <cell r="C170">
            <v>0</v>
          </cell>
          <cell r="D170">
            <v>2057927.55</v>
          </cell>
          <cell r="E170">
            <v>16391784.9</v>
          </cell>
        </row>
        <row r="171">
          <cell r="B171">
            <v>909</v>
          </cell>
          <cell r="C171">
            <v>0</v>
          </cell>
          <cell r="D171">
            <v>329728.14</v>
          </cell>
          <cell r="E171">
            <v>1289286.68</v>
          </cell>
        </row>
        <row r="172">
          <cell r="B172">
            <v>910</v>
          </cell>
          <cell r="C172">
            <v>0</v>
          </cell>
          <cell r="D172">
            <v>6751.34</v>
          </cell>
          <cell r="E172">
            <v>81016.09</v>
          </cell>
        </row>
        <row r="173">
          <cell r="B173">
            <v>912</v>
          </cell>
          <cell r="C173">
            <v>0</v>
          </cell>
          <cell r="D173">
            <v>724627.29</v>
          </cell>
          <cell r="E173">
            <v>2321722.2000000002</v>
          </cell>
        </row>
        <row r="174">
          <cell r="B174">
            <v>920</v>
          </cell>
          <cell r="C174">
            <v>0</v>
          </cell>
          <cell r="D174">
            <v>1370772.51</v>
          </cell>
          <cell r="E174">
            <v>19938490.510000002</v>
          </cell>
        </row>
        <row r="175">
          <cell r="B175">
            <v>921</v>
          </cell>
          <cell r="C175">
            <v>0</v>
          </cell>
          <cell r="D175">
            <v>493350.63</v>
          </cell>
          <cell r="E175">
            <v>3999741.64</v>
          </cell>
        </row>
        <row r="176">
          <cell r="B176">
            <v>922</v>
          </cell>
          <cell r="C176">
            <v>0</v>
          </cell>
          <cell r="D176">
            <v>-27594.49</v>
          </cell>
          <cell r="E176">
            <v>-349170.42</v>
          </cell>
        </row>
        <row r="177">
          <cell r="B177">
            <v>923</v>
          </cell>
          <cell r="C177">
            <v>0</v>
          </cell>
          <cell r="D177">
            <v>1885566.56</v>
          </cell>
          <cell r="E177">
            <v>19866731.390000001</v>
          </cell>
        </row>
        <row r="178">
          <cell r="B178">
            <v>924</v>
          </cell>
          <cell r="C178">
            <v>0</v>
          </cell>
          <cell r="D178">
            <v>6323955.1900000004</v>
          </cell>
          <cell r="E178">
            <v>30417128.829999998</v>
          </cell>
        </row>
        <row r="179">
          <cell r="B179">
            <v>925</v>
          </cell>
          <cell r="C179">
            <v>0</v>
          </cell>
          <cell r="D179">
            <v>184910.34</v>
          </cell>
          <cell r="E179">
            <v>2783428.05</v>
          </cell>
        </row>
        <row r="180">
          <cell r="B180">
            <v>926</v>
          </cell>
          <cell r="C180">
            <v>0</v>
          </cell>
          <cell r="D180">
            <v>707861.14</v>
          </cell>
          <cell r="E180">
            <v>16043458.640000001</v>
          </cell>
        </row>
        <row r="181">
          <cell r="B181">
            <v>928</v>
          </cell>
          <cell r="C181">
            <v>0</v>
          </cell>
          <cell r="D181">
            <v>89749.45</v>
          </cell>
          <cell r="E181">
            <v>947909.68</v>
          </cell>
        </row>
        <row r="182">
          <cell r="B182">
            <v>929</v>
          </cell>
          <cell r="C182">
            <v>0</v>
          </cell>
          <cell r="D182">
            <v>-41798.959999999999</v>
          </cell>
          <cell r="E182">
            <v>-1269793.8400000001</v>
          </cell>
        </row>
        <row r="183">
          <cell r="B183">
            <v>930</v>
          </cell>
          <cell r="C183">
            <v>0</v>
          </cell>
          <cell r="D183">
            <v>1244493.8799999999</v>
          </cell>
          <cell r="E183">
            <v>9213506.8699999992</v>
          </cell>
        </row>
        <row r="184">
          <cell r="B184">
            <v>931</v>
          </cell>
          <cell r="C184">
            <v>0</v>
          </cell>
          <cell r="D184">
            <v>18700.27</v>
          </cell>
          <cell r="E184">
            <v>217715.61</v>
          </cell>
        </row>
        <row r="185">
          <cell r="B185">
            <v>935</v>
          </cell>
          <cell r="C185">
            <v>0</v>
          </cell>
          <cell r="D185">
            <v>215479.64</v>
          </cell>
          <cell r="E185">
            <v>1723762.25</v>
          </cell>
        </row>
        <row r="186">
          <cell r="B186">
            <v>935</v>
          </cell>
          <cell r="C186">
            <v>0</v>
          </cell>
          <cell r="D186">
            <v>56836499.75</v>
          </cell>
          <cell r="E186">
            <v>4138594099.7600002</v>
          </cell>
        </row>
        <row r="187">
          <cell r="B187">
            <v>935</v>
          </cell>
          <cell r="C187">
            <v>0</v>
          </cell>
          <cell r="D187">
            <v>0</v>
          </cell>
          <cell r="E187">
            <v>0</v>
          </cell>
        </row>
        <row r="188">
          <cell r="B188">
            <v>0</v>
          </cell>
          <cell r="C188">
            <v>1</v>
          </cell>
          <cell r="D188">
            <v>0</v>
          </cell>
          <cell r="E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B190"/>
          <cell r="C190"/>
          <cell r="D190"/>
          <cell r="E190"/>
        </row>
        <row r="191">
          <cell r="B191"/>
          <cell r="C191"/>
          <cell r="D191"/>
          <cell r="E191"/>
        </row>
        <row r="192">
          <cell r="B192"/>
          <cell r="C192"/>
          <cell r="D192"/>
          <cell r="E192"/>
        </row>
        <row r="193">
          <cell r="B193"/>
          <cell r="C193"/>
          <cell r="D193"/>
          <cell r="E193"/>
        </row>
        <row r="194">
          <cell r="B194"/>
          <cell r="C194"/>
          <cell r="D194"/>
          <cell r="E194"/>
        </row>
        <row r="195">
          <cell r="B195"/>
          <cell r="C195"/>
          <cell r="D195"/>
          <cell r="E195"/>
        </row>
        <row r="196">
          <cell r="B196"/>
          <cell r="C196"/>
          <cell r="D196"/>
          <cell r="E196"/>
        </row>
        <row r="197">
          <cell r="B197"/>
          <cell r="C197"/>
          <cell r="D197"/>
          <cell r="E197"/>
        </row>
        <row r="198">
          <cell r="B198"/>
          <cell r="C198"/>
          <cell r="D198"/>
          <cell r="E198"/>
        </row>
        <row r="199">
          <cell r="B199"/>
          <cell r="C199"/>
          <cell r="D199"/>
          <cell r="E199"/>
        </row>
        <row r="200">
          <cell r="B200"/>
          <cell r="C200"/>
          <cell r="D200"/>
          <cell r="E200"/>
        </row>
        <row r="201">
          <cell r="B201"/>
          <cell r="C201"/>
          <cell r="D201"/>
          <cell r="E201"/>
        </row>
        <row r="202">
          <cell r="B202"/>
          <cell r="C202"/>
          <cell r="D202"/>
          <cell r="E202"/>
        </row>
        <row r="203">
          <cell r="B203"/>
          <cell r="C203"/>
          <cell r="D203"/>
          <cell r="E203"/>
        </row>
        <row r="204">
          <cell r="B204"/>
          <cell r="C204"/>
          <cell r="D204"/>
          <cell r="E204"/>
        </row>
        <row r="205">
          <cell r="B205"/>
          <cell r="C205"/>
          <cell r="D205"/>
          <cell r="E205"/>
        </row>
        <row r="206">
          <cell r="B206"/>
          <cell r="C206"/>
          <cell r="D206"/>
          <cell r="E206"/>
        </row>
        <row r="207">
          <cell r="B207"/>
          <cell r="C207"/>
          <cell r="D207"/>
          <cell r="E207"/>
        </row>
        <row r="208">
          <cell r="B208"/>
          <cell r="C208"/>
          <cell r="D208"/>
          <cell r="E208"/>
        </row>
        <row r="209">
          <cell r="B209"/>
          <cell r="C209"/>
          <cell r="D209"/>
          <cell r="E209"/>
        </row>
        <row r="210">
          <cell r="B210"/>
          <cell r="C210"/>
          <cell r="D210"/>
          <cell r="E210"/>
        </row>
        <row r="211">
          <cell r="B211"/>
          <cell r="C211"/>
          <cell r="D211"/>
          <cell r="E211"/>
        </row>
        <row r="212">
          <cell r="B212"/>
          <cell r="C212"/>
          <cell r="D212"/>
          <cell r="E212"/>
        </row>
        <row r="213">
          <cell r="B213"/>
          <cell r="C213"/>
          <cell r="D213"/>
          <cell r="E213"/>
        </row>
        <row r="214">
          <cell r="B214"/>
          <cell r="C214"/>
          <cell r="D214"/>
          <cell r="E214"/>
        </row>
        <row r="215">
          <cell r="B215"/>
          <cell r="C215"/>
          <cell r="D215"/>
          <cell r="E215"/>
        </row>
        <row r="216">
          <cell r="B216"/>
          <cell r="C216"/>
          <cell r="D216"/>
          <cell r="E216"/>
        </row>
        <row r="217">
          <cell r="B217"/>
          <cell r="C217"/>
          <cell r="D217"/>
          <cell r="E217"/>
        </row>
        <row r="218">
          <cell r="B218"/>
          <cell r="C218"/>
          <cell r="D218"/>
          <cell r="E218"/>
        </row>
        <row r="219">
          <cell r="B219"/>
          <cell r="C219"/>
          <cell r="D219"/>
          <cell r="E219"/>
        </row>
        <row r="220">
          <cell r="B220"/>
          <cell r="C220"/>
          <cell r="D220"/>
          <cell r="E220"/>
        </row>
        <row r="221">
          <cell r="B221"/>
          <cell r="C221"/>
          <cell r="D221"/>
          <cell r="E221"/>
        </row>
        <row r="222">
          <cell r="B222"/>
          <cell r="C222"/>
          <cell r="D222"/>
          <cell r="E222"/>
        </row>
        <row r="223">
          <cell r="B223"/>
          <cell r="C223"/>
          <cell r="D223"/>
          <cell r="E223"/>
        </row>
        <row r="224">
          <cell r="B224"/>
          <cell r="C224"/>
          <cell r="D224"/>
          <cell r="E224"/>
        </row>
        <row r="225">
          <cell r="B225"/>
          <cell r="C225"/>
          <cell r="D225"/>
          <cell r="E225"/>
        </row>
        <row r="226">
          <cell r="B226"/>
          <cell r="C226"/>
          <cell r="D226"/>
          <cell r="E226"/>
        </row>
        <row r="227">
          <cell r="B227"/>
          <cell r="C227"/>
          <cell r="D227"/>
          <cell r="E227"/>
        </row>
        <row r="228">
          <cell r="B228"/>
          <cell r="C228"/>
          <cell r="D228"/>
          <cell r="E228"/>
        </row>
        <row r="229">
          <cell r="B229"/>
          <cell r="C229"/>
          <cell r="D229"/>
          <cell r="E229"/>
        </row>
        <row r="230">
          <cell r="B230"/>
          <cell r="C230"/>
          <cell r="D230"/>
          <cell r="E230"/>
        </row>
        <row r="231">
          <cell r="B231"/>
          <cell r="C231"/>
          <cell r="D231"/>
          <cell r="E231"/>
        </row>
        <row r="232">
          <cell r="B232"/>
          <cell r="C232"/>
          <cell r="D232"/>
          <cell r="E232"/>
        </row>
        <row r="233">
          <cell r="B233"/>
          <cell r="C233"/>
          <cell r="D233"/>
          <cell r="E233"/>
        </row>
        <row r="234">
          <cell r="B234"/>
          <cell r="C234"/>
          <cell r="D234"/>
          <cell r="E234"/>
        </row>
        <row r="235">
          <cell r="B235"/>
          <cell r="C235"/>
          <cell r="D235"/>
          <cell r="E235"/>
        </row>
        <row r="236">
          <cell r="B236"/>
          <cell r="C236"/>
          <cell r="D236"/>
          <cell r="E236"/>
        </row>
        <row r="237">
          <cell r="B237"/>
          <cell r="C237"/>
          <cell r="D237"/>
          <cell r="E237"/>
        </row>
        <row r="238">
          <cell r="B238"/>
          <cell r="C238"/>
          <cell r="D238"/>
          <cell r="E238"/>
        </row>
        <row r="239">
          <cell r="B239"/>
          <cell r="C239"/>
          <cell r="D239"/>
          <cell r="E239"/>
        </row>
        <row r="240">
          <cell r="B240"/>
          <cell r="C240"/>
          <cell r="D240"/>
          <cell r="E240"/>
        </row>
        <row r="241">
          <cell r="B241"/>
          <cell r="C241"/>
          <cell r="D241"/>
          <cell r="E241"/>
        </row>
        <row r="242">
          <cell r="B242"/>
          <cell r="C242"/>
          <cell r="D242"/>
          <cell r="E242"/>
        </row>
        <row r="243">
          <cell r="B243"/>
          <cell r="C243"/>
          <cell r="D243"/>
          <cell r="E243"/>
        </row>
        <row r="244">
          <cell r="B244"/>
          <cell r="C244"/>
          <cell r="D244"/>
          <cell r="E244"/>
        </row>
        <row r="245">
          <cell r="B245"/>
          <cell r="C245"/>
          <cell r="D245"/>
          <cell r="E245"/>
        </row>
        <row r="246">
          <cell r="B246"/>
          <cell r="C246"/>
          <cell r="D246"/>
          <cell r="E246"/>
        </row>
        <row r="247">
          <cell r="B247"/>
          <cell r="C247"/>
          <cell r="D247"/>
          <cell r="E247"/>
        </row>
        <row r="248">
          <cell r="B248"/>
          <cell r="C248"/>
          <cell r="D248"/>
          <cell r="E248"/>
        </row>
        <row r="249">
          <cell r="B249"/>
          <cell r="C249"/>
          <cell r="D249"/>
          <cell r="E249"/>
        </row>
        <row r="250">
          <cell r="B250"/>
          <cell r="C250"/>
          <cell r="D250"/>
          <cell r="E250"/>
        </row>
        <row r="251">
          <cell r="B251"/>
          <cell r="C251"/>
          <cell r="D251"/>
          <cell r="E251"/>
        </row>
        <row r="252">
          <cell r="B252"/>
          <cell r="C252"/>
          <cell r="D252"/>
          <cell r="E252"/>
        </row>
        <row r="253">
          <cell r="B253"/>
          <cell r="C253"/>
          <cell r="D253"/>
          <cell r="E253"/>
        </row>
        <row r="254">
          <cell r="B254"/>
          <cell r="C254"/>
          <cell r="D254"/>
          <cell r="E254"/>
        </row>
        <row r="255">
          <cell r="B255"/>
          <cell r="C255"/>
          <cell r="D255"/>
          <cell r="E255"/>
        </row>
        <row r="256">
          <cell r="B256"/>
          <cell r="C256"/>
          <cell r="D256"/>
          <cell r="E256"/>
        </row>
        <row r="257">
          <cell r="B257"/>
          <cell r="C257"/>
          <cell r="D257"/>
          <cell r="E257"/>
        </row>
        <row r="258">
          <cell r="B258"/>
          <cell r="C258"/>
          <cell r="D258"/>
          <cell r="E258"/>
        </row>
        <row r="259">
          <cell r="B259"/>
          <cell r="C259"/>
          <cell r="D259"/>
          <cell r="E259"/>
        </row>
        <row r="260">
          <cell r="B260"/>
          <cell r="C260"/>
          <cell r="D260"/>
          <cell r="E260"/>
        </row>
        <row r="261">
          <cell r="B261"/>
          <cell r="C261"/>
          <cell r="D261"/>
          <cell r="E261"/>
        </row>
        <row r="262">
          <cell r="B262"/>
          <cell r="C262"/>
          <cell r="D262"/>
          <cell r="E262"/>
        </row>
        <row r="263">
          <cell r="B263"/>
          <cell r="C263"/>
          <cell r="D263"/>
          <cell r="E263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loridapsc.com/library/filings/09/11415-09/11415-09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FD3B-66BB-43CB-9AF9-1DDC95755FEF}">
  <dimension ref="A1:K36"/>
  <sheetViews>
    <sheetView showGridLines="0" tabSelected="1" view="pageBreakPreview" zoomScale="140" zoomScaleNormal="120" zoomScaleSheetLayoutView="140" workbookViewId="0">
      <selection activeCell="Q28" sqref="Q28"/>
    </sheetView>
  </sheetViews>
  <sheetFormatPr defaultColWidth="11.58203125" defaultRowHeight="12.5" x14ac:dyDescent="0.25"/>
  <cols>
    <col min="1" max="1" width="3.08203125" style="1" customWidth="1"/>
    <col min="2" max="2" width="6.58203125" style="1" customWidth="1"/>
    <col min="3" max="3" width="4.58203125" style="1" customWidth="1"/>
    <col min="4" max="4" width="28.33203125" style="1" customWidth="1"/>
    <col min="5" max="5" width="21.5" style="1" customWidth="1"/>
    <col min="6" max="6" width="13.08203125" style="1" customWidth="1"/>
    <col min="7" max="7" width="11.58203125" style="1"/>
    <col min="8" max="9" width="12.75" style="1" customWidth="1"/>
    <col min="10" max="16384" width="11.58203125" style="1"/>
  </cols>
  <sheetData>
    <row r="1" spans="1:11" ht="16.5" customHeight="1" thickBot="1" x14ac:dyDescent="0.35"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1" ht="16" thickBot="1" x14ac:dyDescent="0.4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2.75" customHeight="1" thickBot="1" x14ac:dyDescent="0.4">
      <c r="A4" s="6"/>
      <c r="B4" s="6"/>
      <c r="C4" s="7"/>
      <c r="D4" s="7"/>
      <c r="E4" s="8" t="s">
        <v>1</v>
      </c>
      <c r="F4" s="9" t="s">
        <v>2</v>
      </c>
      <c r="G4"/>
      <c r="H4"/>
      <c r="I4"/>
      <c r="K4" s="10"/>
    </row>
    <row r="5" spans="1:11" x14ac:dyDescent="0.25">
      <c r="B5" s="11" t="s">
        <v>3</v>
      </c>
      <c r="F5" s="12">
        <f>'42-2E'!P24</f>
        <v>7612404.8300000038</v>
      </c>
      <c r="K5" s="10"/>
    </row>
    <row r="6" spans="1:11" x14ac:dyDescent="0.25">
      <c r="B6" s="13"/>
      <c r="D6" s="11"/>
      <c r="F6" s="13"/>
      <c r="K6" s="10"/>
    </row>
    <row r="7" spans="1:11" x14ac:dyDescent="0.25">
      <c r="B7" s="13"/>
      <c r="F7" s="14"/>
      <c r="K7" s="10"/>
    </row>
    <row r="8" spans="1:11" x14ac:dyDescent="0.25">
      <c r="B8" s="15" t="s">
        <v>4</v>
      </c>
      <c r="F8" s="12">
        <f>'42-3E'!P27</f>
        <v>47450.94000000001</v>
      </c>
      <c r="K8" s="10"/>
    </row>
    <row r="9" spans="1:11" x14ac:dyDescent="0.25">
      <c r="B9" s="13"/>
      <c r="D9" s="16"/>
      <c r="F9" s="13"/>
      <c r="K9" s="10"/>
    </row>
    <row r="10" spans="1:11" ht="16.5" customHeight="1" x14ac:dyDescent="0.25">
      <c r="B10" s="15" t="s">
        <v>5</v>
      </c>
      <c r="F10" s="12">
        <f>+'42-2E'!P37</f>
        <v>1888.52</v>
      </c>
      <c r="K10" s="10"/>
    </row>
    <row r="11" spans="1:11" ht="16.5" customHeight="1" x14ac:dyDescent="0.3">
      <c r="B11" s="17" t="s">
        <v>6</v>
      </c>
      <c r="F11" s="13"/>
      <c r="K11" s="10"/>
    </row>
    <row r="12" spans="1:11" ht="16.5" customHeight="1" thickBot="1" x14ac:dyDescent="0.3">
      <c r="B12" s="15" t="s">
        <v>7</v>
      </c>
      <c r="F12" s="18">
        <f>F5+F8+F10</f>
        <v>7661744.2900000038</v>
      </c>
      <c r="K12" s="10"/>
    </row>
    <row r="13" spans="1:11" ht="13" thickTop="1" x14ac:dyDescent="0.25">
      <c r="B13" s="19"/>
      <c r="C13" s="20"/>
      <c r="G13" s="21"/>
    </row>
    <row r="14" spans="1:11" x14ac:dyDescent="0.25">
      <c r="B14" s="13"/>
      <c r="D14" s="16"/>
    </row>
    <row r="15" spans="1:11" x14ac:dyDescent="0.25">
      <c r="B15" s="13"/>
      <c r="D15" s="11"/>
      <c r="I15" s="22"/>
    </row>
    <row r="16" spans="1:11" x14ac:dyDescent="0.25">
      <c r="B16" s="13"/>
    </row>
    <row r="18" spans="2:8" x14ac:dyDescent="0.25">
      <c r="B18" s="23"/>
    </row>
    <row r="20" spans="2:8" x14ac:dyDescent="0.25">
      <c r="H20" s="24"/>
    </row>
    <row r="21" spans="2:8" x14ac:dyDescent="0.25">
      <c r="E21" s="5"/>
      <c r="F21" s="5"/>
      <c r="G21" s="5"/>
      <c r="H21" s="24"/>
    </row>
    <row r="23" spans="2:8" x14ac:dyDescent="0.25">
      <c r="B23" s="11"/>
    </row>
    <row r="24" spans="2:8" x14ac:dyDescent="0.25">
      <c r="B24" s="11"/>
      <c r="E24" s="25"/>
      <c r="F24" s="25"/>
      <c r="G24" s="25"/>
      <c r="H24" s="24"/>
    </row>
    <row r="27" spans="2:8" x14ac:dyDescent="0.25">
      <c r="E27" s="24"/>
      <c r="F27" s="24"/>
      <c r="G27" s="26"/>
    </row>
    <row r="36" spans="4:4" x14ac:dyDescent="0.25">
      <c r="D36" s="1" t="s">
        <v>8</v>
      </c>
    </row>
  </sheetData>
  <mergeCells count="1">
    <mergeCell ref="A2:I2"/>
  </mergeCells>
  <pageMargins left="0.5" right="0.5" top="1" bottom="0.75" header="0.55000000000000004" footer="0.3"/>
  <pageSetup orientation="landscape" r:id="rId1"/>
  <headerFooter alignWithMargins="0">
    <oddHeader>&amp;C&amp;"Arial,Regular"&amp;8GULF POWER COMPANY
 ENVIRONMENTAL COST RECOVERY CLAUSE
 CALCULATION OF THE ACTUAL / ESTIMATED TRUE-UP AMOUNT FOR THE PERIOD&amp;R&amp;"Arial,Regular"&amp;8REVISED FORM 42-1E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41FB-9894-46C1-B5DE-742C386D3BDC}">
  <sheetPr transitionEvaluation="1" transitionEntry="1"/>
  <dimension ref="A1:AF60"/>
  <sheetViews>
    <sheetView showGridLines="0" defaultGridColor="0" view="pageBreakPreview" colorId="8" zoomScaleNormal="75" zoomScaleSheetLayoutView="100" zoomScalePageLayoutView="4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3.58203125" style="1" customWidth="1"/>
    <col min="4" max="4" width="14.5" style="1" customWidth="1"/>
    <col min="5" max="5" width="11.58203125" style="1" customWidth="1"/>
    <col min="6" max="6" width="11.08203125" style="1" customWidth="1"/>
    <col min="7" max="7" width="10.75" style="1" customWidth="1"/>
    <col min="8" max="8" width="9.83203125" style="1" customWidth="1"/>
    <col min="9" max="9" width="10.75" style="1" customWidth="1"/>
    <col min="10" max="10" width="10.58203125" style="1" customWidth="1"/>
    <col min="11" max="12" width="10.08203125" style="1" customWidth="1"/>
    <col min="13" max="13" width="10.83203125" style="1" customWidth="1"/>
    <col min="14" max="14" width="9.83203125" style="1" customWidth="1"/>
    <col min="15" max="15" width="10.5" style="1" customWidth="1"/>
    <col min="16" max="16" width="10.08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1.33203125" style="1" bestFit="1" customWidth="1"/>
    <col min="21" max="32" width="10.3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3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1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317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0</v>
      </c>
      <c r="E20" s="1">
        <f t="shared" ref="E20:P20" si="0">D20+E16-E17</f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1499322.21</v>
      </c>
      <c r="E21" s="1">
        <f t="shared" ref="E21:P21" si="1">D21-E32-E33-E34+E17+E18-E19</f>
        <v>1499322.21</v>
      </c>
      <c r="F21" s="1">
        <f t="shared" si="1"/>
        <v>1499322.21</v>
      </c>
      <c r="G21" s="1">
        <f t="shared" si="1"/>
        <v>1499322.21</v>
      </c>
      <c r="H21" s="1">
        <f t="shared" si="1"/>
        <v>1499322.21</v>
      </c>
      <c r="I21" s="1">
        <f t="shared" si="1"/>
        <v>1499322.21</v>
      </c>
      <c r="J21" s="1">
        <f t="shared" si="1"/>
        <v>1499322.21</v>
      </c>
      <c r="K21" s="1">
        <f t="shared" si="1"/>
        <v>1499322.21</v>
      </c>
      <c r="L21" s="1">
        <f t="shared" si="1"/>
        <v>1499322.21</v>
      </c>
      <c r="M21" s="1">
        <f t="shared" si="1"/>
        <v>1499322.21</v>
      </c>
      <c r="N21" s="1">
        <f t="shared" si="1"/>
        <v>1499322.21</v>
      </c>
      <c r="O21" s="1">
        <f t="shared" si="1"/>
        <v>1499322.21</v>
      </c>
      <c r="P21" s="1">
        <f t="shared" si="1"/>
        <v>1499322.21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1499322.21</v>
      </c>
      <c r="E23" s="199">
        <f t="shared" si="3"/>
        <v>1499322.21</v>
      </c>
      <c r="F23" s="199">
        <f t="shared" si="3"/>
        <v>1499322.21</v>
      </c>
      <c r="G23" s="199">
        <f t="shared" si="3"/>
        <v>1499322.21</v>
      </c>
      <c r="H23" s="199">
        <f t="shared" si="3"/>
        <v>1499322.21</v>
      </c>
      <c r="I23" s="199">
        <f t="shared" si="3"/>
        <v>1499322.21</v>
      </c>
      <c r="J23" s="199">
        <f t="shared" si="3"/>
        <v>1499322.21</v>
      </c>
      <c r="K23" s="199">
        <f t="shared" si="3"/>
        <v>1499322.21</v>
      </c>
      <c r="L23" s="199">
        <f t="shared" si="3"/>
        <v>1499322.21</v>
      </c>
      <c r="M23" s="199">
        <f t="shared" si="3"/>
        <v>1499322.21</v>
      </c>
      <c r="N23" s="199">
        <f t="shared" si="3"/>
        <v>1499322.21</v>
      </c>
      <c r="O23" s="199">
        <f t="shared" si="3"/>
        <v>1499322.21</v>
      </c>
      <c r="P23" s="199">
        <f t="shared" si="3"/>
        <v>1499322.21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1499322.21</v>
      </c>
      <c r="F25" s="1">
        <f t="shared" ref="F25:P25" si="4">(E23+F23)/2</f>
        <v>1499322.21</v>
      </c>
      <c r="G25" s="1">
        <f t="shared" si="4"/>
        <v>1499322.21</v>
      </c>
      <c r="H25" s="1">
        <f t="shared" si="4"/>
        <v>1499322.21</v>
      </c>
      <c r="I25" s="1">
        <f t="shared" si="4"/>
        <v>1499322.21</v>
      </c>
      <c r="J25" s="1">
        <f t="shared" si="4"/>
        <v>1499322.21</v>
      </c>
      <c r="K25" s="1">
        <f t="shared" si="4"/>
        <v>1499322.21</v>
      </c>
      <c r="L25" s="1">
        <f t="shared" si="4"/>
        <v>1499322.21</v>
      </c>
      <c r="M25" s="1">
        <f t="shared" si="4"/>
        <v>1499322.21</v>
      </c>
      <c r="N25" s="1">
        <f t="shared" si="4"/>
        <v>1499322.21</v>
      </c>
      <c r="O25" s="1">
        <f t="shared" si="4"/>
        <v>1499322.21</v>
      </c>
      <c r="P25" s="1">
        <f t="shared" si="4"/>
        <v>1499322.21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6902.8794548399992</v>
      </c>
      <c r="F28" s="1">
        <v>6902.8794548399992</v>
      </c>
      <c r="G28" s="1">
        <v>6902.8794548399992</v>
      </c>
      <c r="H28" s="1">
        <v>6902.8794548399992</v>
      </c>
      <c r="I28" s="1">
        <v>6902.8794548399992</v>
      </c>
      <c r="J28" s="1">
        <v>6902.8794548399992</v>
      </c>
      <c r="K28" s="1">
        <v>7180.2540636899994</v>
      </c>
      <c r="L28" s="1">
        <v>7180.2540636899994</v>
      </c>
      <c r="M28" s="1">
        <v>7180.2540636899994</v>
      </c>
      <c r="N28" s="1">
        <v>7180.2540636899994</v>
      </c>
      <c r="O28" s="1">
        <v>7180.2540636899994</v>
      </c>
      <c r="P28" s="1">
        <v>7180.2540636899994</v>
      </c>
      <c r="Q28" s="1">
        <f>ROUND(SUM(E28:P28),2)</f>
        <v>84498.8</v>
      </c>
    </row>
    <row r="29" spans="1:32" x14ac:dyDescent="0.25">
      <c r="A29" s="200"/>
      <c r="B29" s="23" t="s">
        <v>264</v>
      </c>
      <c r="C29" s="23" t="s">
        <v>279</v>
      </c>
      <c r="E29" s="1">
        <v>1742.2124080200001</v>
      </c>
      <c r="F29" s="1">
        <v>1742.2124080200001</v>
      </c>
      <c r="G29" s="1">
        <v>1742.2124080200001</v>
      </c>
      <c r="H29" s="1">
        <v>1742.2124080200001</v>
      </c>
      <c r="I29" s="1">
        <v>1742.2124080200001</v>
      </c>
      <c r="J29" s="1">
        <v>1742.2124080200001</v>
      </c>
      <c r="K29" s="1">
        <v>1572.7889982899999</v>
      </c>
      <c r="L29" s="1">
        <v>1572.7889982899999</v>
      </c>
      <c r="M29" s="1">
        <v>1572.7889982899999</v>
      </c>
      <c r="N29" s="1">
        <v>1572.7889982899999</v>
      </c>
      <c r="O29" s="1">
        <v>1572.7889982899999</v>
      </c>
      <c r="P29" s="1">
        <v>1572.7889982899999</v>
      </c>
      <c r="Q29" s="1">
        <f>ROUND(SUM(E29:P29),2)</f>
        <v>19890.009999999998</v>
      </c>
    </row>
    <row r="30" spans="1:32" x14ac:dyDescent="0.25">
      <c r="A30" s="200"/>
      <c r="B30" s="202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>ROUND(SUM(E32:P32),2)</f>
        <v>0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ROUND(SUM(E33:P33),2)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ROUND(SUM(E34:P34),2)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ROUND(SUM(E35:P35),2)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2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8645.0918628599993</v>
      </c>
      <c r="F38" s="1">
        <f t="shared" ref="F38:P38" si="5">SUM(F28:F36)</f>
        <v>8645.0918628599993</v>
      </c>
      <c r="G38" s="1">
        <f>SUM(G28:G36)</f>
        <v>8645.0918628599993</v>
      </c>
      <c r="H38" s="1">
        <f t="shared" si="5"/>
        <v>8645.0918628599993</v>
      </c>
      <c r="I38" s="1">
        <f t="shared" si="5"/>
        <v>8645.0918628599993</v>
      </c>
      <c r="J38" s="1">
        <f t="shared" si="5"/>
        <v>8645.0918628599993</v>
      </c>
      <c r="K38" s="1">
        <f t="shared" si="5"/>
        <v>8753.043061979999</v>
      </c>
      <c r="L38" s="1">
        <f t="shared" si="5"/>
        <v>8753.043061979999</v>
      </c>
      <c r="M38" s="1">
        <f>SUM(M28:M36)</f>
        <v>8753.043061979999</v>
      </c>
      <c r="N38" s="1">
        <f t="shared" si="5"/>
        <v>8753.043061979999</v>
      </c>
      <c r="O38" s="1">
        <f t="shared" si="5"/>
        <v>8753.043061979999</v>
      </c>
      <c r="P38" s="1">
        <f t="shared" si="5"/>
        <v>8753.043061979999</v>
      </c>
      <c r="Q38" s="1">
        <f>SUM(E38:P38)</f>
        <v>104388.80954904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665.0070663738461</v>
      </c>
      <c r="F39" s="1">
        <f t="shared" ref="F39:P39" si="6">F38*1/13</f>
        <v>665.0070663738461</v>
      </c>
      <c r="G39" s="1">
        <f t="shared" si="6"/>
        <v>665.0070663738461</v>
      </c>
      <c r="H39" s="1">
        <f t="shared" si="6"/>
        <v>665.0070663738461</v>
      </c>
      <c r="I39" s="1">
        <f t="shared" si="6"/>
        <v>665.0070663738461</v>
      </c>
      <c r="J39" s="1">
        <f t="shared" si="6"/>
        <v>665.0070663738461</v>
      </c>
      <c r="K39" s="1">
        <f t="shared" si="6"/>
        <v>673.31100476769222</v>
      </c>
      <c r="L39" s="1">
        <f t="shared" si="6"/>
        <v>673.31100476769222</v>
      </c>
      <c r="M39" s="1">
        <f t="shared" si="6"/>
        <v>673.31100476769222</v>
      </c>
      <c r="N39" s="1">
        <f t="shared" si="6"/>
        <v>673.31100476769222</v>
      </c>
      <c r="O39" s="1">
        <f t="shared" si="6"/>
        <v>673.31100476769222</v>
      </c>
      <c r="P39" s="1">
        <f t="shared" si="6"/>
        <v>673.31100476769222</v>
      </c>
      <c r="Q39" s="1">
        <f>SUM(E39:P39)</f>
        <v>8029.9084268492279</v>
      </c>
    </row>
    <row r="40" spans="1:17" x14ac:dyDescent="0.25">
      <c r="A40" s="200"/>
      <c r="B40" s="23" t="s">
        <v>264</v>
      </c>
      <c r="C40" s="23" t="s">
        <v>161</v>
      </c>
      <c r="E40" s="1">
        <f>E38-E39</f>
        <v>7980.0847964861532</v>
      </c>
      <c r="F40" s="1">
        <f t="shared" ref="F40:P40" si="7">F38-F39</f>
        <v>7980.0847964861532</v>
      </c>
      <c r="G40" s="1">
        <f t="shared" si="7"/>
        <v>7980.0847964861532</v>
      </c>
      <c r="H40" s="1">
        <f t="shared" si="7"/>
        <v>7980.0847964861532</v>
      </c>
      <c r="I40" s="1">
        <f t="shared" si="7"/>
        <v>7980.0847964861532</v>
      </c>
      <c r="J40" s="1">
        <f t="shared" si="7"/>
        <v>7980.0847964861532</v>
      </c>
      <c r="K40" s="1">
        <f t="shared" si="7"/>
        <v>8079.7320572123072</v>
      </c>
      <c r="L40" s="1">
        <f t="shared" si="7"/>
        <v>8079.7320572123072</v>
      </c>
      <c r="M40" s="1">
        <f t="shared" si="7"/>
        <v>8079.7320572123072</v>
      </c>
      <c r="N40" s="1">
        <f t="shared" si="7"/>
        <v>8079.7320572123072</v>
      </c>
      <c r="O40" s="1">
        <f t="shared" si="7"/>
        <v>8079.7320572123072</v>
      </c>
      <c r="P40" s="1">
        <f t="shared" si="7"/>
        <v>8079.7320572123072</v>
      </c>
      <c r="Q40" s="1">
        <f>SUM(E40:P40)</f>
        <v>96358.901122190786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665.80507485349483</v>
      </c>
      <c r="F45" s="1">
        <v>665.80507485349483</v>
      </c>
      <c r="G45" s="1">
        <v>665.80507485349483</v>
      </c>
      <c r="H45" s="1">
        <v>665.80507485349483</v>
      </c>
      <c r="I45" s="1">
        <v>665.80507485349483</v>
      </c>
      <c r="J45" s="1">
        <v>665.80507485349483</v>
      </c>
      <c r="K45" s="1">
        <v>674.11897797341351</v>
      </c>
      <c r="L45" s="1">
        <v>674.11897797341351</v>
      </c>
      <c r="M45" s="1">
        <v>674.11897797341351</v>
      </c>
      <c r="N45" s="1">
        <v>674.11897797341351</v>
      </c>
      <c r="O45" s="1">
        <v>674.11897797341351</v>
      </c>
      <c r="P45" s="1">
        <v>674.11897797341351</v>
      </c>
      <c r="Q45" s="1">
        <f>ROUND(SUM(E45:P45),2)</f>
        <v>8039.54</v>
      </c>
    </row>
    <row r="46" spans="1:17" x14ac:dyDescent="0.25">
      <c r="A46" s="13">
        <v>13</v>
      </c>
      <c r="B46" s="23" t="s">
        <v>290</v>
      </c>
      <c r="E46" s="199">
        <f>E40*E43</f>
        <v>7759.3771972442964</v>
      </c>
      <c r="F46" s="199">
        <f t="shared" ref="F46:P46" si="8">F40*F43</f>
        <v>7759.3771972442964</v>
      </c>
      <c r="G46" s="199">
        <f t="shared" si="8"/>
        <v>7759.3771972442964</v>
      </c>
      <c r="H46" s="199">
        <f t="shared" si="8"/>
        <v>7759.3771972442964</v>
      </c>
      <c r="I46" s="199">
        <f t="shared" si="8"/>
        <v>7759.3771972442964</v>
      </c>
      <c r="J46" s="199">
        <f t="shared" si="8"/>
        <v>7759.3771972442964</v>
      </c>
      <c r="K46" s="199">
        <f t="shared" si="8"/>
        <v>7856.268483786369</v>
      </c>
      <c r="L46" s="199">
        <f t="shared" si="8"/>
        <v>7856.268483786369</v>
      </c>
      <c r="M46" s="199">
        <f t="shared" si="8"/>
        <v>7856.268483786369</v>
      </c>
      <c r="N46" s="199">
        <f t="shared" si="8"/>
        <v>7856.268483786369</v>
      </c>
      <c r="O46" s="199">
        <f t="shared" si="8"/>
        <v>7856.268483786369</v>
      </c>
      <c r="P46" s="199">
        <f t="shared" si="8"/>
        <v>7856.268483786369</v>
      </c>
      <c r="Q46" s="199">
        <f>SUM(E46:P46)</f>
        <v>93693.874086183976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8425.1822720977907</v>
      </c>
      <c r="F47" s="204">
        <f t="shared" si="9"/>
        <v>8425.1822720977907</v>
      </c>
      <c r="G47" s="204">
        <f t="shared" si="9"/>
        <v>8425.1822720977907</v>
      </c>
      <c r="H47" s="204">
        <f t="shared" si="9"/>
        <v>8425.1822720977907</v>
      </c>
      <c r="I47" s="204">
        <f t="shared" si="9"/>
        <v>8425.1822720977907</v>
      </c>
      <c r="J47" s="204">
        <f t="shared" si="9"/>
        <v>8425.1822720977907</v>
      </c>
      <c r="K47" s="204">
        <f t="shared" si="9"/>
        <v>8530.387461759783</v>
      </c>
      <c r="L47" s="204">
        <f t="shared" si="9"/>
        <v>8530.387461759783</v>
      </c>
      <c r="M47" s="204">
        <f t="shared" si="9"/>
        <v>8530.387461759783</v>
      </c>
      <c r="N47" s="204">
        <f t="shared" si="9"/>
        <v>8530.387461759783</v>
      </c>
      <c r="O47" s="204">
        <f t="shared" si="9"/>
        <v>8530.387461759783</v>
      </c>
      <c r="P47" s="204">
        <f t="shared" si="9"/>
        <v>8530.387461759783</v>
      </c>
      <c r="Q47" s="204">
        <f t="shared" si="9"/>
        <v>101733.41408618397</v>
      </c>
    </row>
    <row r="48" spans="1:17" ht="13" thickTop="1" x14ac:dyDescent="0.25">
      <c r="A48" s="200"/>
      <c r="B48" s="200"/>
    </row>
    <row r="49" spans="1:2" x14ac:dyDescent="0.25">
      <c r="A49" s="210" t="s">
        <v>76</v>
      </c>
      <c r="B49" s="1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23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60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FB74-B006-4A20-A9B4-5FF969859692}">
  <sheetPr transitionEvaluation="1" transitionEntry="1"/>
  <dimension ref="A1:AF275"/>
  <sheetViews>
    <sheetView showGridLines="0" defaultGridColor="0" view="pageBreakPreview" colorId="8" zoomScaleNormal="75" zoomScaleSheetLayoutView="100" workbookViewId="0">
      <selection activeCell="Q28" sqref="Q28"/>
    </sheetView>
  </sheetViews>
  <sheetFormatPr defaultColWidth="11.58203125" defaultRowHeight="12.5" x14ac:dyDescent="0.25"/>
  <cols>
    <col min="1" max="1" width="4.25" style="1" customWidth="1"/>
    <col min="2" max="2" width="3.58203125" style="1" customWidth="1"/>
    <col min="3" max="3" width="40" style="1" customWidth="1"/>
    <col min="4" max="4" width="13.33203125" style="1" customWidth="1"/>
    <col min="5" max="6" width="11.58203125" style="1" customWidth="1"/>
    <col min="7" max="12" width="11.58203125" style="1" bestFit="1" customWidth="1"/>
    <col min="13" max="13" width="11.33203125" style="1" customWidth="1"/>
    <col min="14" max="14" width="11.58203125" style="1" bestFit="1" customWidth="1"/>
    <col min="15" max="16" width="11.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3.25" style="1" bestFit="1" customWidth="1"/>
    <col min="21" max="32" width="12.08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4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5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318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13527931.620000003</v>
      </c>
      <c r="E20" s="1">
        <f>D20+E16-E17</f>
        <v>13527931.620000003</v>
      </c>
      <c r="F20" s="1">
        <f t="shared" ref="F20:M20" si="0">E20+F16-F17</f>
        <v>13527931.620000003</v>
      </c>
      <c r="G20" s="1">
        <f t="shared" si="0"/>
        <v>13527931.620000003</v>
      </c>
      <c r="H20" s="1">
        <f t="shared" si="0"/>
        <v>13527931.620000003</v>
      </c>
      <c r="I20" s="1">
        <f t="shared" si="0"/>
        <v>13527931.620000003</v>
      </c>
      <c r="J20" s="1">
        <f t="shared" si="0"/>
        <v>13527931.620000003</v>
      </c>
      <c r="K20" s="1">
        <f t="shared" si="0"/>
        <v>13527931.620000003</v>
      </c>
      <c r="L20" s="1">
        <f t="shared" si="0"/>
        <v>13527931.620000003</v>
      </c>
      <c r="M20" s="1">
        <f t="shared" si="0"/>
        <v>13527931.620000003</v>
      </c>
      <c r="N20" s="1">
        <f>M20+N16-N17</f>
        <v>13527931.620000003</v>
      </c>
      <c r="O20" s="1">
        <f>N20+O16-O17</f>
        <v>13527931.620000003</v>
      </c>
      <c r="P20" s="1">
        <f>O20+P16-P17</f>
        <v>13527931.620000003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3671263.0061564138</v>
      </c>
      <c r="E21" s="1">
        <f t="shared" ref="E21:M21" si="1">D21-E32-E33-E34+E17+E18-E19</f>
        <v>3624937.6793489093</v>
      </c>
      <c r="F21" s="1">
        <f t="shared" si="1"/>
        <v>3578612.3525414048</v>
      </c>
      <c r="G21" s="1">
        <f t="shared" si="1"/>
        <v>3532287.0257339003</v>
      </c>
      <c r="H21" s="1">
        <f t="shared" si="1"/>
        <v>3485961.6989263957</v>
      </c>
      <c r="I21" s="1">
        <f t="shared" si="1"/>
        <v>3439636.3721188912</v>
      </c>
      <c r="J21" s="1">
        <f t="shared" si="1"/>
        <v>3393311.0453113867</v>
      </c>
      <c r="K21" s="1">
        <f t="shared" si="1"/>
        <v>3346985.7185038822</v>
      </c>
      <c r="L21" s="1">
        <f t="shared" si="1"/>
        <v>3300660.3916963777</v>
      </c>
      <c r="M21" s="1">
        <f t="shared" si="1"/>
        <v>3254335.0648888731</v>
      </c>
      <c r="N21" s="1">
        <f>M21-N32-N33-N34+N17+N18-N19</f>
        <v>3208009.7380813686</v>
      </c>
      <c r="O21" s="1">
        <f>N21-O32-O33-O34+O17+O18-O19</f>
        <v>3161684.4112738641</v>
      </c>
      <c r="P21" s="1">
        <f>O21-P32-P33-P34+P17+P18-P19</f>
        <v>3115359.0844663596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-1.1652900866465643E-12</v>
      </c>
      <c r="E22" s="199">
        <f t="shared" ref="E22:P22" si="2">D22+E15-E16</f>
        <v>-1.1652900866465643E-12</v>
      </c>
      <c r="F22" s="199">
        <f t="shared" si="2"/>
        <v>-1.1652900866465643E-12</v>
      </c>
      <c r="G22" s="199">
        <f t="shared" si="2"/>
        <v>-1.1652900866465643E-12</v>
      </c>
      <c r="H22" s="199">
        <f t="shared" si="2"/>
        <v>-1.1652900866465643E-12</v>
      </c>
      <c r="I22" s="199">
        <f t="shared" si="2"/>
        <v>-1.1652900866465643E-12</v>
      </c>
      <c r="J22" s="199">
        <f t="shared" si="2"/>
        <v>-1.1652900866465643E-12</v>
      </c>
      <c r="K22" s="199">
        <f t="shared" si="2"/>
        <v>-1.1652900866465643E-12</v>
      </c>
      <c r="L22" s="199">
        <f t="shared" si="2"/>
        <v>-1.1652900866465643E-12</v>
      </c>
      <c r="M22" s="199">
        <f t="shared" si="2"/>
        <v>-1.1652900866465643E-12</v>
      </c>
      <c r="N22" s="199">
        <f t="shared" si="2"/>
        <v>-1.1652900866465643E-12</v>
      </c>
      <c r="O22" s="199">
        <f t="shared" si="2"/>
        <v>-1.1652900866465643E-12</v>
      </c>
      <c r="P22" s="199">
        <f t="shared" si="2"/>
        <v>-1.1652900866465643E-12</v>
      </c>
      <c r="T22" s="1">
        <f>SUM(U22:AF22)</f>
        <v>1.3983481039758772E-11</v>
      </c>
      <c r="U22" s="1">
        <v>1.1652900866465643E-12</v>
      </c>
      <c r="V22" s="1">
        <v>1.1652900866465643E-12</v>
      </c>
      <c r="W22" s="1">
        <v>1.1652900866465643E-12</v>
      </c>
      <c r="X22" s="1">
        <v>1.1652900866465643E-12</v>
      </c>
      <c r="Y22" s="1">
        <v>1.1652900866465643E-12</v>
      </c>
      <c r="Z22" s="1">
        <v>1.1652900866465643E-12</v>
      </c>
      <c r="AA22" s="1">
        <v>1.1652900866465643E-12</v>
      </c>
      <c r="AB22" s="1">
        <v>1.1652900866465643E-12</v>
      </c>
      <c r="AC22" s="1">
        <v>1.1652900866465643E-12</v>
      </c>
      <c r="AD22" s="1">
        <v>1.1652900866465643E-12</v>
      </c>
      <c r="AE22" s="1">
        <v>1.1652900866465643E-12</v>
      </c>
      <c r="AF22" s="1">
        <v>1.1652900866465643E-12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17199194.626156416</v>
      </c>
      <c r="E23" s="199">
        <f t="shared" si="3"/>
        <v>17152869.299348913</v>
      </c>
      <c r="F23" s="199">
        <f t="shared" si="3"/>
        <v>17106543.972541407</v>
      </c>
      <c r="G23" s="199">
        <f t="shared" si="3"/>
        <v>17060218.645733904</v>
      </c>
      <c r="H23" s="199">
        <f t="shared" si="3"/>
        <v>17013893.318926398</v>
      </c>
      <c r="I23" s="199">
        <f t="shared" si="3"/>
        <v>16967567.992118895</v>
      </c>
      <c r="J23" s="199">
        <f t="shared" si="3"/>
        <v>16921242.665311389</v>
      </c>
      <c r="K23" s="199">
        <f t="shared" si="3"/>
        <v>16874917.338503886</v>
      </c>
      <c r="L23" s="199">
        <f t="shared" si="3"/>
        <v>16828592.01169638</v>
      </c>
      <c r="M23" s="199">
        <f t="shared" si="3"/>
        <v>16782266.684888877</v>
      </c>
      <c r="N23" s="199">
        <f t="shared" si="3"/>
        <v>16735941.358081371</v>
      </c>
      <c r="O23" s="199">
        <f t="shared" si="3"/>
        <v>16689616.031273868</v>
      </c>
      <c r="P23" s="199">
        <f t="shared" si="3"/>
        <v>16643290.704466362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17176031.962752663</v>
      </c>
      <c r="F25" s="1">
        <f t="shared" ref="F25:P25" si="4">(E23+F23)/2</f>
        <v>17129706.63594516</v>
      </c>
      <c r="G25" s="1">
        <f t="shared" si="4"/>
        <v>17083381.309137657</v>
      </c>
      <c r="H25" s="1">
        <f t="shared" si="4"/>
        <v>17037055.982330151</v>
      </c>
      <c r="I25" s="1">
        <f t="shared" si="4"/>
        <v>16990730.655522645</v>
      </c>
      <c r="J25" s="1">
        <f t="shared" si="4"/>
        <v>16944405.328715142</v>
      </c>
      <c r="K25" s="1">
        <f t="shared" si="4"/>
        <v>16898080.001907639</v>
      </c>
      <c r="L25" s="1">
        <f t="shared" si="4"/>
        <v>16851754.675100133</v>
      </c>
      <c r="M25" s="1">
        <f t="shared" si="4"/>
        <v>16805429.348292626</v>
      </c>
      <c r="N25" s="1">
        <f t="shared" si="4"/>
        <v>16759104.021485124</v>
      </c>
      <c r="O25" s="1">
        <f t="shared" si="4"/>
        <v>16712778.694677619</v>
      </c>
      <c r="P25" s="1">
        <f t="shared" si="4"/>
        <v>16666453.367870115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79078.451156513256</v>
      </c>
      <c r="F28" s="1">
        <v>78865.169351891513</v>
      </c>
      <c r="G28" s="1">
        <v>78651.887547269769</v>
      </c>
      <c r="H28" s="1">
        <v>78438.605742648011</v>
      </c>
      <c r="I28" s="1">
        <v>78225.323938026253</v>
      </c>
      <c r="J28" s="1">
        <v>78012.04213340451</v>
      </c>
      <c r="K28" s="1">
        <v>80924.905129135688</v>
      </c>
      <c r="L28" s="1">
        <v>80703.053139054537</v>
      </c>
      <c r="M28" s="1">
        <v>80481.201148973385</v>
      </c>
      <c r="N28" s="1">
        <v>80259.349158892262</v>
      </c>
      <c r="O28" s="1">
        <v>80037.497168811111</v>
      </c>
      <c r="P28" s="1">
        <v>79815.645178729974</v>
      </c>
      <c r="Q28" s="1">
        <f>ROUND(SUM(E28:P28),2)</f>
        <v>953493.13</v>
      </c>
    </row>
    <row r="29" spans="1:32" x14ac:dyDescent="0.25">
      <c r="A29" s="200"/>
      <c r="B29" s="23" t="s">
        <v>264</v>
      </c>
      <c r="C29" s="23" t="s">
        <v>279</v>
      </c>
      <c r="E29" s="1">
        <v>19958.549140718595</v>
      </c>
      <c r="F29" s="1">
        <v>19904.719110968275</v>
      </c>
      <c r="G29" s="1">
        <v>19850.88908121796</v>
      </c>
      <c r="H29" s="1">
        <v>19797.059051467637</v>
      </c>
      <c r="I29" s="1">
        <v>19743.229021717314</v>
      </c>
      <c r="J29" s="1">
        <v>19689.398991966995</v>
      </c>
      <c r="K29" s="1">
        <v>17726.085922001115</v>
      </c>
      <c r="L29" s="1">
        <v>17677.490654180041</v>
      </c>
      <c r="M29" s="1">
        <v>17628.895386358967</v>
      </c>
      <c r="N29" s="1">
        <v>17580.300118537896</v>
      </c>
      <c r="O29" s="1">
        <v>17531.704850716822</v>
      </c>
      <c r="P29" s="1">
        <v>17483.109582895751</v>
      </c>
      <c r="Q29" s="1">
        <f>ROUND(SUM(E29:P29),2)</f>
        <v>224571.43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44613.908387194249</v>
      </c>
      <c r="F32" s="1">
        <v>44613.908387194249</v>
      </c>
      <c r="G32" s="1">
        <v>44613.908387194249</v>
      </c>
      <c r="H32" s="1">
        <v>44613.908387194249</v>
      </c>
      <c r="I32" s="1">
        <v>44613.908387194249</v>
      </c>
      <c r="J32" s="1">
        <v>44613.908387194249</v>
      </c>
      <c r="K32" s="1">
        <v>44613.908387194249</v>
      </c>
      <c r="L32" s="1">
        <v>44613.908387194249</v>
      </c>
      <c r="M32" s="1">
        <v>44613.908387194249</v>
      </c>
      <c r="N32" s="1">
        <v>44613.908387194249</v>
      </c>
      <c r="O32" s="1">
        <v>44613.908387194249</v>
      </c>
      <c r="P32" s="1">
        <v>44613.908387194249</v>
      </c>
      <c r="Q32" s="1">
        <f>ROUND(SUM(E32:P32),2)</f>
        <v>535366.9</v>
      </c>
    </row>
    <row r="33" spans="1:17" x14ac:dyDescent="0.25">
      <c r="A33" s="200"/>
      <c r="B33" s="23" t="s">
        <v>264</v>
      </c>
      <c r="C33" s="23" t="s">
        <v>282</v>
      </c>
      <c r="E33" s="1">
        <v>1711.4184203099001</v>
      </c>
      <c r="F33" s="1">
        <v>1711.4184203099001</v>
      </c>
      <c r="G33" s="1">
        <v>1711.4184203099001</v>
      </c>
      <c r="H33" s="1">
        <v>1711.4184203099001</v>
      </c>
      <c r="I33" s="1">
        <v>1711.4184203099001</v>
      </c>
      <c r="J33" s="1">
        <v>1711.4184203099001</v>
      </c>
      <c r="K33" s="1">
        <v>1711.4184203099001</v>
      </c>
      <c r="L33" s="1">
        <v>1711.4184203099001</v>
      </c>
      <c r="M33" s="1">
        <v>1711.4184203099001</v>
      </c>
      <c r="N33" s="1">
        <v>1711.4184203099001</v>
      </c>
      <c r="O33" s="1">
        <v>1711.4184203099001</v>
      </c>
      <c r="P33" s="1">
        <v>1711.4184203099001</v>
      </c>
      <c r="Q33" s="1">
        <f>ROUND(SUM(E33:P33),2)</f>
        <v>20537.02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ROUND(SUM(E34:P34),2)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ROUND(SUM(E35:P35),2)</f>
        <v>0</v>
      </c>
    </row>
    <row r="36" spans="1:17" x14ac:dyDescent="0.25">
      <c r="A36" s="200"/>
      <c r="B36" s="23" t="s">
        <v>270</v>
      </c>
      <c r="C36" s="23" t="s">
        <v>285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145362.327104736</v>
      </c>
      <c r="F38" s="1">
        <f t="shared" ref="F38:P38" si="5">SUM(F28:F36)</f>
        <v>145095.21527036393</v>
      </c>
      <c r="G38" s="1">
        <f t="shared" si="5"/>
        <v>144828.10343599188</v>
      </c>
      <c r="H38" s="1">
        <f t="shared" si="5"/>
        <v>144560.99160161978</v>
      </c>
      <c r="I38" s="1">
        <f t="shared" si="5"/>
        <v>144293.87976724771</v>
      </c>
      <c r="J38" s="1">
        <f t="shared" si="5"/>
        <v>144026.76793287566</v>
      </c>
      <c r="K38" s="1">
        <f t="shared" si="5"/>
        <v>144976.31785864095</v>
      </c>
      <c r="L38" s="1">
        <f t="shared" si="5"/>
        <v>144705.87060073874</v>
      </c>
      <c r="M38" s="1">
        <f>SUM(M28:M36)</f>
        <v>144435.4233428365</v>
      </c>
      <c r="N38" s="1">
        <f t="shared" si="5"/>
        <v>144164.97608493431</v>
      </c>
      <c r="O38" s="1">
        <f t="shared" si="5"/>
        <v>143894.52882703207</v>
      </c>
      <c r="P38" s="1">
        <f t="shared" si="5"/>
        <v>143624.08156912986</v>
      </c>
      <c r="Q38" s="1">
        <f>SUM(E38:P38)</f>
        <v>1733968.4833961474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11181.717469595078</v>
      </c>
      <c r="F39" s="1">
        <f t="shared" ref="F39:P39" si="6">F38*1/13</f>
        <v>11161.170405412609</v>
      </c>
      <c r="G39" s="1">
        <f t="shared" si="6"/>
        <v>11140.623341230144</v>
      </c>
      <c r="H39" s="1">
        <f t="shared" si="6"/>
        <v>11120.076277047676</v>
      </c>
      <c r="I39" s="1">
        <f t="shared" si="6"/>
        <v>11099.529212865209</v>
      </c>
      <c r="J39" s="1">
        <f t="shared" si="6"/>
        <v>11078.982148682744</v>
      </c>
      <c r="K39" s="1">
        <f t="shared" si="6"/>
        <v>11152.024450664689</v>
      </c>
      <c r="L39" s="1">
        <f t="shared" si="6"/>
        <v>11131.220815441442</v>
      </c>
      <c r="M39" s="1">
        <f t="shared" si="6"/>
        <v>11110.417180218192</v>
      </c>
      <c r="N39" s="1">
        <f t="shared" si="6"/>
        <v>11089.613544994947</v>
      </c>
      <c r="O39" s="1">
        <f t="shared" si="6"/>
        <v>11068.809909771699</v>
      </c>
      <c r="P39" s="1">
        <f t="shared" si="6"/>
        <v>11048.00627454845</v>
      </c>
      <c r="Q39" s="1">
        <f>SUM(E39:P39)</f>
        <v>133382.19103047287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E38-E39</f>
        <v>134180.60963514092</v>
      </c>
      <c r="F40" s="1">
        <f t="shared" si="7"/>
        <v>133934.04486495131</v>
      </c>
      <c r="G40" s="1">
        <f t="shared" si="7"/>
        <v>133687.48009476173</v>
      </c>
      <c r="H40" s="1">
        <f t="shared" si="7"/>
        <v>133440.9153245721</v>
      </c>
      <c r="I40" s="1">
        <f t="shared" si="7"/>
        <v>133194.35055438249</v>
      </c>
      <c r="J40" s="1">
        <f t="shared" si="7"/>
        <v>132947.78578419291</v>
      </c>
      <c r="K40" s="1">
        <f t="shared" si="7"/>
        <v>133824.29340797625</v>
      </c>
      <c r="L40" s="1">
        <f t="shared" si="7"/>
        <v>133574.64978529728</v>
      </c>
      <c r="M40" s="1">
        <f t="shared" si="7"/>
        <v>133325.00616261832</v>
      </c>
      <c r="N40" s="1">
        <f t="shared" si="7"/>
        <v>133075.36253993938</v>
      </c>
      <c r="O40" s="1">
        <f t="shared" si="7"/>
        <v>132825.71891726038</v>
      </c>
      <c r="P40" s="1">
        <f t="shared" si="7"/>
        <v>132576.07529458142</v>
      </c>
      <c r="Q40" s="1">
        <f>SUM(E40:P40)</f>
        <v>1600586.2923656746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1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11195.135530558593</v>
      </c>
      <c r="F45" s="1">
        <v>11174.563809899106</v>
      </c>
      <c r="G45" s="1">
        <v>11153.992089239622</v>
      </c>
      <c r="H45" s="1">
        <v>11133.420368580135</v>
      </c>
      <c r="I45" s="1">
        <v>11112.848647920648</v>
      </c>
      <c r="J45" s="1">
        <v>11092.276927261164</v>
      </c>
      <c r="K45" s="1">
        <v>11165.406880005487</v>
      </c>
      <c r="L45" s="1">
        <v>11144.578280419973</v>
      </c>
      <c r="M45" s="1">
        <v>11123.749680834455</v>
      </c>
      <c r="N45" s="1">
        <v>11102.921081248942</v>
      </c>
      <c r="O45" s="1">
        <v>11082.092481663425</v>
      </c>
      <c r="P45" s="1">
        <v>11061.263882077908</v>
      </c>
      <c r="Q45" s="1">
        <f>ROUND(SUM(E45:P45),2)</f>
        <v>133542.25</v>
      </c>
    </row>
    <row r="46" spans="1:17" x14ac:dyDescent="0.25">
      <c r="A46" s="13">
        <v>13</v>
      </c>
      <c r="B46" s="23" t="s">
        <v>290</v>
      </c>
      <c r="E46" s="199">
        <f>E40*E43</f>
        <v>130469.53626027894</v>
      </c>
      <c r="F46" s="199">
        <f t="shared" ref="F46:P46" si="8">F40*F43</f>
        <v>130229.79080590789</v>
      </c>
      <c r="G46" s="199">
        <f t="shared" si="8"/>
        <v>129990.04535153689</v>
      </c>
      <c r="H46" s="199">
        <f t="shared" si="8"/>
        <v>129750.29989716581</v>
      </c>
      <c r="I46" s="199">
        <f t="shared" si="8"/>
        <v>129510.55444279476</v>
      </c>
      <c r="J46" s="199">
        <f t="shared" si="8"/>
        <v>129270.80898842376</v>
      </c>
      <c r="K46" s="199">
        <f t="shared" si="8"/>
        <v>130123.07477790382</v>
      </c>
      <c r="L46" s="199">
        <f t="shared" si="8"/>
        <v>129880.33562379038</v>
      </c>
      <c r="M46" s="199">
        <f t="shared" si="8"/>
        <v>129637.59646967694</v>
      </c>
      <c r="N46" s="199">
        <f t="shared" si="8"/>
        <v>129394.85731556351</v>
      </c>
      <c r="O46" s="199">
        <f t="shared" si="8"/>
        <v>129152.11816145004</v>
      </c>
      <c r="P46" s="199">
        <f t="shared" si="8"/>
        <v>128909.3790073366</v>
      </c>
      <c r="Q46" s="199">
        <f>SUM(E46:P46)</f>
        <v>1556318.3971018298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141664.67179083754</v>
      </c>
      <c r="F47" s="204">
        <f t="shared" si="9"/>
        <v>141404.35461580701</v>
      </c>
      <c r="G47" s="204">
        <f t="shared" si="9"/>
        <v>141144.0374407765</v>
      </c>
      <c r="H47" s="204">
        <f t="shared" si="9"/>
        <v>140883.72026574594</v>
      </c>
      <c r="I47" s="204">
        <f t="shared" si="9"/>
        <v>140623.40309071541</v>
      </c>
      <c r="J47" s="204">
        <f t="shared" si="9"/>
        <v>140363.08591568493</v>
      </c>
      <c r="K47" s="204">
        <f t="shared" si="9"/>
        <v>141288.48165790932</v>
      </c>
      <c r="L47" s="204">
        <f t="shared" si="9"/>
        <v>141024.91390421035</v>
      </c>
      <c r="M47" s="204">
        <f t="shared" si="9"/>
        <v>140761.34615051138</v>
      </c>
      <c r="N47" s="204">
        <f t="shared" si="9"/>
        <v>140497.77839681244</v>
      </c>
      <c r="O47" s="204">
        <f t="shared" si="9"/>
        <v>140234.21064311347</v>
      </c>
      <c r="P47" s="204">
        <f t="shared" si="9"/>
        <v>139970.64288941451</v>
      </c>
      <c r="Q47" s="204">
        <f t="shared" si="9"/>
        <v>1689860.6471018298</v>
      </c>
    </row>
    <row r="48" spans="1:17" ht="13" thickTop="1" x14ac:dyDescent="0.25">
      <c r="A48" s="200"/>
      <c r="B48" s="20"/>
    </row>
    <row r="49" spans="1:9" x14ac:dyDescent="0.25">
      <c r="A49" s="210" t="s">
        <v>76</v>
      </c>
      <c r="B49" s="23"/>
    </row>
    <row r="50" spans="1:9" x14ac:dyDescent="0.25">
      <c r="A50" s="23" t="s">
        <v>168</v>
      </c>
      <c r="B50" s="23" t="s">
        <v>292</v>
      </c>
    </row>
    <row r="51" spans="1:9" x14ac:dyDescent="0.25">
      <c r="A51" s="23" t="s">
        <v>170</v>
      </c>
      <c r="B51" s="23" t="s">
        <v>293</v>
      </c>
    </row>
    <row r="52" spans="1:9" x14ac:dyDescent="0.25">
      <c r="A52" s="23" t="s">
        <v>255</v>
      </c>
      <c r="B52" s="23" t="s">
        <v>294</v>
      </c>
    </row>
    <row r="53" spans="1:9" x14ac:dyDescent="0.25">
      <c r="A53" s="23" t="s">
        <v>295</v>
      </c>
      <c r="B53" s="23" t="s">
        <v>296</v>
      </c>
    </row>
    <row r="54" spans="1:9" x14ac:dyDescent="0.25">
      <c r="A54" s="23" t="s">
        <v>297</v>
      </c>
      <c r="B54" s="11" t="s">
        <v>298</v>
      </c>
    </row>
    <row r="55" spans="1:9" x14ac:dyDescent="0.25">
      <c r="A55" s="23" t="s">
        <v>299</v>
      </c>
      <c r="B55" s="23" t="s">
        <v>300</v>
      </c>
    </row>
    <row r="56" spans="1:9" x14ac:dyDescent="0.25">
      <c r="A56" s="23" t="s">
        <v>301</v>
      </c>
      <c r="B56" s="23" t="s">
        <v>302</v>
      </c>
    </row>
    <row r="57" spans="1:9" x14ac:dyDescent="0.25">
      <c r="A57" s="23" t="s">
        <v>303</v>
      </c>
      <c r="B57" s="23" t="s">
        <v>304</v>
      </c>
    </row>
    <row r="58" spans="1:9" x14ac:dyDescent="0.25">
      <c r="A58" s="23" t="s">
        <v>305</v>
      </c>
      <c r="B58" s="23" t="s">
        <v>306</v>
      </c>
    </row>
    <row r="59" spans="1:9" x14ac:dyDescent="0.25">
      <c r="A59" s="11" t="s">
        <v>307</v>
      </c>
      <c r="B59" s="23" t="s">
        <v>308</v>
      </c>
    </row>
    <row r="60" spans="1:9" x14ac:dyDescent="0.25">
      <c r="A60" s="11" t="s">
        <v>309</v>
      </c>
      <c r="B60" s="23" t="s">
        <v>310</v>
      </c>
    </row>
    <row r="61" spans="1:9" x14ac:dyDescent="0.25">
      <c r="A61" s="23"/>
      <c r="B61" s="13"/>
    </row>
    <row r="62" spans="1:9" ht="13" x14ac:dyDescent="0.3">
      <c r="B62" s="187"/>
      <c r="C62" s="188"/>
      <c r="D62" s="188"/>
      <c r="E62" s="188"/>
      <c r="F62" s="188"/>
      <c r="G62" s="188"/>
      <c r="H62" s="187"/>
      <c r="I62" s="188"/>
    </row>
    <row r="63" spans="1:9" x14ac:dyDescent="0.25">
      <c r="B63" s="188"/>
      <c r="C63" s="188"/>
      <c r="D63" s="188"/>
      <c r="E63" s="188"/>
      <c r="F63" s="188"/>
      <c r="G63" s="188"/>
      <c r="H63" s="188"/>
      <c r="I63" s="188"/>
    </row>
    <row r="64" spans="1:9" x14ac:dyDescent="0.25">
      <c r="B64" s="188"/>
      <c r="C64" s="188"/>
      <c r="D64" s="188"/>
      <c r="E64" s="188"/>
      <c r="F64" s="188"/>
      <c r="G64" s="188"/>
      <c r="H64" s="188"/>
      <c r="I64" s="188"/>
    </row>
    <row r="65" spans="1:17" ht="13" x14ac:dyDescent="0.3">
      <c r="B65" s="186"/>
      <c r="C65" s="188"/>
      <c r="D65" s="188"/>
      <c r="E65" s="188"/>
      <c r="F65" s="188"/>
      <c r="G65" s="188"/>
      <c r="H65" s="186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x14ac:dyDescent="0.25">
      <c r="B68" s="188"/>
      <c r="C68" s="188"/>
      <c r="F68" s="188"/>
      <c r="G68" s="188"/>
      <c r="H68" s="188"/>
      <c r="I68" s="19"/>
    </row>
    <row r="69" spans="1:17" x14ac:dyDescent="0.25">
      <c r="B69" s="206"/>
      <c r="C69" s="188"/>
      <c r="D69" s="188"/>
      <c r="E69" s="188"/>
      <c r="F69" s="188"/>
      <c r="G69" s="188"/>
      <c r="H69" s="206"/>
      <c r="I69" s="188"/>
    </row>
    <row r="70" spans="1:17" x14ac:dyDescent="0.25">
      <c r="B70" s="188"/>
      <c r="C70" s="188"/>
      <c r="D70" s="188"/>
      <c r="E70" s="188"/>
      <c r="F70" s="188"/>
      <c r="G70" s="188"/>
      <c r="H70" s="188"/>
      <c r="I70" s="188"/>
    </row>
    <row r="71" spans="1:17" x14ac:dyDescent="0.25">
      <c r="A71" s="206"/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23"/>
      <c r="B74" s="23"/>
      <c r="C74" s="210"/>
    </row>
    <row r="75" spans="1:17" x14ac:dyDescent="0.25">
      <c r="A75" s="23"/>
      <c r="B75" s="23"/>
      <c r="C75" s="23"/>
    </row>
    <row r="76" spans="1:17" x14ac:dyDescent="0.25">
      <c r="A76" s="23"/>
      <c r="B76" s="23"/>
      <c r="C76" s="23"/>
    </row>
    <row r="77" spans="1:17" x14ac:dyDescent="0.25">
      <c r="A77" s="23"/>
      <c r="B77" s="23"/>
      <c r="C77" s="23"/>
    </row>
    <row r="78" spans="1:17" x14ac:dyDescent="0.25">
      <c r="A78" s="23"/>
      <c r="B78" s="23"/>
      <c r="C78" s="23"/>
    </row>
    <row r="79" spans="1:17" x14ac:dyDescent="0.25">
      <c r="A79" s="23"/>
      <c r="B79" s="23"/>
      <c r="C79" s="23"/>
    </row>
    <row r="80" spans="1:17" x14ac:dyDescent="0.25">
      <c r="A80" s="23"/>
      <c r="B80" s="23"/>
      <c r="C80" s="23"/>
    </row>
    <row r="81" spans="1:16" x14ac:dyDescent="0.25">
      <c r="A81" s="23"/>
      <c r="B81" s="23"/>
      <c r="C81" s="23"/>
    </row>
    <row r="82" spans="1:16" x14ac:dyDescent="0.25">
      <c r="A82" s="23"/>
      <c r="B82" s="23"/>
      <c r="C82" s="23"/>
    </row>
    <row r="83" spans="1:16" x14ac:dyDescent="0.25">
      <c r="A83" s="23"/>
      <c r="B83" s="23"/>
      <c r="C83" s="13"/>
    </row>
    <row r="84" spans="1:16" x14ac:dyDescent="0.25">
      <c r="A84" s="13"/>
      <c r="B84" s="23"/>
    </row>
    <row r="85" spans="1:16" x14ac:dyDescent="0.25">
      <c r="A85" s="23"/>
      <c r="B85" s="23"/>
      <c r="C85" s="23"/>
    </row>
    <row r="86" spans="1:16" x14ac:dyDescent="0.25">
      <c r="A86" s="20"/>
      <c r="B86" s="20"/>
    </row>
    <row r="87" spans="1:16" x14ac:dyDescent="0.25">
      <c r="A87" s="23"/>
      <c r="B87" s="23"/>
      <c r="E87" s="201"/>
      <c r="F87" s="201"/>
      <c r="G87" s="201"/>
      <c r="H87" s="201"/>
      <c r="I87" s="201"/>
    </row>
    <row r="88" spans="1:16" x14ac:dyDescent="0.25">
      <c r="A88" s="20"/>
      <c r="B88" s="23"/>
      <c r="C88" s="23"/>
    </row>
    <row r="89" spans="1:16" x14ac:dyDescent="0.25">
      <c r="A89" s="20"/>
      <c r="B89" s="23"/>
      <c r="C89" s="23"/>
    </row>
    <row r="90" spans="1:16" x14ac:dyDescent="0.25">
      <c r="A90" s="20"/>
      <c r="B90" s="20"/>
      <c r="E90" s="201"/>
      <c r="F90" s="201"/>
      <c r="G90" s="201"/>
      <c r="H90" s="201"/>
      <c r="I90" s="201"/>
    </row>
    <row r="91" spans="1:16" x14ac:dyDescent="0.25">
      <c r="A91" s="23"/>
      <c r="B91" s="23"/>
    </row>
    <row r="92" spans="1:16" x14ac:dyDescent="0.25">
      <c r="A92" s="200"/>
      <c r="B92" s="23"/>
      <c r="C92" s="23"/>
    </row>
    <row r="93" spans="1:16" x14ac:dyDescent="0.25">
      <c r="A93" s="200"/>
      <c r="B93" s="23"/>
      <c r="C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x14ac:dyDescent="0.25">
      <c r="A96" s="200"/>
      <c r="B96" s="23"/>
      <c r="C96" s="23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6" x14ac:dyDescent="0.25">
      <c r="A97" s="200"/>
      <c r="B97" s="20"/>
      <c r="C97" s="202"/>
      <c r="E97" s="202"/>
      <c r="F97" s="202"/>
      <c r="G97" s="202"/>
      <c r="H97" s="202"/>
      <c r="I97" s="202"/>
    </row>
    <row r="98" spans="1:16" x14ac:dyDescent="0.25">
      <c r="A98" s="23"/>
      <c r="B98" s="23"/>
      <c r="C98" s="202"/>
    </row>
    <row r="99" spans="1:16" x14ac:dyDescent="0.25">
      <c r="A99" s="13"/>
      <c r="B99" s="23"/>
      <c r="C99" s="23"/>
    </row>
    <row r="100" spans="1:16" x14ac:dyDescent="0.25">
      <c r="A100" s="13"/>
      <c r="B100" s="23"/>
      <c r="C100" s="23"/>
    </row>
    <row r="101" spans="1:16" x14ac:dyDescent="0.25">
      <c r="A101" s="13"/>
      <c r="B101" s="23"/>
      <c r="C101" s="202"/>
    </row>
    <row r="102" spans="1:16" x14ac:dyDescent="0.25">
      <c r="A102" s="23"/>
      <c r="B102" s="23"/>
      <c r="C102" s="202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</row>
    <row r="103" spans="1:16" x14ac:dyDescent="0.25">
      <c r="A103" s="23"/>
      <c r="B103" s="23"/>
      <c r="C103" s="202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1:16" x14ac:dyDescent="0.25">
      <c r="A104" s="200"/>
      <c r="B104" s="20"/>
      <c r="C104" s="202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23"/>
      <c r="B105" s="23"/>
    </row>
    <row r="106" spans="1:16" x14ac:dyDescent="0.25">
      <c r="A106" s="23"/>
      <c r="B106" s="23"/>
    </row>
    <row r="107" spans="1:16" x14ac:dyDescent="0.25">
      <c r="A107" s="23"/>
      <c r="B107" s="23"/>
    </row>
    <row r="108" spans="1:16" x14ac:dyDescent="0.25">
      <c r="A108" s="13"/>
      <c r="B108" s="23"/>
    </row>
    <row r="109" spans="1:16" x14ac:dyDescent="0.25">
      <c r="A109" s="13"/>
      <c r="B109" s="13"/>
    </row>
    <row r="110" spans="1:16" x14ac:dyDescent="0.25">
      <c r="A110" s="13"/>
      <c r="B110" s="13"/>
    </row>
    <row r="111" spans="1:16" x14ac:dyDescent="0.25">
      <c r="A111" s="13"/>
      <c r="B111" s="13"/>
    </row>
    <row r="112" spans="1:16" ht="13" x14ac:dyDescent="0.3">
      <c r="A112" s="13"/>
      <c r="B112" s="187"/>
      <c r="C112" s="188"/>
      <c r="D112" s="188"/>
      <c r="E112" s="188"/>
      <c r="F112" s="188"/>
      <c r="G112" s="188"/>
      <c r="H112" s="187"/>
      <c r="I112" s="188"/>
    </row>
    <row r="113" spans="1:17" x14ac:dyDescent="0.25">
      <c r="A113" s="13"/>
      <c r="B113" s="188"/>
      <c r="C113" s="188"/>
      <c r="D113" s="188"/>
      <c r="E113" s="188"/>
      <c r="F113" s="188"/>
      <c r="G113" s="188"/>
      <c r="H113" s="188"/>
      <c r="I113" s="188"/>
    </row>
    <row r="114" spans="1:17" x14ac:dyDescent="0.25">
      <c r="A114" s="13"/>
      <c r="B114" s="188"/>
      <c r="C114" s="188"/>
      <c r="D114" s="188"/>
      <c r="E114" s="188"/>
      <c r="F114" s="188"/>
      <c r="G114" s="188"/>
      <c r="H114" s="188"/>
      <c r="I114" s="188"/>
    </row>
    <row r="115" spans="1:17" ht="13" x14ac:dyDescent="0.3">
      <c r="B115" s="186"/>
      <c r="C115" s="188"/>
      <c r="D115" s="188"/>
      <c r="E115" s="188"/>
      <c r="F115" s="188"/>
      <c r="G115" s="188"/>
      <c r="H115" s="186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x14ac:dyDescent="0.25">
      <c r="B118" s="188"/>
      <c r="C118" s="188"/>
      <c r="F118" s="188"/>
      <c r="G118" s="188"/>
      <c r="H118" s="188"/>
    </row>
    <row r="119" spans="1:17" x14ac:dyDescent="0.25">
      <c r="B119" s="206"/>
      <c r="C119" s="188"/>
      <c r="D119" s="188"/>
      <c r="E119" s="188"/>
      <c r="F119" s="188"/>
      <c r="G119" s="188"/>
      <c r="H119" s="206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A121" s="206"/>
      <c r="B121" s="206"/>
      <c r="C121" s="188"/>
      <c r="D121" s="188"/>
      <c r="E121" s="188"/>
      <c r="F121" s="188"/>
      <c r="G121" s="188"/>
      <c r="H121" s="188"/>
      <c r="I121" s="188"/>
    </row>
    <row r="122" spans="1:17" x14ac:dyDescent="0.25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5">
      <c r="A124" s="13"/>
      <c r="B124" s="23"/>
      <c r="C124" s="13"/>
    </row>
    <row r="125" spans="1:17" x14ac:dyDescent="0.25">
      <c r="A125" s="13"/>
      <c r="B125" s="23"/>
      <c r="C125" s="23"/>
    </row>
    <row r="126" spans="1:17" x14ac:dyDescent="0.25">
      <c r="A126" s="13"/>
      <c r="B126" s="23"/>
      <c r="C126" s="23"/>
    </row>
    <row r="127" spans="1:17" x14ac:dyDescent="0.25">
      <c r="A127" s="13"/>
      <c r="B127" s="23"/>
      <c r="C127" s="23"/>
    </row>
    <row r="128" spans="1:17" x14ac:dyDescent="0.25">
      <c r="A128" s="13"/>
      <c r="B128" s="23"/>
      <c r="C128" s="23"/>
    </row>
    <row r="129" spans="1:9" x14ac:dyDescent="0.25">
      <c r="A129" s="13"/>
      <c r="B129" s="23"/>
      <c r="C129" s="23"/>
    </row>
    <row r="130" spans="1:9" x14ac:dyDescent="0.25">
      <c r="A130" s="13"/>
      <c r="B130" s="23"/>
      <c r="C130" s="13"/>
    </row>
    <row r="131" spans="1:9" x14ac:dyDescent="0.25">
      <c r="A131" s="13"/>
      <c r="B131" s="23"/>
      <c r="C131" s="13"/>
    </row>
    <row r="132" spans="1:9" x14ac:dyDescent="0.25">
      <c r="A132" s="13"/>
      <c r="B132" s="23"/>
      <c r="C132" s="13"/>
    </row>
    <row r="133" spans="1:9" x14ac:dyDescent="0.25">
      <c r="A133" s="13"/>
      <c r="B133" s="23"/>
      <c r="C133" s="13"/>
    </row>
    <row r="134" spans="1:9" x14ac:dyDescent="0.25">
      <c r="A134" s="13"/>
      <c r="B134" s="23"/>
    </row>
    <row r="135" spans="1:9" x14ac:dyDescent="0.25">
      <c r="A135" s="13"/>
      <c r="B135" s="23"/>
      <c r="C135" s="23"/>
    </row>
    <row r="136" spans="1:9" x14ac:dyDescent="0.25">
      <c r="A136" s="200"/>
      <c r="B136" s="20"/>
    </row>
    <row r="137" spans="1:9" x14ac:dyDescent="0.25">
      <c r="A137" s="13"/>
      <c r="B137" s="23"/>
      <c r="E137" s="201"/>
      <c r="F137" s="201"/>
      <c r="G137" s="201"/>
      <c r="H137" s="201"/>
      <c r="I137" s="201"/>
    </row>
    <row r="138" spans="1:9" x14ac:dyDescent="0.25">
      <c r="A138" s="200"/>
      <c r="B138" s="23"/>
      <c r="C138" s="23"/>
    </row>
    <row r="139" spans="1:9" x14ac:dyDescent="0.25">
      <c r="A139" s="200"/>
      <c r="B139" s="23"/>
      <c r="C139" s="23"/>
    </row>
    <row r="140" spans="1:9" x14ac:dyDescent="0.25">
      <c r="A140" s="200"/>
      <c r="B140" s="20"/>
      <c r="E140" s="201"/>
      <c r="F140" s="201"/>
      <c r="G140" s="201"/>
      <c r="H140" s="201"/>
      <c r="I140" s="201"/>
    </row>
    <row r="141" spans="1:9" x14ac:dyDescent="0.25">
      <c r="A141" s="13"/>
      <c r="B141" s="23"/>
    </row>
    <row r="142" spans="1:9" x14ac:dyDescent="0.25">
      <c r="A142" s="200"/>
      <c r="B142" s="23"/>
      <c r="C142" s="23"/>
    </row>
    <row r="143" spans="1:9" x14ac:dyDescent="0.25">
      <c r="A143" s="200"/>
      <c r="B143" s="23"/>
      <c r="C143" s="23"/>
    </row>
    <row r="144" spans="1:9" x14ac:dyDescent="0.25">
      <c r="A144" s="200"/>
      <c r="B144" s="23"/>
      <c r="C144" s="23"/>
    </row>
    <row r="145" spans="1:16" x14ac:dyDescent="0.25">
      <c r="A145" s="200"/>
      <c r="B145" s="23"/>
      <c r="C145" s="23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</row>
    <row r="146" spans="1:16" x14ac:dyDescent="0.25">
      <c r="A146" s="200"/>
      <c r="B146" s="23"/>
      <c r="C146" s="23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1:16" x14ac:dyDescent="0.25">
      <c r="A147" s="200"/>
      <c r="B147" s="20"/>
      <c r="C147" s="202"/>
      <c r="E147" s="202"/>
      <c r="F147" s="202"/>
      <c r="G147" s="202"/>
      <c r="H147" s="202"/>
      <c r="I147" s="202"/>
    </row>
    <row r="148" spans="1:16" x14ac:dyDescent="0.25">
      <c r="A148" s="13"/>
      <c r="B148" s="23"/>
      <c r="C148" s="202"/>
    </row>
    <row r="149" spans="1:16" x14ac:dyDescent="0.25">
      <c r="A149" s="13"/>
      <c r="B149" s="23"/>
      <c r="C149" s="23"/>
    </row>
    <row r="150" spans="1:16" x14ac:dyDescent="0.25">
      <c r="A150" s="13"/>
      <c r="B150" s="23"/>
      <c r="C150" s="23"/>
    </row>
    <row r="151" spans="1:16" x14ac:dyDescent="0.25">
      <c r="A151" s="13"/>
      <c r="B151" s="23"/>
      <c r="C151" s="202"/>
    </row>
    <row r="152" spans="1:16" x14ac:dyDescent="0.25">
      <c r="A152" s="13"/>
      <c r="B152" s="23"/>
      <c r="C152" s="202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</row>
    <row r="153" spans="1:16" x14ac:dyDescent="0.25">
      <c r="A153" s="13"/>
      <c r="B153" s="23"/>
      <c r="C153" s="202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</row>
    <row r="154" spans="1:16" x14ac:dyDescent="0.25">
      <c r="A154" s="200"/>
      <c r="B154" s="20"/>
      <c r="C154" s="202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1:16" x14ac:dyDescent="0.25">
      <c r="A155" s="13"/>
      <c r="B155" s="23"/>
    </row>
    <row r="156" spans="1:16" x14ac:dyDescent="0.25">
      <c r="A156" s="13"/>
      <c r="B156" s="23"/>
    </row>
    <row r="157" spans="1:16" x14ac:dyDescent="0.25">
      <c r="A157" s="13"/>
      <c r="B157" s="23"/>
    </row>
    <row r="158" spans="1:16" x14ac:dyDescent="0.25">
      <c r="A158" s="13"/>
      <c r="B158" s="23"/>
    </row>
    <row r="159" spans="1:16" x14ac:dyDescent="0.25">
      <c r="A159" s="13"/>
      <c r="B159" s="23"/>
    </row>
    <row r="160" spans="1:16" x14ac:dyDescent="0.25">
      <c r="A160" s="13"/>
      <c r="B160" s="23"/>
    </row>
    <row r="161" spans="1:17" x14ac:dyDescent="0.25">
      <c r="A161" s="13"/>
      <c r="B161" s="13"/>
    </row>
    <row r="162" spans="1:17" ht="13" x14ac:dyDescent="0.3">
      <c r="A162" s="13"/>
      <c r="B162" s="187"/>
      <c r="C162" s="188"/>
      <c r="D162" s="188"/>
      <c r="E162" s="188"/>
      <c r="F162" s="188"/>
      <c r="G162" s="188"/>
      <c r="H162" s="187"/>
      <c r="I162" s="188"/>
    </row>
    <row r="163" spans="1:17" x14ac:dyDescent="0.25">
      <c r="A163" s="13"/>
      <c r="B163" s="188"/>
      <c r="C163" s="188"/>
      <c r="D163" s="188"/>
      <c r="E163" s="188"/>
      <c r="F163" s="188"/>
      <c r="G163" s="188"/>
      <c r="H163" s="188"/>
      <c r="I163" s="188"/>
    </row>
    <row r="164" spans="1:17" x14ac:dyDescent="0.25">
      <c r="A164" s="13"/>
      <c r="B164" s="188"/>
      <c r="C164" s="188"/>
      <c r="D164" s="188"/>
      <c r="E164" s="188"/>
      <c r="F164" s="188"/>
      <c r="G164" s="188"/>
      <c r="H164" s="188"/>
      <c r="I164" s="188"/>
    </row>
    <row r="165" spans="1:17" ht="13" x14ac:dyDescent="0.3">
      <c r="B165" s="186"/>
      <c r="C165" s="188"/>
      <c r="D165" s="188"/>
      <c r="E165" s="188"/>
      <c r="F165" s="188"/>
      <c r="G165" s="188"/>
      <c r="H165" s="186"/>
      <c r="I165" s="188"/>
    </row>
    <row r="166" spans="1:17" x14ac:dyDescent="0.25">
      <c r="B166" s="188"/>
      <c r="C166" s="188"/>
      <c r="D166" s="188"/>
      <c r="E166" s="188"/>
      <c r="F166" s="188"/>
      <c r="G166" s="188"/>
      <c r="H166" s="188"/>
      <c r="I166" s="188"/>
    </row>
    <row r="167" spans="1:17" x14ac:dyDescent="0.25">
      <c r="B167" s="188"/>
      <c r="C167" s="188"/>
      <c r="D167" s="188"/>
      <c r="E167" s="188"/>
      <c r="F167" s="188"/>
      <c r="G167" s="188"/>
      <c r="H167" s="188"/>
      <c r="I167" s="188"/>
    </row>
    <row r="168" spans="1:17" x14ac:dyDescent="0.25">
      <c r="B168" s="188"/>
      <c r="C168" s="188"/>
      <c r="F168" s="188"/>
      <c r="G168" s="188"/>
      <c r="H168" s="188"/>
    </row>
    <row r="169" spans="1:17" x14ac:dyDescent="0.25">
      <c r="B169" s="206"/>
      <c r="C169" s="188"/>
      <c r="D169" s="188"/>
      <c r="E169" s="188"/>
      <c r="F169" s="188"/>
      <c r="G169" s="188"/>
      <c r="H169" s="206"/>
      <c r="I169" s="188"/>
    </row>
    <row r="170" spans="1:17" x14ac:dyDescent="0.25">
      <c r="B170" s="188"/>
      <c r="C170" s="188"/>
      <c r="D170" s="188"/>
      <c r="E170" s="188"/>
      <c r="F170" s="188"/>
      <c r="G170" s="188"/>
      <c r="H170" s="188"/>
      <c r="I170" s="188"/>
    </row>
    <row r="171" spans="1:17" x14ac:dyDescent="0.25">
      <c r="A171" s="206"/>
      <c r="B171" s="206"/>
      <c r="C171" s="188"/>
      <c r="D171" s="188"/>
      <c r="E171" s="188"/>
      <c r="F171" s="188"/>
      <c r="G171" s="188"/>
      <c r="H171" s="188"/>
      <c r="I171" s="188"/>
    </row>
    <row r="172" spans="1:17" x14ac:dyDescent="0.25">
      <c r="C172" s="5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x14ac:dyDescent="0.25">
      <c r="A173" s="5"/>
      <c r="B173" s="5"/>
      <c r="C173" s="5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x14ac:dyDescent="0.25">
      <c r="A174" s="13"/>
      <c r="B174" s="23"/>
      <c r="C174" s="13"/>
    </row>
    <row r="175" spans="1:17" x14ac:dyDescent="0.25">
      <c r="A175" s="13"/>
      <c r="B175" s="23"/>
      <c r="C175" s="23"/>
    </row>
    <row r="176" spans="1:17" x14ac:dyDescent="0.25">
      <c r="A176" s="13"/>
      <c r="B176" s="23"/>
      <c r="C176" s="23"/>
    </row>
    <row r="177" spans="1:9" x14ac:dyDescent="0.25">
      <c r="A177" s="13"/>
      <c r="B177" s="23"/>
      <c r="C177" s="23"/>
    </row>
    <row r="178" spans="1:9" x14ac:dyDescent="0.25">
      <c r="A178" s="13"/>
      <c r="B178" s="23"/>
      <c r="C178" s="23"/>
    </row>
    <row r="179" spans="1:9" x14ac:dyDescent="0.25">
      <c r="A179" s="13"/>
      <c r="B179" s="23"/>
      <c r="C179" s="23"/>
    </row>
    <row r="180" spans="1:9" x14ac:dyDescent="0.25">
      <c r="A180" s="13"/>
      <c r="B180" s="23"/>
      <c r="C180" s="13"/>
    </row>
    <row r="181" spans="1:9" x14ac:dyDescent="0.25">
      <c r="A181" s="13"/>
      <c r="B181" s="23"/>
      <c r="C181" s="13"/>
    </row>
    <row r="182" spans="1:9" x14ac:dyDescent="0.25">
      <c r="A182" s="13"/>
      <c r="B182" s="23"/>
      <c r="C182" s="13"/>
    </row>
    <row r="183" spans="1:9" x14ac:dyDescent="0.25">
      <c r="A183" s="13"/>
      <c r="B183" s="23"/>
      <c r="C183" s="13"/>
    </row>
    <row r="184" spans="1:9" x14ac:dyDescent="0.25">
      <c r="A184" s="13"/>
      <c r="B184" s="23"/>
    </row>
    <row r="185" spans="1:9" x14ac:dyDescent="0.25">
      <c r="A185" s="13"/>
      <c r="B185" s="23"/>
      <c r="C185" s="13"/>
    </row>
    <row r="186" spans="1:9" x14ac:dyDescent="0.25">
      <c r="A186" s="13"/>
      <c r="B186" s="23"/>
      <c r="C186" s="13"/>
    </row>
    <row r="187" spans="1:9" x14ac:dyDescent="0.25">
      <c r="A187" s="13"/>
      <c r="B187" s="23"/>
      <c r="C187" s="13"/>
      <c r="E187" s="201"/>
      <c r="F187" s="201"/>
      <c r="G187" s="201"/>
      <c r="H187" s="201"/>
      <c r="I187" s="201"/>
    </row>
    <row r="188" spans="1:9" x14ac:dyDescent="0.25">
      <c r="A188" s="13"/>
      <c r="B188" s="23"/>
      <c r="C188" s="23"/>
    </row>
    <row r="189" spans="1:9" x14ac:dyDescent="0.25">
      <c r="A189" s="13"/>
      <c r="B189" s="23"/>
      <c r="C189" s="23"/>
    </row>
    <row r="190" spans="1:9" x14ac:dyDescent="0.25">
      <c r="A190" s="13"/>
      <c r="B190" s="23"/>
      <c r="C190" s="13"/>
      <c r="E190" s="201"/>
      <c r="F190" s="201"/>
      <c r="G190" s="201"/>
      <c r="H190" s="201"/>
      <c r="I190" s="201"/>
    </row>
    <row r="191" spans="1:9" x14ac:dyDescent="0.25">
      <c r="A191" s="13"/>
      <c r="B191" s="23"/>
      <c r="C191" s="13"/>
    </row>
    <row r="192" spans="1:9" x14ac:dyDescent="0.25">
      <c r="A192" s="13"/>
      <c r="B192" s="23"/>
      <c r="C192" s="23"/>
    </row>
    <row r="193" spans="1:16" x14ac:dyDescent="0.25">
      <c r="A193" s="13"/>
      <c r="B193" s="23"/>
      <c r="C193" s="23"/>
    </row>
    <row r="194" spans="1:16" x14ac:dyDescent="0.25">
      <c r="A194" s="13"/>
      <c r="B194" s="23"/>
      <c r="C194" s="23"/>
    </row>
    <row r="195" spans="1:16" x14ac:dyDescent="0.25">
      <c r="A195" s="13"/>
      <c r="B195" s="23"/>
      <c r="C195" s="23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</row>
    <row r="196" spans="1:16" x14ac:dyDescent="0.25">
      <c r="A196" s="13"/>
      <c r="B196" s="23"/>
      <c r="C196" s="23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</row>
    <row r="197" spans="1:16" x14ac:dyDescent="0.25">
      <c r="A197" s="13"/>
      <c r="B197" s="23"/>
      <c r="C197" s="13"/>
      <c r="E197" s="202"/>
      <c r="F197" s="202"/>
      <c r="G197" s="202"/>
      <c r="H197" s="202"/>
      <c r="I197" s="202"/>
    </row>
    <row r="198" spans="1:16" x14ac:dyDescent="0.25">
      <c r="A198" s="13"/>
      <c r="C198" s="13"/>
    </row>
    <row r="199" spans="1:16" x14ac:dyDescent="0.25">
      <c r="A199" s="13"/>
      <c r="C199" s="23"/>
    </row>
    <row r="200" spans="1:16" x14ac:dyDescent="0.25">
      <c r="A200" s="13"/>
      <c r="C200" s="23"/>
    </row>
    <row r="201" spans="1:16" x14ac:dyDescent="0.25">
      <c r="A201" s="13"/>
      <c r="B201" s="23"/>
      <c r="C201" s="13"/>
    </row>
    <row r="202" spans="1:16" x14ac:dyDescent="0.25">
      <c r="A202" s="13"/>
      <c r="B202" s="23"/>
      <c r="C202" s="1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</row>
    <row r="203" spans="1:16" x14ac:dyDescent="0.25">
      <c r="A203" s="13"/>
      <c r="B203" s="23"/>
      <c r="C203" s="1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</row>
    <row r="204" spans="1:16" x14ac:dyDescent="0.25">
      <c r="A204" s="13"/>
      <c r="B204" s="23"/>
      <c r="C204" s="1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</row>
    <row r="205" spans="1:16" x14ac:dyDescent="0.25">
      <c r="A205" s="13"/>
      <c r="B205" s="23"/>
      <c r="C205" s="13"/>
    </row>
    <row r="206" spans="1:16" x14ac:dyDescent="0.25">
      <c r="A206" s="13"/>
      <c r="B206" s="23"/>
      <c r="C206" s="13"/>
    </row>
    <row r="207" spans="1:16" x14ac:dyDescent="0.25">
      <c r="A207" s="13"/>
      <c r="B207" s="23"/>
      <c r="C207" s="13"/>
    </row>
    <row r="208" spans="1:16" x14ac:dyDescent="0.25">
      <c r="A208" s="13"/>
      <c r="B208" s="23"/>
      <c r="C208" s="13"/>
    </row>
    <row r="209" spans="1:17" x14ac:dyDescent="0.25">
      <c r="A209" s="13"/>
      <c r="B209" s="23"/>
    </row>
    <row r="210" spans="1:17" x14ac:dyDescent="0.25">
      <c r="A210" s="13"/>
      <c r="B210" s="23"/>
    </row>
    <row r="211" spans="1:17" x14ac:dyDescent="0.25">
      <c r="A211" s="13"/>
      <c r="B211" s="23"/>
    </row>
    <row r="212" spans="1:17" ht="13" x14ac:dyDescent="0.3">
      <c r="B212" s="187"/>
      <c r="C212" s="188"/>
      <c r="D212" s="188"/>
      <c r="E212" s="188"/>
      <c r="F212" s="188"/>
      <c r="G212" s="188"/>
      <c r="H212" s="187"/>
      <c r="I212" s="188"/>
    </row>
    <row r="213" spans="1:17" x14ac:dyDescent="0.25">
      <c r="B213" s="188"/>
      <c r="C213" s="188"/>
      <c r="D213" s="188"/>
      <c r="E213" s="188"/>
      <c r="F213" s="188"/>
      <c r="G213" s="188"/>
      <c r="H213" s="188"/>
      <c r="I213" s="188"/>
    </row>
    <row r="214" spans="1:17" x14ac:dyDescent="0.25">
      <c r="B214" s="188"/>
      <c r="C214" s="188"/>
      <c r="D214" s="188"/>
      <c r="E214" s="188"/>
      <c r="F214" s="188"/>
      <c r="G214" s="188"/>
      <c r="H214" s="188"/>
      <c r="I214" s="188"/>
    </row>
    <row r="215" spans="1:17" ht="13" x14ac:dyDescent="0.3">
      <c r="B215" s="186"/>
      <c r="C215" s="188"/>
      <c r="D215" s="188"/>
      <c r="E215" s="188"/>
      <c r="F215" s="188"/>
      <c r="G215" s="188"/>
      <c r="H215" s="186"/>
      <c r="I215" s="188"/>
    </row>
    <row r="216" spans="1:17" x14ac:dyDescent="0.25">
      <c r="B216" s="188"/>
      <c r="C216" s="188"/>
      <c r="D216" s="188"/>
      <c r="E216" s="188"/>
      <c r="F216" s="188"/>
      <c r="G216" s="188"/>
      <c r="H216" s="188"/>
      <c r="I216" s="188"/>
    </row>
    <row r="217" spans="1:17" x14ac:dyDescent="0.25">
      <c r="B217" s="188"/>
      <c r="C217" s="188"/>
      <c r="D217" s="188"/>
      <c r="E217" s="188"/>
      <c r="F217" s="188"/>
      <c r="G217" s="188"/>
      <c r="H217" s="188"/>
      <c r="I217" s="188"/>
    </row>
    <row r="218" spans="1:17" x14ac:dyDescent="0.25">
      <c r="B218" s="188"/>
      <c r="C218" s="188"/>
      <c r="F218" s="188"/>
      <c r="G218" s="188"/>
      <c r="H218" s="188"/>
    </row>
    <row r="219" spans="1:17" x14ac:dyDescent="0.25">
      <c r="B219" s="206"/>
      <c r="C219" s="188"/>
      <c r="D219" s="188"/>
      <c r="E219" s="188"/>
      <c r="F219" s="188"/>
      <c r="G219" s="188"/>
      <c r="H219" s="206"/>
      <c r="I219" s="188"/>
    </row>
    <row r="220" spans="1:17" x14ac:dyDescent="0.25">
      <c r="B220" s="188"/>
      <c r="C220" s="188"/>
      <c r="D220" s="188"/>
      <c r="E220" s="188"/>
      <c r="F220" s="188"/>
      <c r="G220" s="188"/>
      <c r="H220" s="188"/>
      <c r="I220" s="188"/>
    </row>
    <row r="221" spans="1:17" x14ac:dyDescent="0.25">
      <c r="A221" s="206"/>
      <c r="B221" s="206"/>
      <c r="C221" s="188"/>
      <c r="D221" s="188"/>
      <c r="E221" s="188"/>
      <c r="F221" s="188"/>
      <c r="G221" s="188"/>
      <c r="H221" s="188"/>
      <c r="I221" s="188"/>
    </row>
    <row r="222" spans="1:17" x14ac:dyDescent="0.25">
      <c r="B222" s="2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x14ac:dyDescent="0.25">
      <c r="A223" s="5"/>
      <c r="B223" s="21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x14ac:dyDescent="0.25">
      <c r="A224" s="13"/>
      <c r="B224" s="23"/>
      <c r="C224" s="13"/>
    </row>
    <row r="225" spans="1:9" x14ac:dyDescent="0.25">
      <c r="A225" s="13"/>
      <c r="B225" s="23"/>
      <c r="C225" s="23"/>
    </row>
    <row r="226" spans="1:9" x14ac:dyDescent="0.25">
      <c r="A226" s="13"/>
      <c r="B226" s="23"/>
      <c r="C226" s="23"/>
    </row>
    <row r="227" spans="1:9" x14ac:dyDescent="0.25">
      <c r="A227" s="13"/>
      <c r="B227" s="23"/>
      <c r="C227" s="23"/>
    </row>
    <row r="228" spans="1:9" x14ac:dyDescent="0.25">
      <c r="A228" s="13"/>
      <c r="B228" s="23"/>
      <c r="C228" s="23"/>
    </row>
    <row r="229" spans="1:9" x14ac:dyDescent="0.25">
      <c r="A229" s="13"/>
      <c r="B229" s="23"/>
      <c r="C229" s="23"/>
    </row>
    <row r="230" spans="1:9" x14ac:dyDescent="0.25">
      <c r="A230" s="13"/>
      <c r="B230" s="23"/>
      <c r="C230" s="13"/>
    </row>
    <row r="231" spans="1:9" x14ac:dyDescent="0.25">
      <c r="A231" s="13"/>
      <c r="B231" s="23"/>
      <c r="C231" s="13"/>
    </row>
    <row r="232" spans="1:9" x14ac:dyDescent="0.25">
      <c r="A232" s="13"/>
      <c r="B232" s="23"/>
      <c r="C232" s="13"/>
    </row>
    <row r="233" spans="1:9" x14ac:dyDescent="0.25">
      <c r="A233" s="13"/>
      <c r="B233" s="23"/>
      <c r="C233" s="13"/>
    </row>
    <row r="234" spans="1:9" x14ac:dyDescent="0.25">
      <c r="A234" s="13"/>
      <c r="B234" s="23"/>
    </row>
    <row r="235" spans="1:9" x14ac:dyDescent="0.25">
      <c r="A235" s="13"/>
      <c r="B235" s="23"/>
      <c r="C235" s="23"/>
    </row>
    <row r="236" spans="1:9" x14ac:dyDescent="0.25">
      <c r="A236" s="200"/>
      <c r="B236" s="20"/>
    </row>
    <row r="237" spans="1:9" x14ac:dyDescent="0.25">
      <c r="A237" s="13"/>
      <c r="B237" s="23"/>
      <c r="E237" s="201"/>
      <c r="F237" s="201"/>
      <c r="G237" s="201"/>
      <c r="H237" s="201"/>
      <c r="I237" s="201"/>
    </row>
    <row r="238" spans="1:9" x14ac:dyDescent="0.25">
      <c r="A238" s="200"/>
      <c r="B238" s="23"/>
      <c r="C238" s="23"/>
    </row>
    <row r="239" spans="1:9" x14ac:dyDescent="0.25">
      <c r="A239" s="200"/>
      <c r="B239" s="23"/>
      <c r="C239" s="23"/>
    </row>
    <row r="240" spans="1:9" x14ac:dyDescent="0.25">
      <c r="A240" s="200"/>
      <c r="B240" s="20"/>
      <c r="E240" s="201"/>
      <c r="F240" s="201"/>
      <c r="G240" s="201"/>
      <c r="H240" s="201"/>
      <c r="I240" s="201"/>
    </row>
    <row r="241" spans="1:16" x14ac:dyDescent="0.25">
      <c r="A241" s="13"/>
      <c r="B241" s="23"/>
    </row>
    <row r="242" spans="1:16" x14ac:dyDescent="0.25">
      <c r="A242" s="200"/>
      <c r="B242" s="23"/>
      <c r="C242" s="23"/>
    </row>
    <row r="243" spans="1:16" x14ac:dyDescent="0.25">
      <c r="A243" s="200"/>
      <c r="B243" s="23"/>
      <c r="C243" s="23"/>
    </row>
    <row r="244" spans="1:16" x14ac:dyDescent="0.25">
      <c r="A244" s="200"/>
      <c r="B244" s="23"/>
      <c r="C244" s="23"/>
    </row>
    <row r="245" spans="1:16" x14ac:dyDescent="0.25">
      <c r="A245" s="200"/>
      <c r="B245" s="23"/>
      <c r="C245" s="23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</row>
    <row r="246" spans="1:16" x14ac:dyDescent="0.25">
      <c r="A246" s="200"/>
      <c r="B246" s="23"/>
      <c r="C246" s="23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</row>
    <row r="247" spans="1:16" x14ac:dyDescent="0.25">
      <c r="A247" s="200"/>
      <c r="B247" s="20"/>
      <c r="C247" s="202"/>
      <c r="E247" s="202"/>
      <c r="F247" s="202"/>
      <c r="G247" s="202"/>
      <c r="H247" s="202"/>
      <c r="I247" s="202"/>
    </row>
    <row r="248" spans="1:16" x14ac:dyDescent="0.25">
      <c r="A248" s="13"/>
      <c r="B248" s="23"/>
      <c r="C248" s="202"/>
    </row>
    <row r="249" spans="1:16" x14ac:dyDescent="0.25">
      <c r="A249" s="13"/>
      <c r="B249" s="23"/>
      <c r="C249" s="23"/>
    </row>
    <row r="250" spans="1:16" x14ac:dyDescent="0.25">
      <c r="A250" s="13"/>
      <c r="B250" s="23"/>
      <c r="C250" s="23"/>
    </row>
    <row r="251" spans="1:16" x14ac:dyDescent="0.25">
      <c r="A251" s="13"/>
      <c r="B251" s="23"/>
      <c r="C251" s="202"/>
    </row>
    <row r="252" spans="1:16" x14ac:dyDescent="0.25">
      <c r="A252" s="13"/>
      <c r="B252" s="23"/>
      <c r="C252" s="202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</row>
    <row r="253" spans="1:16" x14ac:dyDescent="0.25">
      <c r="A253" s="13"/>
      <c r="B253" s="23"/>
      <c r="C253" s="202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</row>
    <row r="254" spans="1:16" x14ac:dyDescent="0.25">
      <c r="A254" s="200"/>
      <c r="B254" s="20"/>
      <c r="C254" s="202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</row>
    <row r="255" spans="1:16" x14ac:dyDescent="0.25">
      <c r="A255" s="13"/>
      <c r="B255" s="23"/>
    </row>
    <row r="256" spans="1:16" x14ac:dyDescent="0.25">
      <c r="A256" s="13"/>
      <c r="B256" s="23"/>
    </row>
    <row r="257" spans="1:2" x14ac:dyDescent="0.25">
      <c r="A257" s="13"/>
      <c r="B257" s="23"/>
    </row>
    <row r="258" spans="1:2" x14ac:dyDescent="0.25">
      <c r="A258" s="13"/>
      <c r="B258" s="23"/>
    </row>
    <row r="259" spans="1:2" x14ac:dyDescent="0.25">
      <c r="A259" s="13"/>
      <c r="B259" s="23"/>
    </row>
    <row r="260" spans="1:2" x14ac:dyDescent="0.25">
      <c r="A260" s="13"/>
      <c r="B260" s="23"/>
    </row>
    <row r="261" spans="1:2" x14ac:dyDescent="0.25">
      <c r="B261" s="23"/>
    </row>
    <row r="262" spans="1:2" x14ac:dyDescent="0.25">
      <c r="B262" s="23"/>
    </row>
    <row r="263" spans="1:2" x14ac:dyDescent="0.25">
      <c r="B263" s="23"/>
    </row>
    <row r="264" spans="1:2" x14ac:dyDescent="0.25">
      <c r="B264" s="23"/>
    </row>
    <row r="265" spans="1:2" x14ac:dyDescent="0.25">
      <c r="B265" s="23"/>
    </row>
    <row r="266" spans="1:2" x14ac:dyDescent="0.25">
      <c r="B266" s="23"/>
    </row>
    <row r="267" spans="1:2" x14ac:dyDescent="0.25">
      <c r="B267" s="23"/>
    </row>
    <row r="268" spans="1:2" x14ac:dyDescent="0.25">
      <c r="B268" s="23"/>
    </row>
    <row r="269" spans="1:2" x14ac:dyDescent="0.25">
      <c r="B269" s="23"/>
    </row>
    <row r="270" spans="1:2" x14ac:dyDescent="0.25">
      <c r="B270" s="23"/>
    </row>
    <row r="271" spans="1:2" x14ac:dyDescent="0.25">
      <c r="B271" s="23"/>
    </row>
    <row r="272" spans="1:2" x14ac:dyDescent="0.25">
      <c r="B272" s="23"/>
    </row>
    <row r="273" spans="2:2" x14ac:dyDescent="0.25">
      <c r="B273" s="23"/>
    </row>
    <row r="274" spans="2:2" x14ac:dyDescent="0.25">
      <c r="B274" s="23"/>
    </row>
    <row r="275" spans="2:2" x14ac:dyDescent="0.25">
      <c r="B275" s="23"/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3" manualBreakCount="3">
    <brk id="111" max="16" man="1"/>
    <brk id="160" max="16" man="1"/>
    <brk id="20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3AA8-6D3A-4D36-9C74-05CEF65DD64F}">
  <sheetPr transitionEvaluation="1" transitionEntry="1"/>
  <dimension ref="A1:AJ2077"/>
  <sheetViews>
    <sheetView showGridLines="0" defaultGridColor="0" view="pageBreakPreview" colorId="8" zoomScale="85" zoomScaleNormal="100" zoomScaleSheetLayoutView="85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3.58203125" style="1" customWidth="1"/>
    <col min="4" max="4" width="14.08203125" style="1" customWidth="1"/>
    <col min="5" max="5" width="11.25" style="1" customWidth="1"/>
    <col min="6" max="6" width="10.33203125" style="1" customWidth="1"/>
    <col min="7" max="7" width="10.25" style="1" customWidth="1"/>
    <col min="8" max="8" width="10.83203125" style="1" customWidth="1"/>
    <col min="9" max="9" width="10.5" style="1" customWidth="1"/>
    <col min="10" max="10" width="12.5" style="1" customWidth="1"/>
    <col min="11" max="11" width="11.5" style="1" customWidth="1"/>
    <col min="12" max="12" width="11.75" style="1" customWidth="1"/>
    <col min="13" max="13" width="11.08203125" style="1" bestFit="1" customWidth="1"/>
    <col min="14" max="14" width="10.5" style="1" customWidth="1"/>
    <col min="15" max="15" width="10.58203125" style="1" customWidth="1"/>
    <col min="16" max="16" width="10.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7.75" style="1" bestFit="1" customWidth="1"/>
    <col min="21" max="21" width="12.33203125" style="1" bestFit="1" customWidth="1"/>
    <col min="22" max="22" width="10.58203125" style="1" bestFit="1" customWidth="1"/>
    <col min="23" max="23" width="12.25" style="1" bestFit="1" customWidth="1"/>
    <col min="24" max="24" width="12.08203125" style="1" bestFit="1" customWidth="1"/>
    <col min="25" max="36" width="11" style="1" bestFit="1" customWidth="1"/>
    <col min="37" max="16384" width="11.58203125" style="1"/>
  </cols>
  <sheetData>
    <row r="1" spans="1:24" ht="13" x14ac:dyDescent="0.3">
      <c r="Q1" s="2"/>
    </row>
    <row r="2" spans="1:24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5</v>
      </c>
    </row>
    <row r="3" spans="1:24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4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4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4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4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W7" s="24"/>
      <c r="X7" s="24"/>
    </row>
    <row r="8" spans="1:24" x14ac:dyDescent="0.25">
      <c r="A8" s="211" t="s">
        <v>319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4" hidden="1" x14ac:dyDescent="0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24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4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4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4" ht="13" thickBot="1" x14ac:dyDescent="0.3">
      <c r="A13" s="195" t="s">
        <v>126</v>
      </c>
      <c r="B13" s="219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4" x14ac:dyDescent="0.25">
      <c r="A14" s="13">
        <v>1</v>
      </c>
      <c r="B14" s="23" t="s">
        <v>261</v>
      </c>
      <c r="C14" s="13"/>
    </row>
    <row r="15" spans="1:24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  <c r="U15" s="13"/>
      <c r="V15" s="13"/>
    </row>
    <row r="16" spans="1:24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  <c r="U16" s="5"/>
      <c r="V16" s="5"/>
    </row>
    <row r="17" spans="1:36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6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6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6" x14ac:dyDescent="0.25">
      <c r="A20" s="13"/>
      <c r="B20" s="23" t="s">
        <v>313</v>
      </c>
      <c r="C20" s="23" t="s">
        <v>320</v>
      </c>
      <c r="E20" s="1">
        <v>-29.13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-29.13</v>
      </c>
    </row>
    <row r="21" spans="1:36" x14ac:dyDescent="0.25">
      <c r="A21" s="13">
        <v>2</v>
      </c>
      <c r="B21" s="23" t="s">
        <v>272</v>
      </c>
      <c r="C21" s="13"/>
      <c r="D21" s="1">
        <v>4712782.9400000004</v>
      </c>
      <c r="E21" s="27">
        <f>D21+E16-E17+E19</f>
        <v>4712782.9400000004</v>
      </c>
      <c r="F21" s="1">
        <f t="shared" ref="F21:L21" si="1">E21+F16-F17</f>
        <v>4712782.9400000004</v>
      </c>
      <c r="G21" s="1">
        <f t="shared" si="1"/>
        <v>4712782.9400000004</v>
      </c>
      <c r="H21" s="1">
        <f t="shared" si="1"/>
        <v>4712782.9400000004</v>
      </c>
      <c r="I21" s="1">
        <f t="shared" si="1"/>
        <v>4712782.9400000004</v>
      </c>
      <c r="J21" s="1">
        <f t="shared" si="1"/>
        <v>4712782.9400000004</v>
      </c>
      <c r="K21" s="1">
        <f t="shared" si="1"/>
        <v>4712782.9400000004</v>
      </c>
      <c r="L21" s="1">
        <f t="shared" si="1"/>
        <v>4712782.9400000004</v>
      </c>
      <c r="M21" s="1">
        <f>L21+M16-M17</f>
        <v>4712782.9400000004</v>
      </c>
      <c r="N21" s="1">
        <f>M21+N16-N17</f>
        <v>4712782.9400000004</v>
      </c>
      <c r="O21" s="1">
        <f>N21+O16-O17</f>
        <v>4712782.9400000004</v>
      </c>
      <c r="P21" s="1">
        <f>O21+P16-P17</f>
        <v>4712782.9400000004</v>
      </c>
      <c r="X21" s="1">
        <f>SUM(Y21:AJ21)</f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1:36" x14ac:dyDescent="0.25">
      <c r="A22" s="13">
        <v>3</v>
      </c>
      <c r="B22" s="23" t="s">
        <v>273</v>
      </c>
      <c r="C22" s="13"/>
      <c r="D22" s="21">
        <v>266589.64657877607</v>
      </c>
      <c r="E22" s="27">
        <f>D22-E33-E34-E35+E17+E18+E20</f>
        <v>251343.90528166393</v>
      </c>
      <c r="F22" s="1">
        <f t="shared" ref="F22:P22" si="2">E22-F33-F34-F35+F17+F18-F19</f>
        <v>236127.2939845518</v>
      </c>
      <c r="G22" s="1">
        <f t="shared" si="2"/>
        <v>220910.68268743966</v>
      </c>
      <c r="H22" s="1">
        <f t="shared" si="2"/>
        <v>205694.07139032753</v>
      </c>
      <c r="I22" s="1">
        <f t="shared" si="2"/>
        <v>190477.4600932154</v>
      </c>
      <c r="J22" s="1">
        <f t="shared" si="2"/>
        <v>175260.84252110327</v>
      </c>
      <c r="K22" s="1">
        <f t="shared" si="2"/>
        <v>160044.22494899115</v>
      </c>
      <c r="L22" s="1">
        <f t="shared" si="2"/>
        <v>144827.60737687902</v>
      </c>
      <c r="M22" s="1">
        <f t="shared" si="2"/>
        <v>129610.9898047669</v>
      </c>
      <c r="N22" s="1">
        <f t="shared" si="2"/>
        <v>114394.37223265477</v>
      </c>
      <c r="O22" s="1">
        <f t="shared" si="2"/>
        <v>99177.754660542647</v>
      </c>
      <c r="P22" s="1">
        <f t="shared" si="2"/>
        <v>83961.137088430522</v>
      </c>
      <c r="X22" s="1">
        <f>SUM(Y22:AJ22)</f>
        <v>5.2386894822120667E-10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1.1641532182693481E-10</v>
      </c>
      <c r="AH22" s="1">
        <v>1.1641532182693481E-10</v>
      </c>
      <c r="AI22" s="1">
        <v>1.1641532182693481E-10</v>
      </c>
      <c r="AJ22" s="1">
        <v>1.7462298274040222E-10</v>
      </c>
    </row>
    <row r="23" spans="1:36" x14ac:dyDescent="0.25">
      <c r="A23" s="13">
        <v>4</v>
      </c>
      <c r="B23" s="23" t="s">
        <v>274</v>
      </c>
      <c r="C23" s="13"/>
      <c r="D23" s="199">
        <v>2.7755575615628914E-17</v>
      </c>
      <c r="E23" s="199">
        <f t="shared" ref="E23:P23" si="3">D23+E15-E16</f>
        <v>2.7755575615628914E-17</v>
      </c>
      <c r="F23" s="199">
        <f t="shared" si="3"/>
        <v>2.7755575615628914E-17</v>
      </c>
      <c r="G23" s="199">
        <f t="shared" si="3"/>
        <v>2.7755575615628914E-17</v>
      </c>
      <c r="H23" s="199">
        <f t="shared" si="3"/>
        <v>2.7755575615628914E-17</v>
      </c>
      <c r="I23" s="199">
        <f t="shared" si="3"/>
        <v>2.7755575615628914E-17</v>
      </c>
      <c r="J23" s="199">
        <f t="shared" si="3"/>
        <v>2.7755575615628914E-17</v>
      </c>
      <c r="K23" s="199">
        <f t="shared" si="3"/>
        <v>2.7755575615628914E-17</v>
      </c>
      <c r="L23" s="199">
        <f t="shared" si="3"/>
        <v>2.7755575615628914E-17</v>
      </c>
      <c r="M23" s="199">
        <f t="shared" si="3"/>
        <v>2.7755575615628914E-17</v>
      </c>
      <c r="N23" s="199">
        <f t="shared" si="3"/>
        <v>2.7755575615628914E-17</v>
      </c>
      <c r="O23" s="199">
        <f t="shared" si="3"/>
        <v>2.7755575615628914E-17</v>
      </c>
      <c r="P23" s="199">
        <f t="shared" si="3"/>
        <v>2.7755575615628914E-17</v>
      </c>
      <c r="X23" s="1">
        <f>SUM(Y23:AJ23)</f>
        <v>-3.3306690738754696E-16</v>
      </c>
      <c r="Y23" s="1">
        <v>-2.7755575615628914E-17</v>
      </c>
      <c r="Z23" s="1">
        <v>-2.7755575615628914E-17</v>
      </c>
      <c r="AA23" s="1">
        <v>-2.7755575615628914E-17</v>
      </c>
      <c r="AB23" s="1">
        <v>-2.7755575615628914E-17</v>
      </c>
      <c r="AC23" s="1">
        <v>-2.7755575615628914E-17</v>
      </c>
      <c r="AD23" s="1">
        <v>-2.7755575615628914E-17</v>
      </c>
      <c r="AE23" s="1">
        <v>-2.7755575615628914E-17</v>
      </c>
      <c r="AF23" s="1">
        <v>-2.7755575615628914E-17</v>
      </c>
      <c r="AG23" s="1">
        <v>-2.7755575615628914E-17</v>
      </c>
      <c r="AH23" s="1">
        <v>-2.7755575615628914E-17</v>
      </c>
      <c r="AI23" s="1">
        <v>-2.7755575615628914E-17</v>
      </c>
      <c r="AJ23" s="1">
        <v>-2.7755575615628914E-17</v>
      </c>
    </row>
    <row r="24" spans="1:36" x14ac:dyDescent="0.25">
      <c r="A24" s="13">
        <v>5</v>
      </c>
      <c r="B24" s="23" t="s">
        <v>275</v>
      </c>
      <c r="C24" s="13"/>
      <c r="D24" s="199">
        <f t="shared" ref="D24:J24" si="4">SUM(D21:D23)</f>
        <v>4979372.5865787761</v>
      </c>
      <c r="E24" s="199">
        <f t="shared" si="4"/>
        <v>4964126.8452816643</v>
      </c>
      <c r="F24" s="199">
        <f t="shared" si="4"/>
        <v>4948910.2339845523</v>
      </c>
      <c r="G24" s="199">
        <f t="shared" si="4"/>
        <v>4933693.6226874404</v>
      </c>
      <c r="H24" s="199">
        <f t="shared" si="4"/>
        <v>4918477.0113903284</v>
      </c>
      <c r="I24" s="199">
        <f t="shared" si="4"/>
        <v>4903260.4000932155</v>
      </c>
      <c r="J24" s="199">
        <f t="shared" si="4"/>
        <v>4888043.7825211035</v>
      </c>
      <c r="K24" s="199">
        <f>ROUND(SUM(K21:K23),2)</f>
        <v>4872827.16</v>
      </c>
      <c r="L24" s="199">
        <f>SUM(L21:L23)</f>
        <v>4857610.5473768795</v>
      </c>
      <c r="M24" s="199">
        <f>SUM(M21:M23)</f>
        <v>4842393.9298047675</v>
      </c>
      <c r="N24" s="199">
        <f>SUM(N21:N23)</f>
        <v>4827177.3122326555</v>
      </c>
      <c r="O24" s="199">
        <f>SUM(O21:O23)</f>
        <v>4811960.6946605435</v>
      </c>
      <c r="P24" s="199">
        <f>SUM(P21:P23)</f>
        <v>4796744.0770884305</v>
      </c>
    </row>
    <row r="25" spans="1:36" x14ac:dyDescent="0.25">
      <c r="A25" s="13"/>
      <c r="B25" s="23"/>
    </row>
    <row r="26" spans="1:36" x14ac:dyDescent="0.25">
      <c r="A26" s="13">
        <v>6</v>
      </c>
      <c r="B26" s="23" t="s">
        <v>276</v>
      </c>
      <c r="C26" s="23"/>
      <c r="E26" s="1">
        <f>(D24+E24)/2</f>
        <v>4971749.7159302197</v>
      </c>
      <c r="F26" s="1">
        <f t="shared" ref="F26:P26" si="5">(E24+F24)/2</f>
        <v>4956518.5396331083</v>
      </c>
      <c r="G26" s="1">
        <f t="shared" si="5"/>
        <v>4941301.9283359963</v>
      </c>
      <c r="H26" s="1">
        <f t="shared" si="5"/>
        <v>4926085.3170388844</v>
      </c>
      <c r="I26" s="1">
        <f t="shared" si="5"/>
        <v>4910868.7057417724</v>
      </c>
      <c r="J26" s="1">
        <f t="shared" si="5"/>
        <v>4895652.0913071595</v>
      </c>
      <c r="K26" s="1">
        <f t="shared" si="5"/>
        <v>4880435.4712605514</v>
      </c>
      <c r="L26" s="1">
        <f t="shared" si="5"/>
        <v>4865218.8536884394</v>
      </c>
      <c r="M26" s="1">
        <f t="shared" si="5"/>
        <v>4850002.2385908235</v>
      </c>
      <c r="N26" s="1">
        <f t="shared" si="5"/>
        <v>4834785.6210187115</v>
      </c>
      <c r="O26" s="1">
        <f t="shared" si="5"/>
        <v>4819569.0034465995</v>
      </c>
      <c r="P26" s="1">
        <f t="shared" si="5"/>
        <v>4804352.3858744875</v>
      </c>
    </row>
    <row r="27" spans="1:36" x14ac:dyDescent="0.25">
      <c r="A27" s="200"/>
      <c r="B27" s="20"/>
    </row>
    <row r="28" spans="1:36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6" x14ac:dyDescent="0.25">
      <c r="A29" s="200"/>
      <c r="B29" s="23" t="s">
        <v>262</v>
      </c>
      <c r="C29" s="23" t="s">
        <v>278</v>
      </c>
      <c r="E29" s="1">
        <v>22889.935692142728</v>
      </c>
      <c r="F29" s="1">
        <v>22819.811356470829</v>
      </c>
      <c r="G29" s="1">
        <v>22749.754078058926</v>
      </c>
      <c r="H29" s="1">
        <v>22679.696799647023</v>
      </c>
      <c r="I29" s="1">
        <v>22609.63952123512</v>
      </c>
      <c r="J29" s="1">
        <v>22539.58222837816</v>
      </c>
      <c r="K29" s="1">
        <v>23372.405471866779</v>
      </c>
      <c r="L29" s="1">
        <v>23299.533090313937</v>
      </c>
      <c r="M29" s="1">
        <v>23226.660720611453</v>
      </c>
      <c r="N29" s="1">
        <v>23153.78833905861</v>
      </c>
      <c r="O29" s="1">
        <v>23080.915957505764</v>
      </c>
      <c r="P29" s="1">
        <v>23008.043575952921</v>
      </c>
      <c r="Q29" s="1">
        <f>SUM(E29:P29)</f>
        <v>275429.76683124225</v>
      </c>
    </row>
    <row r="30" spans="1:36" x14ac:dyDescent="0.25">
      <c r="A30" s="200"/>
      <c r="B30" s="23" t="s">
        <v>264</v>
      </c>
      <c r="C30" s="23" t="s">
        <v>279</v>
      </c>
      <c r="E30" s="1">
        <v>5777.1731699109159</v>
      </c>
      <c r="F30" s="1">
        <v>5759.4745430536723</v>
      </c>
      <c r="G30" s="1">
        <v>5741.792840726428</v>
      </c>
      <c r="H30" s="1">
        <v>5724.1111383991838</v>
      </c>
      <c r="I30" s="1">
        <v>5706.4294360719396</v>
      </c>
      <c r="J30" s="1">
        <v>5688.7477300989194</v>
      </c>
      <c r="K30" s="1">
        <v>5119.5768093523184</v>
      </c>
      <c r="L30" s="1">
        <v>5103.6145775191726</v>
      </c>
      <c r="M30" s="1">
        <v>5087.6523482817738</v>
      </c>
      <c r="N30" s="1">
        <v>5071.690116448628</v>
      </c>
      <c r="O30" s="1">
        <v>5055.7278846154832</v>
      </c>
      <c r="P30" s="1">
        <v>5039.7656527823374</v>
      </c>
      <c r="Q30" s="1">
        <f>SUM(E30:P30)</f>
        <v>64875.756247260768</v>
      </c>
    </row>
    <row r="31" spans="1:36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6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15216.611297112118</v>
      </c>
      <c r="F33" s="1">
        <v>15216.611297112118</v>
      </c>
      <c r="G33" s="1">
        <v>15216.611297112118</v>
      </c>
      <c r="H33" s="1">
        <v>15216.611297112118</v>
      </c>
      <c r="I33" s="1">
        <v>15216.611297112118</v>
      </c>
      <c r="J33" s="1">
        <v>15216.617572112118</v>
      </c>
      <c r="K33" s="1">
        <v>15216.617572112118</v>
      </c>
      <c r="L33" s="1">
        <v>15216.617572112118</v>
      </c>
      <c r="M33" s="1">
        <v>15216.617572112118</v>
      </c>
      <c r="N33" s="1">
        <v>15216.617572112118</v>
      </c>
      <c r="O33" s="1">
        <v>15216.617572112118</v>
      </c>
      <c r="P33" s="1">
        <v>15216.617572112118</v>
      </c>
      <c r="Q33" s="1">
        <f>SUM(E33:P33)</f>
        <v>182599.37949034545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871.62927374894957</v>
      </c>
      <c r="F36" s="1">
        <v>871.62927374894957</v>
      </c>
      <c r="G36" s="1">
        <v>871.62927374894957</v>
      </c>
      <c r="H36" s="1">
        <v>871.62927374894957</v>
      </c>
      <c r="I36" s="1">
        <v>871.62927374894957</v>
      </c>
      <c r="J36" s="1">
        <v>871.62927374894957</v>
      </c>
      <c r="K36" s="1">
        <v>871.62927374894957</v>
      </c>
      <c r="L36" s="1">
        <v>871.62927374894957</v>
      </c>
      <c r="M36" s="1">
        <v>871.62927374894957</v>
      </c>
      <c r="N36" s="1">
        <v>871.62927374894957</v>
      </c>
      <c r="O36" s="1">
        <v>871.62927374894957</v>
      </c>
      <c r="P36" s="1">
        <v>871.62927374894957</v>
      </c>
      <c r="Q36" s="1">
        <f>SUM(E36:P36)</f>
        <v>10459.551284987394</v>
      </c>
    </row>
    <row r="37" spans="1:17" x14ac:dyDescent="0.25">
      <c r="A37" s="200"/>
      <c r="B37" s="23" t="s">
        <v>270</v>
      </c>
      <c r="C37" s="23" t="s">
        <v>285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8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44755.349432914714</v>
      </c>
      <c r="F39" s="1">
        <f t="shared" ref="F39:P39" si="6">SUM(F29:F37)</f>
        <v>44667.526470385572</v>
      </c>
      <c r="G39" s="1">
        <f t="shared" si="6"/>
        <v>44579.78748964642</v>
      </c>
      <c r="H39" s="1">
        <f t="shared" si="6"/>
        <v>44492.048508907275</v>
      </c>
      <c r="I39" s="1">
        <f t="shared" si="6"/>
        <v>44404.309528168124</v>
      </c>
      <c r="J39" s="1">
        <f t="shared" si="6"/>
        <v>44316.576804338147</v>
      </c>
      <c r="K39" s="1">
        <f t="shared" si="6"/>
        <v>44580.229127080165</v>
      </c>
      <c r="L39" s="1">
        <f t="shared" si="6"/>
        <v>44491.394513694177</v>
      </c>
      <c r="M39" s="1">
        <f t="shared" si="6"/>
        <v>44402.559914754296</v>
      </c>
      <c r="N39" s="1">
        <f t="shared" si="6"/>
        <v>44313.725301368308</v>
      </c>
      <c r="O39" s="1">
        <f t="shared" si="6"/>
        <v>44224.890687982312</v>
      </c>
      <c r="P39" s="1">
        <f t="shared" si="6"/>
        <v>44136.056074596323</v>
      </c>
      <c r="Q39" s="1">
        <f>SUM(E39:P39)</f>
        <v>533364.45385383582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3442.7191871472855</v>
      </c>
      <c r="F40" s="1">
        <f t="shared" ref="F40:P40" si="7">F39*1/13</f>
        <v>3435.963574645044</v>
      </c>
      <c r="G40" s="1">
        <f t="shared" si="7"/>
        <v>3429.2144222804936</v>
      </c>
      <c r="H40" s="1">
        <f t="shared" si="7"/>
        <v>3422.4652699159442</v>
      </c>
      <c r="I40" s="1">
        <f t="shared" si="7"/>
        <v>3415.7161175513943</v>
      </c>
      <c r="J40" s="1">
        <f t="shared" si="7"/>
        <v>3408.9674464875498</v>
      </c>
      <c r="K40" s="1">
        <f t="shared" si="7"/>
        <v>3429.2483943907819</v>
      </c>
      <c r="L40" s="1">
        <f t="shared" si="7"/>
        <v>3422.4149625918599</v>
      </c>
      <c r="M40" s="1">
        <f t="shared" si="7"/>
        <v>3415.5815319041767</v>
      </c>
      <c r="N40" s="1">
        <f t="shared" si="7"/>
        <v>3408.7481001052543</v>
      </c>
      <c r="O40" s="1">
        <f t="shared" si="7"/>
        <v>3401.9146683063318</v>
      </c>
      <c r="P40" s="1">
        <f t="shared" si="7"/>
        <v>3395.0812365074094</v>
      </c>
      <c r="Q40" s="1">
        <f>SUM(E40:P40)</f>
        <v>41028.034911833522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E39-E40</f>
        <v>41312.630245767432</v>
      </c>
      <c r="F41" s="1">
        <f t="shared" si="8"/>
        <v>41231.562895740528</v>
      </c>
      <c r="G41" s="1">
        <f t="shared" si="8"/>
        <v>41150.573067365927</v>
      </c>
      <c r="H41" s="1">
        <f t="shared" si="8"/>
        <v>41069.583238991334</v>
      </c>
      <c r="I41" s="1">
        <f t="shared" si="8"/>
        <v>40988.593410616726</v>
      </c>
      <c r="J41" s="1">
        <f t="shared" si="8"/>
        <v>40907.609357850597</v>
      </c>
      <c r="K41" s="1">
        <f t="shared" si="8"/>
        <v>41150.980732689386</v>
      </c>
      <c r="L41" s="1">
        <f t="shared" si="8"/>
        <v>41068.979551102319</v>
      </c>
      <c r="M41" s="1">
        <f t="shared" si="8"/>
        <v>40986.978382850117</v>
      </c>
      <c r="N41" s="1">
        <f t="shared" si="8"/>
        <v>40904.977201263056</v>
      </c>
      <c r="O41" s="1">
        <f t="shared" si="8"/>
        <v>40822.976019675982</v>
      </c>
      <c r="P41" s="1">
        <f t="shared" si="8"/>
        <v>40740.974838088914</v>
      </c>
      <c r="Q41" s="1">
        <f>SUM(E41:P41)</f>
        <v>492336.41894200235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3446.8504501718626</v>
      </c>
      <c r="F46" s="1">
        <v>3440.0867309346186</v>
      </c>
      <c r="G46" s="1">
        <v>3433.3294795872307</v>
      </c>
      <c r="H46" s="1">
        <v>3426.5722282398438</v>
      </c>
      <c r="I46" s="1">
        <v>3419.8149768924563</v>
      </c>
      <c r="J46" s="1">
        <v>3413.0582074233353</v>
      </c>
      <c r="K46" s="1">
        <v>3433.363492464051</v>
      </c>
      <c r="L46" s="1">
        <v>3426.5218605469704</v>
      </c>
      <c r="M46" s="1">
        <v>3419.680229742462</v>
      </c>
      <c r="N46" s="1">
        <v>3412.8385978253809</v>
      </c>
      <c r="O46" s="1">
        <v>3405.9969659082999</v>
      </c>
      <c r="P46" s="1">
        <v>3399.1553339912184</v>
      </c>
      <c r="Q46" s="1">
        <f>SUM(E46:P46)</f>
        <v>41077.268553727736</v>
      </c>
    </row>
    <row r="47" spans="1:17" x14ac:dyDescent="0.25">
      <c r="A47" s="13">
        <v>13</v>
      </c>
      <c r="B47" s="23" t="s">
        <v>290</v>
      </c>
      <c r="E47" s="199">
        <f t="shared" ref="E47:P47" si="9">E41*E44</f>
        <v>40170.03443727117</v>
      </c>
      <c r="F47" s="199">
        <f t="shared" si="9"/>
        <v>40091.209191264163</v>
      </c>
      <c r="G47" s="199">
        <f t="shared" si="9"/>
        <v>40012.459322869865</v>
      </c>
      <c r="H47" s="199">
        <f t="shared" si="9"/>
        <v>39933.709454475582</v>
      </c>
      <c r="I47" s="199">
        <f t="shared" si="9"/>
        <v>39854.959586081277</v>
      </c>
      <c r="J47" s="199">
        <f t="shared" si="9"/>
        <v>39776.215333557717</v>
      </c>
      <c r="K47" s="199">
        <f t="shared" si="9"/>
        <v>40012.855713271179</v>
      </c>
      <c r="L47" s="199">
        <f t="shared" si="9"/>
        <v>39933.12246296362</v>
      </c>
      <c r="M47" s="199">
        <f t="shared" si="9"/>
        <v>39853.389225622115</v>
      </c>
      <c r="N47" s="199">
        <f t="shared" si="9"/>
        <v>39773.655975314563</v>
      </c>
      <c r="O47" s="199">
        <f t="shared" si="9"/>
        <v>39693.922725006996</v>
      </c>
      <c r="P47" s="199">
        <f t="shared" si="9"/>
        <v>39614.189474699437</v>
      </c>
      <c r="Q47" s="199">
        <f>SUM(E47:P47)</f>
        <v>478719.72290239768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43616.884887443033</v>
      </c>
      <c r="F48" s="204">
        <f t="shared" si="10"/>
        <v>43531.295922198784</v>
      </c>
      <c r="G48" s="204">
        <f t="shared" si="10"/>
        <v>43445.788802457093</v>
      </c>
      <c r="H48" s="204">
        <f t="shared" si="10"/>
        <v>43360.281682715424</v>
      </c>
      <c r="I48" s="204">
        <f t="shared" si="10"/>
        <v>43274.774562973733</v>
      </c>
      <c r="J48" s="204">
        <f t="shared" si="10"/>
        <v>43189.273540981056</v>
      </c>
      <c r="K48" s="204">
        <f t="shared" si="10"/>
        <v>43446.219205735229</v>
      </c>
      <c r="L48" s="204">
        <f t="shared" si="10"/>
        <v>43359.644323510591</v>
      </c>
      <c r="M48" s="204">
        <f t="shared" si="10"/>
        <v>43273.069455364574</v>
      </c>
      <c r="N48" s="204">
        <f t="shared" si="10"/>
        <v>43186.494573139942</v>
      </c>
      <c r="O48" s="204">
        <f t="shared" si="10"/>
        <v>43099.919690915296</v>
      </c>
      <c r="P48" s="204">
        <f t="shared" si="10"/>
        <v>43013.344808690657</v>
      </c>
      <c r="Q48" s="204">
        <f t="shared" si="10"/>
        <v>519796.9914561254</v>
      </c>
    </row>
    <row r="49" spans="1:9" ht="13" thickTop="1" x14ac:dyDescent="0.25">
      <c r="A49" s="200"/>
      <c r="B49" s="20"/>
    </row>
    <row r="50" spans="1:9" x14ac:dyDescent="0.25">
      <c r="A50" s="210" t="s">
        <v>76</v>
      </c>
      <c r="B50" s="23"/>
    </row>
    <row r="51" spans="1:9" x14ac:dyDescent="0.25">
      <c r="A51" s="23" t="s">
        <v>168</v>
      </c>
      <c r="B51" s="23" t="s">
        <v>321</v>
      </c>
    </row>
    <row r="52" spans="1:9" x14ac:dyDescent="0.25">
      <c r="A52" s="23" t="s">
        <v>170</v>
      </c>
      <c r="B52" s="23" t="s">
        <v>293</v>
      </c>
    </row>
    <row r="53" spans="1:9" x14ac:dyDescent="0.25">
      <c r="A53" s="23" t="s">
        <v>255</v>
      </c>
      <c r="B53" s="23" t="s">
        <v>294</v>
      </c>
    </row>
    <row r="54" spans="1:9" x14ac:dyDescent="0.25">
      <c r="A54" s="23" t="s">
        <v>295</v>
      </c>
      <c r="B54" s="23" t="s">
        <v>296</v>
      </c>
    </row>
    <row r="55" spans="1:9" x14ac:dyDescent="0.25">
      <c r="A55" s="23" t="s">
        <v>297</v>
      </c>
      <c r="B55" s="23" t="s">
        <v>298</v>
      </c>
    </row>
    <row r="56" spans="1:9" x14ac:dyDescent="0.25">
      <c r="A56" s="23" t="s">
        <v>299</v>
      </c>
      <c r="B56" s="11" t="s">
        <v>300</v>
      </c>
    </row>
    <row r="57" spans="1:9" x14ac:dyDescent="0.25">
      <c r="A57" s="23" t="s">
        <v>301</v>
      </c>
      <c r="B57" s="23" t="s">
        <v>302</v>
      </c>
    </row>
    <row r="58" spans="1:9" x14ac:dyDescent="0.25">
      <c r="A58" s="23" t="s">
        <v>303</v>
      </c>
      <c r="B58" s="23" t="s">
        <v>304</v>
      </c>
    </row>
    <row r="59" spans="1:9" x14ac:dyDescent="0.25">
      <c r="A59" s="23" t="s">
        <v>305</v>
      </c>
      <c r="B59" s="23" t="s">
        <v>306</v>
      </c>
    </row>
    <row r="60" spans="1:9" x14ac:dyDescent="0.25">
      <c r="A60" s="11" t="s">
        <v>307</v>
      </c>
      <c r="B60" s="23" t="s">
        <v>308</v>
      </c>
    </row>
    <row r="61" spans="1:9" x14ac:dyDescent="0.25">
      <c r="A61" s="11" t="s">
        <v>309</v>
      </c>
      <c r="B61" s="23" t="s">
        <v>310</v>
      </c>
    </row>
    <row r="62" spans="1:9" x14ac:dyDescent="0.25">
      <c r="A62" s="23"/>
      <c r="B62" s="23"/>
    </row>
    <row r="63" spans="1:9" x14ac:dyDescent="0.25">
      <c r="A63" s="23"/>
      <c r="B63" s="23"/>
    </row>
    <row r="64" spans="1:9" ht="13" x14ac:dyDescent="0.3">
      <c r="B64" s="187"/>
      <c r="C64" s="188"/>
      <c r="D64" s="220"/>
      <c r="E64" s="188"/>
      <c r="F64" s="188"/>
      <c r="G64" s="188"/>
      <c r="H64" s="187"/>
      <c r="I64" s="188"/>
    </row>
    <row r="65" spans="1:17" x14ac:dyDescent="0.25">
      <c r="B65" s="188"/>
      <c r="C65" s="188"/>
      <c r="D65" s="220"/>
      <c r="E65" s="188"/>
      <c r="F65" s="188"/>
      <c r="G65" s="188"/>
      <c r="H65" s="188"/>
      <c r="I65" s="188"/>
    </row>
    <row r="66" spans="1:17" x14ac:dyDescent="0.25">
      <c r="B66" s="188"/>
      <c r="C66" s="188"/>
      <c r="D66" s="220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220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19"/>
    </row>
    <row r="71" spans="1:17" x14ac:dyDescent="0.25">
      <c r="A71" s="206"/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B72" s="188"/>
      <c r="C72" s="188"/>
      <c r="D72" s="188"/>
      <c r="E72" s="188"/>
      <c r="F72" s="188"/>
      <c r="G72" s="188"/>
      <c r="H72" s="188"/>
      <c r="I72" s="188"/>
    </row>
    <row r="73" spans="1:17" x14ac:dyDescent="0.25">
      <c r="A73" s="206"/>
      <c r="B73" s="206"/>
      <c r="C73" s="188"/>
      <c r="D73" s="188"/>
      <c r="E73" s="188"/>
      <c r="F73" s="188"/>
      <c r="G73" s="188"/>
      <c r="H73" s="188"/>
      <c r="I73" s="188"/>
    </row>
    <row r="74" spans="1:17" x14ac:dyDescent="0.25">
      <c r="B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5"/>
    </row>
    <row r="75" spans="1:17" x14ac:dyDescent="0.25">
      <c r="A75" s="5"/>
      <c r="B75" s="210"/>
      <c r="C75" s="5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13"/>
      <c r="B76" s="23"/>
      <c r="C76" s="1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</row>
    <row r="87" spans="1:16" x14ac:dyDescent="0.25">
      <c r="A87" s="13"/>
      <c r="B87" s="23"/>
      <c r="C87" s="23"/>
    </row>
    <row r="88" spans="1:16" x14ac:dyDescent="0.25">
      <c r="A88" s="200"/>
      <c r="B88" s="23"/>
    </row>
    <row r="89" spans="1:16" x14ac:dyDescent="0.25">
      <c r="A89" s="13"/>
      <c r="B89" s="23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200"/>
      <c r="B90" s="23"/>
      <c r="C90" s="23"/>
    </row>
    <row r="91" spans="1:16" x14ac:dyDescent="0.25">
      <c r="A91" s="200"/>
      <c r="B91" s="23"/>
      <c r="C91" s="23"/>
    </row>
    <row r="92" spans="1:16" x14ac:dyDescent="0.25">
      <c r="A92" s="200"/>
      <c r="B92" s="23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x14ac:dyDescent="0.25">
      <c r="A93" s="13"/>
      <c r="B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3"/>
      <c r="C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13"/>
      <c r="B100" s="23"/>
      <c r="C100" s="202"/>
    </row>
    <row r="101" spans="1:16" x14ac:dyDescent="0.25">
      <c r="A101" s="13"/>
      <c r="B101" s="23"/>
      <c r="C101" s="23"/>
    </row>
    <row r="102" spans="1:16" x14ac:dyDescent="0.25">
      <c r="A102" s="13"/>
      <c r="B102" s="23"/>
      <c r="C102" s="23"/>
    </row>
    <row r="103" spans="1:16" x14ac:dyDescent="0.25">
      <c r="A103" s="13"/>
      <c r="B103" s="23"/>
      <c r="C103" s="202"/>
    </row>
    <row r="104" spans="1:16" x14ac:dyDescent="0.25">
      <c r="A104" s="13"/>
      <c r="B104" s="23"/>
      <c r="C104" s="202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13"/>
      <c r="B105" s="23"/>
      <c r="C105" s="202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200"/>
      <c r="B106" s="23"/>
      <c r="C106" s="202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200"/>
      <c r="B110" s="23"/>
    </row>
    <row r="111" spans="1:16" x14ac:dyDescent="0.25">
      <c r="A111" s="5"/>
      <c r="B111" s="23"/>
    </row>
    <row r="112" spans="1:16" x14ac:dyDescent="0.25">
      <c r="A112" s="23"/>
      <c r="B112" s="23"/>
    </row>
    <row r="113" spans="1:17" x14ac:dyDescent="0.25">
      <c r="A113" s="23"/>
      <c r="B113" s="23"/>
    </row>
    <row r="114" spans="1:17" x14ac:dyDescent="0.25">
      <c r="A114" s="23"/>
      <c r="B114" s="23"/>
    </row>
    <row r="115" spans="1:17" x14ac:dyDescent="0.25">
      <c r="A115" s="23"/>
      <c r="B115" s="23"/>
    </row>
    <row r="116" spans="1:17" x14ac:dyDescent="0.25">
      <c r="A116" s="23"/>
      <c r="B116" s="23"/>
    </row>
    <row r="117" spans="1:17" ht="13" x14ac:dyDescent="0.3">
      <c r="B117" s="187"/>
      <c r="C117" s="188"/>
      <c r="D117" s="188"/>
      <c r="E117" s="188"/>
      <c r="F117" s="188"/>
      <c r="G117" s="188"/>
      <c r="H117" s="187"/>
      <c r="I117" s="188"/>
    </row>
    <row r="118" spans="1:17" x14ac:dyDescent="0.25">
      <c r="B118" s="188"/>
      <c r="C118" s="188"/>
      <c r="D118" s="188"/>
      <c r="E118" s="188"/>
      <c r="F118" s="188"/>
      <c r="G118" s="188"/>
      <c r="H118" s="188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ht="13" x14ac:dyDescent="0.3">
      <c r="B120" s="186"/>
      <c r="C120" s="188"/>
      <c r="D120" s="188"/>
      <c r="E120" s="188"/>
      <c r="F120" s="188"/>
      <c r="G120" s="188"/>
      <c r="H120" s="186"/>
      <c r="I120" s="188"/>
    </row>
    <row r="121" spans="1:17" x14ac:dyDescent="0.25">
      <c r="B121" s="188"/>
      <c r="C121" s="188"/>
      <c r="D121" s="188"/>
      <c r="E121" s="188"/>
      <c r="F121" s="188"/>
      <c r="G121" s="188"/>
      <c r="H121" s="188"/>
      <c r="I121" s="188"/>
    </row>
    <row r="122" spans="1:17" x14ac:dyDescent="0.25">
      <c r="B122" s="188"/>
      <c r="C122" s="188"/>
      <c r="D122" s="188"/>
      <c r="E122" s="188"/>
      <c r="F122" s="188"/>
      <c r="G122" s="188"/>
      <c r="H122" s="188"/>
      <c r="I122" s="188"/>
    </row>
    <row r="123" spans="1:17" x14ac:dyDescent="0.25">
      <c r="B123" s="188"/>
      <c r="C123" s="188"/>
      <c r="F123" s="188"/>
      <c r="G123" s="188"/>
      <c r="H123" s="188"/>
    </row>
    <row r="124" spans="1:17" x14ac:dyDescent="0.25">
      <c r="A124" s="206"/>
      <c r="B124" s="206"/>
      <c r="C124" s="188"/>
      <c r="D124" s="188"/>
      <c r="E124" s="188"/>
      <c r="F124" s="188"/>
      <c r="G124" s="188"/>
      <c r="H124" s="10"/>
      <c r="I124" s="221"/>
    </row>
    <row r="125" spans="1:17" x14ac:dyDescent="0.25">
      <c r="A125" s="206"/>
      <c r="B125" s="206"/>
      <c r="C125" s="188"/>
      <c r="D125" s="188"/>
      <c r="E125" s="188"/>
      <c r="F125" s="188"/>
      <c r="G125" s="188"/>
      <c r="H125" s="10"/>
      <c r="I125" s="221"/>
    </row>
    <row r="126" spans="1:17" x14ac:dyDescent="0.25">
      <c r="B126" s="188"/>
      <c r="C126" s="188"/>
      <c r="D126" s="188"/>
      <c r="E126" s="188"/>
      <c r="F126" s="188"/>
      <c r="G126" s="188"/>
      <c r="H126" s="188"/>
      <c r="I126" s="188"/>
    </row>
    <row r="127" spans="1:17" x14ac:dyDescent="0.25">
      <c r="A127" s="206"/>
      <c r="B127" s="206"/>
      <c r="C127" s="188"/>
      <c r="D127" s="188"/>
      <c r="E127" s="188"/>
      <c r="F127" s="188"/>
      <c r="G127" s="188"/>
      <c r="H127" s="188"/>
      <c r="I127" s="188"/>
    </row>
    <row r="128" spans="1:17" x14ac:dyDescent="0.25">
      <c r="B128" s="2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x14ac:dyDescent="0.25">
      <c r="A129" s="23"/>
      <c r="B129" s="210"/>
      <c r="C129" s="23"/>
      <c r="D129" s="1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3"/>
    </row>
    <row r="130" spans="1:17" x14ac:dyDescent="0.25">
      <c r="A130" s="23"/>
      <c r="B130" s="23"/>
      <c r="C130" s="23"/>
    </row>
    <row r="131" spans="1:17" x14ac:dyDescent="0.25">
      <c r="A131" s="13"/>
      <c r="B131" s="23"/>
      <c r="C131" s="23"/>
    </row>
    <row r="132" spans="1:17" x14ac:dyDescent="0.25">
      <c r="A132" s="13"/>
      <c r="B132" s="23"/>
      <c r="C132" s="23"/>
    </row>
    <row r="133" spans="1:17" x14ac:dyDescent="0.25">
      <c r="A133" s="13"/>
      <c r="B133" s="23"/>
      <c r="C133" s="23"/>
    </row>
    <row r="134" spans="1:17" x14ac:dyDescent="0.25">
      <c r="A134" s="13"/>
      <c r="B134" s="23"/>
      <c r="C134" s="23"/>
    </row>
    <row r="135" spans="1:17" x14ac:dyDescent="0.25">
      <c r="A135" s="13"/>
      <c r="B135" s="23"/>
      <c r="C135" s="23"/>
    </row>
    <row r="136" spans="1:17" x14ac:dyDescent="0.25">
      <c r="A136" s="23"/>
      <c r="B136" s="23"/>
      <c r="C136" s="23"/>
    </row>
    <row r="137" spans="1:17" x14ac:dyDescent="0.25">
      <c r="A137" s="23"/>
      <c r="B137" s="23"/>
      <c r="C137" s="23"/>
    </row>
    <row r="138" spans="1:17" x14ac:dyDescent="0.25">
      <c r="A138" s="23"/>
      <c r="B138" s="23"/>
      <c r="C138" s="23"/>
    </row>
    <row r="139" spans="1:17" x14ac:dyDescent="0.25">
      <c r="A139" s="23"/>
      <c r="B139" s="23"/>
      <c r="C139" s="23"/>
    </row>
    <row r="140" spans="1:17" x14ac:dyDescent="0.25">
      <c r="A140" s="13"/>
      <c r="B140" s="23"/>
      <c r="C140" s="23"/>
    </row>
    <row r="141" spans="1:17" x14ac:dyDescent="0.25">
      <c r="A141" s="23"/>
      <c r="B141" s="23"/>
      <c r="C141" s="23"/>
    </row>
    <row r="142" spans="1:17" x14ac:dyDescent="0.25">
      <c r="A142" s="200"/>
      <c r="B142" s="20"/>
      <c r="C142" s="23"/>
    </row>
    <row r="143" spans="1:17" x14ac:dyDescent="0.25">
      <c r="A143" s="23"/>
      <c r="B143" s="23"/>
      <c r="C143" s="23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</row>
    <row r="144" spans="1:17" x14ac:dyDescent="0.25">
      <c r="A144" s="200"/>
      <c r="B144" s="23"/>
      <c r="C144" s="23"/>
    </row>
    <row r="145" spans="1:16" x14ac:dyDescent="0.25">
      <c r="A145" s="200"/>
      <c r="B145" s="23"/>
      <c r="C145" s="23"/>
    </row>
    <row r="146" spans="1:16" x14ac:dyDescent="0.25">
      <c r="A146" s="200"/>
      <c r="B146" s="23"/>
      <c r="C146" s="23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</row>
    <row r="147" spans="1:16" x14ac:dyDescent="0.25">
      <c r="A147" s="23"/>
      <c r="B147" s="23"/>
      <c r="C147" s="23"/>
    </row>
    <row r="148" spans="1:16" x14ac:dyDescent="0.25">
      <c r="A148" s="200"/>
      <c r="B148" s="23"/>
      <c r="C148" s="23"/>
    </row>
    <row r="149" spans="1:16" x14ac:dyDescent="0.25">
      <c r="A149" s="200"/>
      <c r="B149" s="23"/>
      <c r="C149" s="23"/>
    </row>
    <row r="150" spans="1:16" x14ac:dyDescent="0.25">
      <c r="A150" s="200"/>
      <c r="B150" s="23"/>
      <c r="C150" s="23"/>
    </row>
    <row r="151" spans="1:16" x14ac:dyDescent="0.25">
      <c r="A151" s="200"/>
      <c r="B151" s="23"/>
      <c r="C151" s="23"/>
    </row>
    <row r="152" spans="1:16" x14ac:dyDescent="0.25">
      <c r="A152" s="200"/>
      <c r="B152" s="23"/>
      <c r="C152" s="23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</row>
    <row r="153" spans="1:16" x14ac:dyDescent="0.25">
      <c r="A153" s="200"/>
      <c r="B153" s="20"/>
      <c r="C153" s="23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</row>
    <row r="154" spans="1:16" x14ac:dyDescent="0.25">
      <c r="A154" s="23"/>
      <c r="B154" s="23"/>
      <c r="C154" s="23"/>
    </row>
    <row r="155" spans="1:16" x14ac:dyDescent="0.25">
      <c r="A155" s="13"/>
      <c r="B155" s="23"/>
      <c r="C155" s="23"/>
    </row>
    <row r="156" spans="1:16" x14ac:dyDescent="0.25">
      <c r="A156" s="13"/>
      <c r="B156" s="23"/>
      <c r="C156" s="23"/>
    </row>
    <row r="157" spans="1:16" x14ac:dyDescent="0.25">
      <c r="A157" s="13"/>
      <c r="B157" s="23"/>
      <c r="C157" s="23"/>
    </row>
    <row r="158" spans="1:16" x14ac:dyDescent="0.25">
      <c r="A158" s="23"/>
      <c r="B158" s="23"/>
      <c r="C158" s="2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1:16" x14ac:dyDescent="0.25">
      <c r="A159" s="23"/>
      <c r="B159" s="23"/>
      <c r="C159" s="2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</row>
    <row r="160" spans="1:16" x14ac:dyDescent="0.25">
      <c r="A160" s="200"/>
      <c r="B160" s="20"/>
      <c r="C160" s="2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3" x14ac:dyDescent="0.25">
      <c r="A161" s="23"/>
      <c r="B161" s="23"/>
      <c r="C161" s="23"/>
    </row>
    <row r="162" spans="1:3" x14ac:dyDescent="0.25">
      <c r="A162" s="23"/>
      <c r="B162" s="23"/>
      <c r="C162" s="23"/>
    </row>
    <row r="163" spans="1:3" x14ac:dyDescent="0.25">
      <c r="A163" s="23"/>
      <c r="B163" s="23"/>
      <c r="C163" s="23"/>
    </row>
    <row r="164" spans="1:3" x14ac:dyDescent="0.25">
      <c r="A164" s="13"/>
      <c r="B164" s="23"/>
    </row>
    <row r="165" spans="1:3" x14ac:dyDescent="0.25">
      <c r="A165" s="23"/>
      <c r="B165" s="23"/>
    </row>
    <row r="166" spans="1:3" x14ac:dyDescent="0.25">
      <c r="A166" s="23"/>
      <c r="B166" s="23"/>
    </row>
    <row r="167" spans="1:3" x14ac:dyDescent="0.25">
      <c r="A167" s="23"/>
      <c r="B167" s="23"/>
    </row>
    <row r="168" spans="1:3" x14ac:dyDescent="0.25">
      <c r="A168" s="23"/>
      <c r="B168" s="23"/>
    </row>
    <row r="169" spans="1:3" x14ac:dyDescent="0.25">
      <c r="A169" s="23"/>
      <c r="B169" s="23"/>
    </row>
    <row r="170" spans="1:3" x14ac:dyDescent="0.25">
      <c r="A170" s="23"/>
      <c r="B170" s="23"/>
    </row>
    <row r="171" spans="1:3" x14ac:dyDescent="0.25">
      <c r="A171" s="23"/>
      <c r="B171" s="23"/>
    </row>
    <row r="172" spans="1:3" x14ac:dyDescent="0.25">
      <c r="A172" s="23"/>
      <c r="B172" s="23"/>
    </row>
    <row r="173" spans="1:3" x14ac:dyDescent="0.25">
      <c r="A173" s="23"/>
      <c r="B173" s="23"/>
    </row>
    <row r="174" spans="1:3" x14ac:dyDescent="0.25">
      <c r="A174" s="23"/>
      <c r="B174" s="23"/>
    </row>
    <row r="175" spans="1:3" x14ac:dyDescent="0.25">
      <c r="A175" s="23"/>
      <c r="B175" s="23"/>
    </row>
    <row r="176" spans="1:3" x14ac:dyDescent="0.25">
      <c r="A176" s="23"/>
      <c r="B176" s="23"/>
    </row>
    <row r="177" spans="1:17" x14ac:dyDescent="0.25">
      <c r="A177" s="23"/>
      <c r="B177" s="23"/>
    </row>
    <row r="178" spans="1:17" ht="13" x14ac:dyDescent="0.3">
      <c r="B178" s="187"/>
      <c r="C178" s="188"/>
      <c r="D178" s="188"/>
      <c r="E178" s="188"/>
      <c r="F178" s="188"/>
      <c r="G178" s="188"/>
      <c r="H178" s="187"/>
      <c r="I178" s="188"/>
    </row>
    <row r="179" spans="1:17" x14ac:dyDescent="0.25">
      <c r="B179" s="188"/>
      <c r="C179" s="188"/>
      <c r="D179" s="188"/>
      <c r="E179" s="188"/>
      <c r="F179" s="188"/>
      <c r="G179" s="188"/>
      <c r="H179" s="188"/>
      <c r="I179" s="188"/>
    </row>
    <row r="180" spans="1:17" x14ac:dyDescent="0.25">
      <c r="B180" s="188"/>
      <c r="C180" s="188"/>
      <c r="D180" s="188"/>
      <c r="E180" s="188"/>
      <c r="F180" s="188"/>
      <c r="G180" s="188"/>
      <c r="H180" s="188"/>
      <c r="I180" s="188"/>
    </row>
    <row r="181" spans="1:17" ht="13" x14ac:dyDescent="0.3">
      <c r="B181" s="186"/>
      <c r="C181" s="188"/>
      <c r="D181" s="188"/>
      <c r="E181" s="188"/>
      <c r="F181" s="188"/>
      <c r="G181" s="188"/>
      <c r="H181" s="186"/>
      <c r="I181" s="188"/>
    </row>
    <row r="182" spans="1:17" x14ac:dyDescent="0.25">
      <c r="B182" s="188"/>
      <c r="C182" s="188"/>
      <c r="D182" s="188"/>
      <c r="E182" s="188"/>
      <c r="F182" s="188"/>
      <c r="G182" s="188"/>
      <c r="H182" s="188"/>
      <c r="I182" s="188"/>
    </row>
    <row r="183" spans="1:17" x14ac:dyDescent="0.25">
      <c r="B183" s="188"/>
      <c r="C183" s="188"/>
      <c r="D183" s="188"/>
      <c r="E183" s="188"/>
      <c r="F183" s="188"/>
      <c r="G183" s="188"/>
      <c r="H183" s="188"/>
      <c r="I183" s="188"/>
    </row>
    <row r="184" spans="1:17" x14ac:dyDescent="0.25">
      <c r="B184" s="188"/>
      <c r="C184" s="188"/>
      <c r="F184" s="188"/>
      <c r="G184" s="188"/>
      <c r="H184" s="188"/>
    </row>
    <row r="185" spans="1:17" x14ac:dyDescent="0.25">
      <c r="A185" s="206"/>
      <c r="B185" s="206"/>
      <c r="C185" s="188"/>
      <c r="D185" s="188"/>
      <c r="E185" s="188"/>
      <c r="F185" s="188"/>
      <c r="G185" s="188"/>
      <c r="H185" s="188"/>
      <c r="I185" s="188"/>
    </row>
    <row r="186" spans="1:17" x14ac:dyDescent="0.25">
      <c r="B186" s="188"/>
      <c r="C186" s="188"/>
      <c r="D186" s="188"/>
      <c r="E186" s="188"/>
      <c r="F186" s="188"/>
      <c r="G186" s="188"/>
      <c r="H186" s="188"/>
      <c r="I186" s="188"/>
    </row>
    <row r="187" spans="1:17" x14ac:dyDescent="0.25">
      <c r="A187" s="206"/>
      <c r="B187" s="206"/>
      <c r="C187" s="188"/>
      <c r="D187" s="188"/>
      <c r="E187" s="188"/>
      <c r="F187" s="188"/>
      <c r="G187" s="188"/>
      <c r="H187" s="188"/>
      <c r="I187" s="188"/>
    </row>
    <row r="188" spans="1:17" x14ac:dyDescent="0.25">
      <c r="B188" s="2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5"/>
      <c r="B189" s="210"/>
      <c r="C189" s="5"/>
      <c r="D189" s="1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x14ac:dyDescent="0.25">
      <c r="A190" s="13"/>
      <c r="B190" s="23"/>
      <c r="C190" s="13"/>
    </row>
    <row r="191" spans="1:17" x14ac:dyDescent="0.25">
      <c r="A191" s="13"/>
      <c r="B191" s="23"/>
      <c r="C191" s="23"/>
    </row>
    <row r="192" spans="1:17" x14ac:dyDescent="0.25">
      <c r="A192" s="13"/>
      <c r="B192" s="23"/>
      <c r="C192" s="23"/>
    </row>
    <row r="193" spans="1:16" x14ac:dyDescent="0.25">
      <c r="A193" s="13"/>
      <c r="B193" s="23"/>
      <c r="C193" s="23"/>
    </row>
    <row r="194" spans="1:16" x14ac:dyDescent="0.25">
      <c r="A194" s="13"/>
      <c r="B194" s="23"/>
      <c r="C194" s="23"/>
    </row>
    <row r="195" spans="1:16" x14ac:dyDescent="0.25">
      <c r="A195" s="13"/>
      <c r="B195" s="23"/>
      <c r="C195" s="23"/>
    </row>
    <row r="196" spans="1:16" x14ac:dyDescent="0.25">
      <c r="A196" s="13"/>
      <c r="B196" s="23"/>
      <c r="C196" s="13"/>
    </row>
    <row r="197" spans="1:16" x14ac:dyDescent="0.25">
      <c r="A197" s="13"/>
      <c r="B197" s="23"/>
      <c r="C197" s="13"/>
    </row>
    <row r="198" spans="1:16" x14ac:dyDescent="0.25">
      <c r="A198" s="13"/>
      <c r="B198" s="23"/>
      <c r="C198" s="13"/>
    </row>
    <row r="199" spans="1:16" x14ac:dyDescent="0.25">
      <c r="A199" s="13"/>
      <c r="B199" s="23"/>
      <c r="C199" s="13"/>
    </row>
    <row r="200" spans="1:16" x14ac:dyDescent="0.25">
      <c r="A200" s="13"/>
      <c r="B200" s="23"/>
    </row>
    <row r="201" spans="1:16" x14ac:dyDescent="0.25">
      <c r="A201" s="13"/>
      <c r="B201" s="23"/>
      <c r="C201" s="23"/>
    </row>
    <row r="202" spans="1:16" x14ac:dyDescent="0.25">
      <c r="A202" s="200"/>
      <c r="B202" s="20"/>
    </row>
    <row r="203" spans="1:16" x14ac:dyDescent="0.25">
      <c r="A203" s="13"/>
      <c r="B203" s="23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</row>
    <row r="204" spans="1:16" x14ac:dyDescent="0.25">
      <c r="A204" s="200"/>
      <c r="B204" s="23"/>
      <c r="C204" s="23"/>
    </row>
    <row r="205" spans="1:16" x14ac:dyDescent="0.25">
      <c r="A205" s="200"/>
      <c r="B205" s="23"/>
      <c r="C205" s="23"/>
    </row>
    <row r="206" spans="1:16" x14ac:dyDescent="0.25">
      <c r="A206" s="200"/>
      <c r="B206" s="2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</row>
    <row r="207" spans="1:16" x14ac:dyDescent="0.25">
      <c r="A207" s="13"/>
      <c r="B207" s="23"/>
    </row>
    <row r="208" spans="1:16" x14ac:dyDescent="0.25">
      <c r="A208" s="200"/>
      <c r="B208" s="23"/>
      <c r="C208" s="23"/>
    </row>
    <row r="209" spans="1:16" x14ac:dyDescent="0.25">
      <c r="A209" s="200"/>
      <c r="B209" s="23"/>
      <c r="C209" s="23"/>
    </row>
    <row r="210" spans="1:16" x14ac:dyDescent="0.25">
      <c r="A210" s="200"/>
      <c r="B210" s="23"/>
      <c r="C210" s="23"/>
    </row>
    <row r="211" spans="1:16" x14ac:dyDescent="0.25">
      <c r="A211" s="200"/>
      <c r="B211" s="23"/>
      <c r="C211" s="23"/>
    </row>
    <row r="212" spans="1:16" x14ac:dyDescent="0.25">
      <c r="A212" s="200"/>
      <c r="B212" s="23"/>
      <c r="C212" s="23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</row>
    <row r="213" spans="1:16" x14ac:dyDescent="0.25">
      <c r="A213" s="200"/>
      <c r="B213" s="20"/>
      <c r="C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</row>
    <row r="214" spans="1:16" x14ac:dyDescent="0.25">
      <c r="A214" s="13"/>
      <c r="B214" s="23"/>
      <c r="C214" s="202"/>
    </row>
    <row r="215" spans="1:16" x14ac:dyDescent="0.25">
      <c r="A215" s="13"/>
      <c r="B215" s="23"/>
      <c r="C215" s="23"/>
    </row>
    <row r="216" spans="1:16" x14ac:dyDescent="0.25">
      <c r="A216" s="13"/>
      <c r="B216" s="23"/>
      <c r="C216" s="23"/>
    </row>
    <row r="217" spans="1:16" x14ac:dyDescent="0.25">
      <c r="A217" s="13"/>
      <c r="B217" s="23"/>
      <c r="C217" s="202"/>
    </row>
    <row r="218" spans="1:16" x14ac:dyDescent="0.25">
      <c r="A218" s="13"/>
      <c r="B218" s="23"/>
      <c r="C218" s="202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</row>
    <row r="219" spans="1:16" x14ac:dyDescent="0.25">
      <c r="A219" s="13"/>
      <c r="B219" s="23"/>
      <c r="C219" s="202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</row>
    <row r="220" spans="1:16" x14ac:dyDescent="0.25">
      <c r="A220" s="200"/>
      <c r="B220" s="20"/>
      <c r="C220" s="202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</row>
    <row r="221" spans="1:16" x14ac:dyDescent="0.25">
      <c r="A221" s="13"/>
      <c r="B221" s="23"/>
    </row>
    <row r="222" spans="1:16" x14ac:dyDescent="0.25">
      <c r="A222" s="13"/>
      <c r="B222" s="23"/>
    </row>
    <row r="223" spans="1:16" x14ac:dyDescent="0.25">
      <c r="A223" s="13"/>
      <c r="B223" s="23"/>
    </row>
    <row r="224" spans="1:16" x14ac:dyDescent="0.25">
      <c r="A224" s="13"/>
      <c r="B224" s="23"/>
    </row>
    <row r="225" spans="1:9" x14ac:dyDescent="0.25">
      <c r="A225" s="13"/>
      <c r="B225" s="23"/>
    </row>
    <row r="226" spans="1:9" x14ac:dyDescent="0.25">
      <c r="A226" s="13"/>
      <c r="B226" s="23"/>
    </row>
    <row r="227" spans="1:9" x14ac:dyDescent="0.25">
      <c r="A227" s="13"/>
      <c r="B227" s="23"/>
    </row>
    <row r="228" spans="1:9" x14ac:dyDescent="0.25">
      <c r="A228" s="13"/>
      <c r="B228" s="23"/>
    </row>
    <row r="229" spans="1:9" x14ac:dyDescent="0.25">
      <c r="A229" s="13"/>
      <c r="B229" s="23"/>
    </row>
    <row r="230" spans="1:9" x14ac:dyDescent="0.25">
      <c r="A230" s="13"/>
      <c r="B230" s="23"/>
    </row>
    <row r="231" spans="1:9" x14ac:dyDescent="0.25">
      <c r="A231" s="13"/>
      <c r="B231" s="23"/>
    </row>
    <row r="232" spans="1:9" x14ac:dyDescent="0.25">
      <c r="A232" s="13"/>
      <c r="B232" s="23"/>
    </row>
    <row r="233" spans="1:9" x14ac:dyDescent="0.25">
      <c r="A233" s="13"/>
      <c r="B233" s="23"/>
    </row>
    <row r="234" spans="1:9" x14ac:dyDescent="0.25">
      <c r="A234" s="13"/>
      <c r="B234" s="23"/>
    </row>
    <row r="235" spans="1:9" x14ac:dyDescent="0.25">
      <c r="A235" s="13"/>
      <c r="B235" s="23"/>
    </row>
    <row r="236" spans="1:9" x14ac:dyDescent="0.25">
      <c r="A236" s="13"/>
      <c r="B236" s="23"/>
    </row>
    <row r="237" spans="1:9" x14ac:dyDescent="0.25">
      <c r="A237" s="13"/>
      <c r="B237" s="23"/>
    </row>
    <row r="238" spans="1:9" ht="13" x14ac:dyDescent="0.3">
      <c r="B238" s="187"/>
      <c r="C238" s="188"/>
      <c r="D238" s="188"/>
      <c r="E238" s="188"/>
      <c r="F238" s="188"/>
      <c r="G238" s="188"/>
      <c r="H238" s="187"/>
      <c r="I238" s="188"/>
    </row>
    <row r="239" spans="1:9" x14ac:dyDescent="0.25">
      <c r="B239" s="188"/>
      <c r="C239" s="188"/>
      <c r="D239" s="188"/>
      <c r="E239" s="188"/>
      <c r="F239" s="188"/>
      <c r="G239" s="188"/>
      <c r="H239" s="188"/>
      <c r="I239" s="188"/>
    </row>
    <row r="240" spans="1:9" x14ac:dyDescent="0.25">
      <c r="B240" s="188"/>
      <c r="C240" s="188"/>
      <c r="D240" s="188"/>
      <c r="E240" s="188"/>
      <c r="F240" s="188"/>
      <c r="G240" s="188"/>
      <c r="H240" s="188"/>
      <c r="I240" s="188"/>
    </row>
    <row r="241" spans="1:17" ht="13" x14ac:dyDescent="0.3">
      <c r="B241" s="186"/>
      <c r="C241" s="188"/>
      <c r="D241" s="188"/>
      <c r="E241" s="188"/>
      <c r="F241" s="188"/>
      <c r="G241" s="188"/>
      <c r="H241" s="186"/>
      <c r="I241" s="188"/>
    </row>
    <row r="242" spans="1:17" x14ac:dyDescent="0.25">
      <c r="B242" s="188"/>
      <c r="C242" s="188"/>
      <c r="D242" s="188"/>
      <c r="E242" s="188"/>
      <c r="F242" s="188"/>
      <c r="G242" s="188"/>
      <c r="H242" s="188"/>
      <c r="I242" s="188"/>
    </row>
    <row r="243" spans="1:17" x14ac:dyDescent="0.25">
      <c r="B243" s="188"/>
      <c r="C243" s="188"/>
      <c r="D243" s="188"/>
      <c r="E243" s="188"/>
      <c r="F243" s="188"/>
      <c r="G243" s="188"/>
      <c r="H243" s="188"/>
      <c r="I243" s="188"/>
    </row>
    <row r="244" spans="1:17" x14ac:dyDescent="0.25">
      <c r="B244" s="188"/>
      <c r="C244" s="188"/>
      <c r="F244" s="188"/>
      <c r="G244" s="188"/>
      <c r="H244" s="188"/>
    </row>
    <row r="245" spans="1:17" x14ac:dyDescent="0.25">
      <c r="B245" s="206"/>
      <c r="C245" s="188"/>
      <c r="D245" s="188"/>
      <c r="E245" s="188"/>
      <c r="F245" s="188"/>
      <c r="G245" s="188"/>
      <c r="H245" s="206"/>
      <c r="I245" s="188"/>
    </row>
    <row r="246" spans="1:17" x14ac:dyDescent="0.25">
      <c r="B246" s="188"/>
      <c r="C246" s="188"/>
      <c r="D246" s="188"/>
      <c r="E246" s="188"/>
      <c r="F246" s="188"/>
      <c r="G246" s="188"/>
      <c r="H246" s="188"/>
      <c r="I246" s="188"/>
    </row>
    <row r="247" spans="1:17" x14ac:dyDescent="0.25">
      <c r="A247" s="206"/>
      <c r="B247" s="206"/>
      <c r="C247" s="188"/>
      <c r="D247" s="188"/>
      <c r="E247" s="188"/>
      <c r="F247" s="188"/>
      <c r="G247" s="188"/>
      <c r="H247" s="188"/>
      <c r="I247" s="188"/>
    </row>
    <row r="248" spans="1:17" x14ac:dyDescent="0.25">
      <c r="B248" s="2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x14ac:dyDescent="0.25">
      <c r="A249" s="5"/>
      <c r="B249" s="210"/>
      <c r="C249" s="5"/>
      <c r="D249" s="1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x14ac:dyDescent="0.25">
      <c r="A250" s="13"/>
      <c r="B250" s="23"/>
      <c r="C250" s="13"/>
    </row>
    <row r="251" spans="1:17" x14ac:dyDescent="0.25">
      <c r="A251" s="13"/>
      <c r="B251" s="23"/>
      <c r="C251" s="23"/>
    </row>
    <row r="252" spans="1:17" x14ac:dyDescent="0.25">
      <c r="A252" s="13"/>
      <c r="B252" s="23"/>
      <c r="C252" s="23"/>
    </row>
    <row r="253" spans="1:17" x14ac:dyDescent="0.25">
      <c r="A253" s="13"/>
      <c r="B253" s="23"/>
      <c r="C253" s="23"/>
    </row>
    <row r="254" spans="1:17" x14ac:dyDescent="0.25">
      <c r="A254" s="13"/>
      <c r="B254" s="23"/>
      <c r="C254" s="23"/>
    </row>
    <row r="255" spans="1:17" x14ac:dyDescent="0.25">
      <c r="A255" s="13"/>
      <c r="B255" s="23"/>
      <c r="C255" s="23"/>
    </row>
    <row r="256" spans="1:17" x14ac:dyDescent="0.25">
      <c r="A256" s="13"/>
      <c r="B256" s="23"/>
      <c r="C256" s="13"/>
    </row>
    <row r="257" spans="1:16" x14ac:dyDescent="0.25">
      <c r="A257" s="13"/>
      <c r="B257" s="23"/>
      <c r="C257" s="13"/>
    </row>
    <row r="258" spans="1:16" x14ac:dyDescent="0.25">
      <c r="A258" s="13"/>
      <c r="B258" s="23"/>
      <c r="C258" s="13"/>
    </row>
    <row r="259" spans="1:16" x14ac:dyDescent="0.25">
      <c r="A259" s="13"/>
      <c r="B259" s="23"/>
      <c r="C259" s="13"/>
    </row>
    <row r="260" spans="1:16" x14ac:dyDescent="0.25">
      <c r="A260" s="13"/>
      <c r="B260" s="23"/>
    </row>
    <row r="261" spans="1:16" x14ac:dyDescent="0.25">
      <c r="A261" s="13"/>
      <c r="B261" s="23"/>
      <c r="C261" s="23"/>
    </row>
    <row r="262" spans="1:16" x14ac:dyDescent="0.25">
      <c r="A262" s="200"/>
      <c r="B262" s="20"/>
    </row>
    <row r="263" spans="1:16" x14ac:dyDescent="0.25">
      <c r="A263" s="13"/>
      <c r="B263" s="23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</row>
    <row r="264" spans="1:16" x14ac:dyDescent="0.25">
      <c r="A264" s="200"/>
      <c r="B264" s="23"/>
      <c r="C264" s="23"/>
    </row>
    <row r="265" spans="1:16" x14ac:dyDescent="0.25">
      <c r="A265" s="200"/>
      <c r="B265" s="23"/>
      <c r="C265" s="23"/>
    </row>
    <row r="266" spans="1:16" x14ac:dyDescent="0.25">
      <c r="A266" s="200"/>
      <c r="B266" s="20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</row>
    <row r="267" spans="1:16" x14ac:dyDescent="0.25">
      <c r="A267" s="13"/>
      <c r="B267" s="23"/>
    </row>
    <row r="268" spans="1:16" x14ac:dyDescent="0.25">
      <c r="A268" s="200"/>
      <c r="B268" s="23"/>
      <c r="C268" s="23"/>
    </row>
    <row r="269" spans="1:16" x14ac:dyDescent="0.25">
      <c r="A269" s="200"/>
      <c r="B269" s="23"/>
      <c r="C269" s="23"/>
    </row>
    <row r="270" spans="1:16" x14ac:dyDescent="0.25">
      <c r="A270" s="200"/>
      <c r="B270" s="23"/>
      <c r="C270" s="23"/>
    </row>
    <row r="271" spans="1:16" x14ac:dyDescent="0.25">
      <c r="A271" s="200"/>
      <c r="B271" s="23"/>
      <c r="C271" s="23"/>
    </row>
    <row r="272" spans="1:16" x14ac:dyDescent="0.25">
      <c r="A272" s="200"/>
      <c r="B272" s="23"/>
      <c r="C272" s="23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</row>
    <row r="273" spans="1:16" x14ac:dyDescent="0.25">
      <c r="A273" s="200"/>
      <c r="B273" s="20"/>
      <c r="C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</row>
    <row r="274" spans="1:16" x14ac:dyDescent="0.25">
      <c r="A274" s="13"/>
      <c r="B274" s="23"/>
      <c r="C274" s="202"/>
    </row>
    <row r="275" spans="1:16" x14ac:dyDescent="0.25">
      <c r="A275" s="13"/>
      <c r="B275" s="23"/>
      <c r="C275" s="23"/>
    </row>
    <row r="276" spans="1:16" x14ac:dyDescent="0.25">
      <c r="A276" s="13"/>
      <c r="B276" s="23"/>
      <c r="C276" s="23"/>
    </row>
    <row r="277" spans="1:16" x14ac:dyDescent="0.25">
      <c r="A277" s="13"/>
      <c r="B277" s="23"/>
      <c r="C277" s="202"/>
    </row>
    <row r="278" spans="1:16" x14ac:dyDescent="0.25">
      <c r="A278" s="13"/>
      <c r="B278" s="23"/>
      <c r="C278" s="202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</row>
    <row r="279" spans="1:16" x14ac:dyDescent="0.25">
      <c r="A279" s="13"/>
      <c r="B279" s="23"/>
      <c r="C279" s="202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</row>
    <row r="280" spans="1:16" x14ac:dyDescent="0.25">
      <c r="A280" s="200"/>
      <c r="B280" s="20"/>
      <c r="C280" s="202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</row>
    <row r="281" spans="1:16" x14ac:dyDescent="0.25">
      <c r="A281" s="13"/>
      <c r="B281" s="23"/>
    </row>
    <row r="282" spans="1:16" x14ac:dyDescent="0.25">
      <c r="A282" s="13"/>
      <c r="B282" s="23"/>
    </row>
    <row r="283" spans="1:16" x14ac:dyDescent="0.25">
      <c r="A283" s="13"/>
      <c r="B283" s="23"/>
    </row>
    <row r="284" spans="1:16" x14ac:dyDescent="0.25">
      <c r="A284" s="13"/>
      <c r="B284" s="23"/>
    </row>
    <row r="285" spans="1:16" x14ac:dyDescent="0.25">
      <c r="A285" s="13"/>
      <c r="B285" s="23"/>
    </row>
    <row r="286" spans="1:16" x14ac:dyDescent="0.25">
      <c r="A286" s="13"/>
      <c r="B286" s="23"/>
    </row>
    <row r="287" spans="1:16" x14ac:dyDescent="0.25">
      <c r="A287" s="13"/>
      <c r="B287" s="23"/>
    </row>
    <row r="288" spans="1:16" x14ac:dyDescent="0.25">
      <c r="A288" s="13"/>
      <c r="B288" s="23"/>
    </row>
    <row r="289" spans="1:9" x14ac:dyDescent="0.25">
      <c r="A289" s="13"/>
      <c r="B289" s="23"/>
    </row>
    <row r="290" spans="1:9" x14ac:dyDescent="0.25">
      <c r="A290" s="13"/>
      <c r="B290" s="23"/>
    </row>
    <row r="291" spans="1:9" x14ac:dyDescent="0.25">
      <c r="A291" s="13"/>
      <c r="B291" s="23"/>
    </row>
    <row r="292" spans="1:9" x14ac:dyDescent="0.25">
      <c r="A292" s="13"/>
      <c r="B292" s="23"/>
    </row>
    <row r="293" spans="1:9" x14ac:dyDescent="0.25">
      <c r="A293" s="13"/>
      <c r="B293" s="23"/>
    </row>
    <row r="294" spans="1:9" x14ac:dyDescent="0.25">
      <c r="A294" s="13"/>
      <c r="B294" s="23"/>
    </row>
    <row r="295" spans="1:9" x14ac:dyDescent="0.25">
      <c r="A295" s="13"/>
      <c r="B295" s="23"/>
    </row>
    <row r="296" spans="1:9" x14ac:dyDescent="0.25">
      <c r="A296" s="13"/>
      <c r="B296" s="23"/>
    </row>
    <row r="297" spans="1:9" x14ac:dyDescent="0.25">
      <c r="A297" s="13"/>
      <c r="B297" s="23"/>
    </row>
    <row r="298" spans="1:9" ht="13" x14ac:dyDescent="0.3">
      <c r="B298" s="187"/>
      <c r="C298" s="188"/>
      <c r="D298" s="188"/>
      <c r="E298" s="188"/>
      <c r="F298" s="188"/>
      <c r="G298" s="188"/>
      <c r="H298" s="187"/>
      <c r="I298" s="188"/>
    </row>
    <row r="299" spans="1:9" x14ac:dyDescent="0.25">
      <c r="B299" s="188"/>
      <c r="C299" s="188"/>
      <c r="D299" s="188"/>
      <c r="E299" s="188"/>
      <c r="F299" s="188"/>
      <c r="G299" s="188"/>
      <c r="H299" s="188"/>
      <c r="I299" s="188"/>
    </row>
    <row r="300" spans="1:9" x14ac:dyDescent="0.25">
      <c r="B300" s="188"/>
      <c r="C300" s="188"/>
      <c r="D300" s="188"/>
      <c r="E300" s="188"/>
      <c r="F300" s="188"/>
      <c r="G300" s="188"/>
      <c r="H300" s="188"/>
      <c r="I300" s="188"/>
    </row>
    <row r="301" spans="1:9" ht="13" x14ac:dyDescent="0.3">
      <c r="B301" s="186"/>
      <c r="C301" s="188"/>
      <c r="D301" s="188"/>
      <c r="E301" s="188"/>
      <c r="F301" s="188"/>
      <c r="G301" s="188"/>
      <c r="H301" s="186"/>
      <c r="I301" s="188"/>
    </row>
    <row r="302" spans="1:9" x14ac:dyDescent="0.25">
      <c r="B302" s="188"/>
      <c r="C302" s="188"/>
      <c r="D302" s="188"/>
      <c r="E302" s="188"/>
      <c r="F302" s="188"/>
      <c r="G302" s="188"/>
      <c r="H302" s="188"/>
      <c r="I302" s="188"/>
    </row>
    <row r="303" spans="1:9" x14ac:dyDescent="0.25">
      <c r="B303" s="188"/>
      <c r="C303" s="188"/>
      <c r="D303" s="188"/>
      <c r="E303" s="188"/>
      <c r="F303" s="188"/>
      <c r="G303" s="188"/>
      <c r="H303" s="188"/>
      <c r="I303" s="188"/>
    </row>
    <row r="304" spans="1:9" x14ac:dyDescent="0.25">
      <c r="B304" s="188"/>
      <c r="C304" s="188"/>
      <c r="F304" s="188"/>
      <c r="G304" s="188"/>
      <c r="H304" s="188"/>
    </row>
    <row r="305" spans="1:17" x14ac:dyDescent="0.25">
      <c r="B305" s="206"/>
      <c r="C305" s="188"/>
      <c r="D305" s="188"/>
      <c r="E305" s="188"/>
      <c r="F305" s="188"/>
      <c r="G305" s="188"/>
      <c r="H305" s="206"/>
      <c r="I305" s="188"/>
    </row>
    <row r="306" spans="1:17" x14ac:dyDescent="0.25">
      <c r="B306" s="188"/>
      <c r="C306" s="188"/>
      <c r="D306" s="188"/>
      <c r="E306" s="188"/>
      <c r="F306" s="188"/>
      <c r="G306" s="188"/>
      <c r="H306" s="188"/>
      <c r="I306" s="188"/>
    </row>
    <row r="307" spans="1:17" x14ac:dyDescent="0.25">
      <c r="A307" s="206"/>
      <c r="B307" s="206"/>
      <c r="C307" s="188"/>
      <c r="D307" s="188"/>
      <c r="E307" s="188"/>
      <c r="F307" s="188"/>
      <c r="G307" s="188"/>
      <c r="H307" s="188"/>
      <c r="I307" s="188"/>
    </row>
    <row r="308" spans="1:17" x14ac:dyDescent="0.25">
      <c r="B308" s="2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x14ac:dyDescent="0.25">
      <c r="A309" s="5"/>
      <c r="B309" s="210"/>
      <c r="C309" s="5"/>
      <c r="D309" s="1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x14ac:dyDescent="0.25">
      <c r="A310" s="13"/>
      <c r="B310" s="23"/>
      <c r="C310" s="13"/>
    </row>
    <row r="311" spans="1:17" x14ac:dyDescent="0.25">
      <c r="A311" s="13"/>
      <c r="B311" s="23"/>
      <c r="C311" s="23"/>
    </row>
    <row r="312" spans="1:17" x14ac:dyDescent="0.25">
      <c r="A312" s="13"/>
      <c r="B312" s="23"/>
      <c r="C312" s="23"/>
    </row>
    <row r="313" spans="1:17" x14ac:dyDescent="0.25">
      <c r="A313" s="13"/>
      <c r="B313" s="23"/>
      <c r="C313" s="23"/>
    </row>
    <row r="314" spans="1:17" x14ac:dyDescent="0.25">
      <c r="A314" s="13"/>
      <c r="B314" s="23"/>
      <c r="C314" s="23"/>
    </row>
    <row r="315" spans="1:17" x14ac:dyDescent="0.25">
      <c r="A315" s="13"/>
      <c r="B315" s="23"/>
      <c r="C315" s="23"/>
    </row>
    <row r="316" spans="1:17" x14ac:dyDescent="0.25">
      <c r="A316" s="13"/>
      <c r="B316" s="23"/>
      <c r="C316" s="13"/>
    </row>
    <row r="317" spans="1:17" x14ac:dyDescent="0.25">
      <c r="A317" s="13"/>
      <c r="B317" s="23"/>
      <c r="C317" s="13"/>
    </row>
    <row r="318" spans="1:17" x14ac:dyDescent="0.25">
      <c r="A318" s="13"/>
      <c r="B318" s="23"/>
      <c r="C318" s="13"/>
    </row>
    <row r="319" spans="1:17" x14ac:dyDescent="0.25">
      <c r="A319" s="13"/>
      <c r="B319" s="23"/>
      <c r="C319" s="13"/>
    </row>
    <row r="320" spans="1:17" x14ac:dyDescent="0.25">
      <c r="B320" s="23"/>
    </row>
    <row r="321" spans="1:16" x14ac:dyDescent="0.25">
      <c r="A321" s="13"/>
      <c r="B321" s="23"/>
      <c r="C321" s="23"/>
    </row>
    <row r="322" spans="1:16" x14ac:dyDescent="0.25">
      <c r="A322" s="200"/>
      <c r="B322" s="20"/>
    </row>
    <row r="323" spans="1:16" x14ac:dyDescent="0.25">
      <c r="A323" s="13"/>
      <c r="B323" s="23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</row>
    <row r="324" spans="1:16" x14ac:dyDescent="0.25">
      <c r="A324" s="200"/>
      <c r="B324" s="23"/>
      <c r="C324" s="23"/>
    </row>
    <row r="325" spans="1:16" x14ac:dyDescent="0.25">
      <c r="A325" s="200"/>
      <c r="B325" s="23"/>
      <c r="C325" s="23"/>
    </row>
    <row r="326" spans="1:16" x14ac:dyDescent="0.25">
      <c r="A326" s="200"/>
      <c r="B326" s="20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</row>
    <row r="327" spans="1:16" x14ac:dyDescent="0.25">
      <c r="A327" s="13"/>
      <c r="B327" s="23"/>
    </row>
    <row r="328" spans="1:16" x14ac:dyDescent="0.25">
      <c r="A328" s="200"/>
      <c r="B328" s="23"/>
      <c r="C328" s="23"/>
    </row>
    <row r="329" spans="1:16" x14ac:dyDescent="0.25">
      <c r="A329" s="200"/>
      <c r="B329" s="23"/>
      <c r="C329" s="23"/>
    </row>
    <row r="330" spans="1:16" x14ac:dyDescent="0.25">
      <c r="A330" s="200"/>
      <c r="B330" s="23"/>
      <c r="C330" s="23"/>
    </row>
    <row r="331" spans="1:16" x14ac:dyDescent="0.25">
      <c r="A331" s="200"/>
      <c r="B331" s="23"/>
      <c r="C331" s="23"/>
    </row>
    <row r="332" spans="1:16" x14ac:dyDescent="0.25">
      <c r="A332" s="200"/>
      <c r="B332" s="23"/>
      <c r="C332" s="23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</row>
    <row r="333" spans="1:16" x14ac:dyDescent="0.25">
      <c r="A333" s="200"/>
      <c r="B333" s="20"/>
      <c r="C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</row>
    <row r="334" spans="1:16" x14ac:dyDescent="0.25">
      <c r="A334" s="13"/>
      <c r="B334" s="23"/>
      <c r="C334" s="202"/>
    </row>
    <row r="335" spans="1:16" x14ac:dyDescent="0.25">
      <c r="A335" s="13"/>
      <c r="B335" s="23"/>
      <c r="C335" s="23"/>
    </row>
    <row r="336" spans="1:16" x14ac:dyDescent="0.25">
      <c r="A336" s="13"/>
      <c r="B336" s="23"/>
      <c r="C336" s="23"/>
    </row>
    <row r="337" spans="1:16" x14ac:dyDescent="0.25">
      <c r="A337" s="13"/>
      <c r="B337" s="23"/>
      <c r="C337" s="202"/>
    </row>
    <row r="338" spans="1:16" x14ac:dyDescent="0.25">
      <c r="A338" s="13"/>
      <c r="B338" s="23"/>
      <c r="C338" s="202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</row>
    <row r="339" spans="1:16" x14ac:dyDescent="0.25">
      <c r="A339" s="13"/>
      <c r="B339" s="23"/>
      <c r="C339" s="202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</row>
    <row r="340" spans="1:16" x14ac:dyDescent="0.25">
      <c r="A340" s="200"/>
      <c r="B340" s="20"/>
      <c r="C340" s="202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</row>
    <row r="341" spans="1:16" x14ac:dyDescent="0.25">
      <c r="A341" s="13"/>
      <c r="B341" s="23"/>
    </row>
    <row r="342" spans="1:16" x14ac:dyDescent="0.25">
      <c r="A342" s="13"/>
      <c r="B342" s="23"/>
    </row>
    <row r="343" spans="1:16" x14ac:dyDescent="0.25">
      <c r="A343" s="13"/>
      <c r="B343" s="23"/>
    </row>
    <row r="344" spans="1:16" x14ac:dyDescent="0.25">
      <c r="B344" s="23"/>
    </row>
    <row r="345" spans="1:16" x14ac:dyDescent="0.25">
      <c r="B345" s="23"/>
    </row>
    <row r="346" spans="1:16" x14ac:dyDescent="0.25">
      <c r="B346" s="23"/>
    </row>
    <row r="347" spans="1:16" x14ac:dyDescent="0.25">
      <c r="B347" s="23"/>
    </row>
    <row r="348" spans="1:16" x14ac:dyDescent="0.25">
      <c r="B348" s="23"/>
    </row>
    <row r="349" spans="1:16" x14ac:dyDescent="0.25">
      <c r="B349" s="23"/>
    </row>
    <row r="350" spans="1:16" x14ac:dyDescent="0.25">
      <c r="B350" s="23"/>
    </row>
    <row r="351" spans="1:16" x14ac:dyDescent="0.25">
      <c r="B351" s="23"/>
    </row>
    <row r="352" spans="1:16" x14ac:dyDescent="0.25">
      <c r="B352" s="23"/>
    </row>
    <row r="353" spans="1:17" x14ac:dyDescent="0.25">
      <c r="B353" s="23"/>
    </row>
    <row r="354" spans="1:17" x14ac:dyDescent="0.25">
      <c r="B354" s="23"/>
    </row>
    <row r="355" spans="1:17" x14ac:dyDescent="0.25">
      <c r="B355" s="23"/>
    </row>
    <row r="356" spans="1:17" x14ac:dyDescent="0.25">
      <c r="B356" s="23"/>
    </row>
    <row r="357" spans="1:17" x14ac:dyDescent="0.25">
      <c r="B357" s="23"/>
    </row>
    <row r="358" spans="1:17" ht="13" x14ac:dyDescent="0.3">
      <c r="B358" s="187"/>
      <c r="C358" s="188"/>
      <c r="D358" s="188"/>
      <c r="E358" s="188"/>
      <c r="F358" s="188"/>
      <c r="G358" s="188"/>
      <c r="H358" s="187"/>
      <c r="I358" s="188"/>
    </row>
    <row r="359" spans="1:17" x14ac:dyDescent="0.25">
      <c r="B359" s="188"/>
      <c r="C359" s="188"/>
      <c r="D359" s="188"/>
      <c r="E359" s="188"/>
      <c r="F359" s="188"/>
      <c r="G359" s="188"/>
      <c r="H359" s="188"/>
      <c r="I359" s="188"/>
    </row>
    <row r="360" spans="1:17" x14ac:dyDescent="0.25">
      <c r="B360" s="188"/>
      <c r="C360" s="188"/>
      <c r="D360" s="188"/>
      <c r="E360" s="188"/>
      <c r="F360" s="188"/>
      <c r="G360" s="188"/>
      <c r="H360" s="188"/>
      <c r="I360" s="188"/>
    </row>
    <row r="361" spans="1:17" ht="13" x14ac:dyDescent="0.3">
      <c r="B361" s="186"/>
      <c r="C361" s="188"/>
      <c r="D361" s="188"/>
      <c r="E361" s="188"/>
      <c r="F361" s="188"/>
      <c r="G361" s="188"/>
      <c r="H361" s="186"/>
      <c r="I361" s="188"/>
    </row>
    <row r="362" spans="1:17" x14ac:dyDescent="0.25">
      <c r="B362" s="188"/>
      <c r="C362" s="188"/>
      <c r="D362" s="188"/>
      <c r="E362" s="188"/>
      <c r="F362" s="188"/>
      <c r="G362" s="188"/>
      <c r="H362" s="188"/>
      <c r="I362" s="188"/>
    </row>
    <row r="363" spans="1:17" x14ac:dyDescent="0.25">
      <c r="B363" s="188"/>
      <c r="C363" s="188"/>
      <c r="D363" s="188"/>
      <c r="E363" s="188"/>
      <c r="F363" s="188"/>
      <c r="G363" s="188"/>
      <c r="H363" s="188"/>
      <c r="I363" s="188"/>
    </row>
    <row r="364" spans="1:17" x14ac:dyDescent="0.25">
      <c r="B364" s="188"/>
      <c r="C364" s="188"/>
      <c r="F364" s="188"/>
      <c r="G364" s="188"/>
      <c r="H364" s="188"/>
    </row>
    <row r="365" spans="1:17" x14ac:dyDescent="0.25">
      <c r="B365" s="206"/>
      <c r="C365" s="188"/>
      <c r="D365" s="188"/>
      <c r="E365" s="188"/>
      <c r="F365" s="188"/>
      <c r="G365" s="188"/>
      <c r="H365" s="206"/>
      <c r="I365" s="188"/>
    </row>
    <row r="366" spans="1:17" x14ac:dyDescent="0.25">
      <c r="B366" s="188"/>
      <c r="C366" s="188"/>
      <c r="D366" s="188"/>
      <c r="E366" s="188"/>
      <c r="F366" s="188"/>
      <c r="G366" s="188"/>
      <c r="H366" s="188"/>
      <c r="I366" s="188"/>
    </row>
    <row r="367" spans="1:17" x14ac:dyDescent="0.25">
      <c r="A367" s="206"/>
      <c r="B367" s="206"/>
      <c r="C367" s="188"/>
      <c r="D367" s="188"/>
      <c r="E367" s="188"/>
      <c r="F367" s="188"/>
      <c r="G367" s="188"/>
      <c r="H367" s="188"/>
      <c r="I367" s="188"/>
    </row>
    <row r="368" spans="1:17" x14ac:dyDescent="0.25">
      <c r="B368" s="2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 x14ac:dyDescent="0.25">
      <c r="A369" s="5"/>
      <c r="B369" s="210"/>
      <c r="C369" s="5"/>
      <c r="D369" s="1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x14ac:dyDescent="0.25">
      <c r="A370" s="13"/>
      <c r="B370" s="23"/>
      <c r="C370" s="13"/>
    </row>
    <row r="371" spans="1:17" x14ac:dyDescent="0.25">
      <c r="A371" s="13"/>
      <c r="B371" s="23"/>
      <c r="C371" s="23"/>
    </row>
    <row r="372" spans="1:17" x14ac:dyDescent="0.25">
      <c r="A372" s="13"/>
      <c r="B372" s="23"/>
      <c r="C372" s="23"/>
    </row>
    <row r="373" spans="1:17" x14ac:dyDescent="0.25">
      <c r="A373" s="13"/>
      <c r="B373" s="23"/>
      <c r="C373" s="23"/>
    </row>
    <row r="374" spans="1:17" x14ac:dyDescent="0.25">
      <c r="A374" s="13"/>
      <c r="B374" s="23"/>
      <c r="C374" s="23"/>
    </row>
    <row r="375" spans="1:17" x14ac:dyDescent="0.25">
      <c r="A375" s="13"/>
      <c r="B375" s="23"/>
      <c r="C375" s="23"/>
    </row>
    <row r="376" spans="1:17" x14ac:dyDescent="0.25">
      <c r="A376" s="13"/>
      <c r="B376" s="23"/>
      <c r="C376" s="13"/>
    </row>
    <row r="377" spans="1:17" x14ac:dyDescent="0.25">
      <c r="A377" s="13"/>
      <c r="B377" s="23"/>
      <c r="C377" s="13"/>
    </row>
    <row r="378" spans="1:17" x14ac:dyDescent="0.25">
      <c r="A378" s="13"/>
      <c r="B378" s="23"/>
      <c r="C378" s="13"/>
    </row>
    <row r="379" spans="1:17" x14ac:dyDescent="0.25">
      <c r="A379" s="13"/>
      <c r="B379" s="23"/>
      <c r="C379" s="13"/>
    </row>
    <row r="380" spans="1:17" x14ac:dyDescent="0.25">
      <c r="A380" s="13"/>
      <c r="B380" s="23"/>
    </row>
    <row r="381" spans="1:17" x14ac:dyDescent="0.25">
      <c r="A381" s="13"/>
      <c r="B381" s="23"/>
      <c r="C381" s="23"/>
    </row>
    <row r="382" spans="1:17" x14ac:dyDescent="0.25">
      <c r="A382" s="200"/>
      <c r="B382" s="20"/>
    </row>
    <row r="383" spans="1:17" x14ac:dyDescent="0.25">
      <c r="A383" s="13"/>
      <c r="B383" s="23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</row>
    <row r="384" spans="1:17" x14ac:dyDescent="0.25">
      <c r="A384" s="200"/>
      <c r="B384" s="23"/>
      <c r="C384" s="23"/>
    </row>
    <row r="385" spans="1:16" x14ac:dyDescent="0.25">
      <c r="A385" s="200"/>
      <c r="B385" s="23"/>
      <c r="C385" s="23"/>
    </row>
    <row r="386" spans="1:16" x14ac:dyDescent="0.25">
      <c r="A386" s="200"/>
      <c r="B386" s="20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</row>
    <row r="387" spans="1:16" x14ac:dyDescent="0.25">
      <c r="A387" s="13"/>
      <c r="B387" s="23"/>
    </row>
    <row r="388" spans="1:16" x14ac:dyDescent="0.25">
      <c r="A388" s="200"/>
      <c r="B388" s="23"/>
      <c r="C388" s="23"/>
    </row>
    <row r="389" spans="1:16" x14ac:dyDescent="0.25">
      <c r="A389" s="200"/>
      <c r="B389" s="23"/>
      <c r="C389" s="23"/>
    </row>
    <row r="390" spans="1:16" x14ac:dyDescent="0.25">
      <c r="A390" s="200"/>
      <c r="B390" s="23"/>
      <c r="C390" s="23"/>
    </row>
    <row r="391" spans="1:16" x14ac:dyDescent="0.25">
      <c r="A391" s="200"/>
      <c r="B391" s="23"/>
      <c r="C391" s="23"/>
    </row>
    <row r="392" spans="1:16" x14ac:dyDescent="0.25">
      <c r="A392" s="200"/>
      <c r="B392" s="23"/>
      <c r="C392" s="23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</row>
    <row r="393" spans="1:16" x14ac:dyDescent="0.25">
      <c r="A393" s="200"/>
      <c r="B393" s="20"/>
      <c r="C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</row>
    <row r="394" spans="1:16" x14ac:dyDescent="0.25">
      <c r="A394" s="13"/>
      <c r="B394" s="23"/>
      <c r="C394" s="202"/>
    </row>
    <row r="395" spans="1:16" x14ac:dyDescent="0.25">
      <c r="A395" s="13"/>
      <c r="B395" s="23"/>
      <c r="C395" s="23"/>
    </row>
    <row r="396" spans="1:16" x14ac:dyDescent="0.25">
      <c r="A396" s="13"/>
      <c r="B396" s="23"/>
      <c r="C396" s="23"/>
    </row>
    <row r="397" spans="1:16" x14ac:dyDescent="0.25">
      <c r="A397" s="13"/>
      <c r="B397" s="23"/>
      <c r="C397" s="202"/>
    </row>
    <row r="398" spans="1:16" x14ac:dyDescent="0.25">
      <c r="A398" s="13"/>
      <c r="B398" s="23"/>
      <c r="C398" s="202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</row>
    <row r="399" spans="1:16" x14ac:dyDescent="0.25">
      <c r="A399" s="13"/>
      <c r="B399" s="23"/>
      <c r="C399" s="202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</row>
    <row r="400" spans="1:16" x14ac:dyDescent="0.25">
      <c r="A400" s="200"/>
      <c r="B400" s="20"/>
      <c r="C400" s="202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</row>
    <row r="401" spans="1:2" x14ac:dyDescent="0.25">
      <c r="A401" s="13"/>
      <c r="B401" s="23"/>
    </row>
    <row r="402" spans="1:2" x14ac:dyDescent="0.25">
      <c r="A402" s="13"/>
      <c r="B402" s="23"/>
    </row>
    <row r="403" spans="1:2" x14ac:dyDescent="0.25">
      <c r="A403" s="13"/>
      <c r="B403" s="23"/>
    </row>
    <row r="404" spans="1:2" x14ac:dyDescent="0.25">
      <c r="A404" s="13"/>
      <c r="B404" s="23"/>
    </row>
    <row r="405" spans="1:2" x14ac:dyDescent="0.25">
      <c r="A405" s="13"/>
      <c r="B405" s="23"/>
    </row>
    <row r="406" spans="1:2" x14ac:dyDescent="0.25">
      <c r="A406" s="13"/>
      <c r="B406" s="23"/>
    </row>
    <row r="407" spans="1:2" x14ac:dyDescent="0.25">
      <c r="A407" s="13"/>
      <c r="B407" s="23"/>
    </row>
    <row r="408" spans="1:2" x14ac:dyDescent="0.25">
      <c r="A408" s="13"/>
      <c r="B408" s="23"/>
    </row>
    <row r="409" spans="1:2" x14ac:dyDescent="0.25">
      <c r="A409" s="13"/>
      <c r="B409" s="23"/>
    </row>
    <row r="410" spans="1:2" x14ac:dyDescent="0.25">
      <c r="A410" s="13"/>
      <c r="B410" s="23"/>
    </row>
    <row r="411" spans="1:2" x14ac:dyDescent="0.25">
      <c r="A411" s="13"/>
      <c r="B411" s="23"/>
    </row>
    <row r="412" spans="1:2" x14ac:dyDescent="0.25">
      <c r="A412" s="13"/>
      <c r="B412" s="23"/>
    </row>
    <row r="413" spans="1:2" x14ac:dyDescent="0.25">
      <c r="A413" s="13"/>
      <c r="B413" s="23"/>
    </row>
    <row r="414" spans="1:2" x14ac:dyDescent="0.25">
      <c r="A414" s="13"/>
      <c r="B414" s="23"/>
    </row>
    <row r="415" spans="1:2" x14ac:dyDescent="0.25">
      <c r="A415" s="13"/>
      <c r="B415" s="23"/>
    </row>
    <row r="416" spans="1:2" x14ac:dyDescent="0.25">
      <c r="A416" s="13"/>
      <c r="B416" s="23"/>
    </row>
    <row r="417" spans="1:17" x14ac:dyDescent="0.25">
      <c r="A417" s="13"/>
      <c r="B417" s="23"/>
    </row>
    <row r="418" spans="1:17" ht="13" x14ac:dyDescent="0.3">
      <c r="B418" s="187"/>
      <c r="C418" s="188"/>
      <c r="D418" s="188"/>
      <c r="E418" s="188"/>
      <c r="F418" s="188"/>
      <c r="G418" s="188"/>
      <c r="H418" s="187"/>
      <c r="I418" s="188"/>
    </row>
    <row r="419" spans="1:17" x14ac:dyDescent="0.25">
      <c r="B419" s="188"/>
      <c r="C419" s="188"/>
      <c r="D419" s="188"/>
      <c r="E419" s="188"/>
      <c r="F419" s="188"/>
      <c r="G419" s="188"/>
      <c r="H419" s="188"/>
      <c r="I419" s="188"/>
    </row>
    <row r="420" spans="1:17" x14ac:dyDescent="0.25">
      <c r="B420" s="188"/>
      <c r="C420" s="188"/>
      <c r="D420" s="188"/>
      <c r="E420" s="188"/>
      <c r="F420" s="188"/>
      <c r="G420" s="188"/>
      <c r="H420" s="188"/>
      <c r="I420" s="188"/>
    </row>
    <row r="421" spans="1:17" ht="13" x14ac:dyDescent="0.3">
      <c r="B421" s="186"/>
      <c r="C421" s="188"/>
      <c r="D421" s="188"/>
      <c r="E421" s="188"/>
      <c r="F421" s="188"/>
      <c r="G421" s="188"/>
      <c r="H421" s="186"/>
      <c r="I421" s="188"/>
    </row>
    <row r="422" spans="1:17" x14ac:dyDescent="0.25">
      <c r="B422" s="188"/>
      <c r="C422" s="188"/>
      <c r="D422" s="188"/>
      <c r="E422" s="188"/>
      <c r="F422" s="188"/>
      <c r="G422" s="188"/>
      <c r="H422" s="188"/>
      <c r="I422" s="188"/>
    </row>
    <row r="423" spans="1:17" x14ac:dyDescent="0.25">
      <c r="B423" s="188"/>
      <c r="C423" s="188"/>
      <c r="D423" s="188"/>
      <c r="E423" s="188"/>
      <c r="F423" s="188"/>
      <c r="G423" s="188"/>
      <c r="H423" s="188"/>
      <c r="I423" s="188"/>
    </row>
    <row r="424" spans="1:17" x14ac:dyDescent="0.25">
      <c r="B424" s="188"/>
      <c r="C424" s="188"/>
      <c r="F424" s="188"/>
      <c r="G424" s="188"/>
      <c r="H424" s="188"/>
    </row>
    <row r="425" spans="1:17" x14ac:dyDescent="0.25">
      <c r="B425" s="206"/>
      <c r="C425" s="188"/>
      <c r="D425" s="188"/>
      <c r="E425" s="188"/>
      <c r="F425" s="188"/>
      <c r="G425" s="188"/>
      <c r="H425" s="206"/>
      <c r="I425" s="188"/>
    </row>
    <row r="426" spans="1:17" x14ac:dyDescent="0.25">
      <c r="B426" s="188"/>
      <c r="C426" s="188"/>
      <c r="D426" s="188"/>
      <c r="E426" s="188"/>
      <c r="F426" s="188"/>
      <c r="G426" s="188"/>
      <c r="H426" s="188"/>
      <c r="I426" s="188"/>
    </row>
    <row r="427" spans="1:17" x14ac:dyDescent="0.25">
      <c r="A427" s="206"/>
      <c r="B427" s="206"/>
      <c r="C427" s="188"/>
      <c r="D427" s="188"/>
      <c r="E427" s="188"/>
      <c r="F427" s="188"/>
      <c r="G427" s="188"/>
      <c r="H427" s="188"/>
      <c r="I427" s="188"/>
    </row>
    <row r="428" spans="1:17" x14ac:dyDescent="0.25">
      <c r="B428" s="2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 x14ac:dyDescent="0.25">
      <c r="A429" s="5"/>
      <c r="B429" s="210"/>
      <c r="C429" s="5"/>
      <c r="D429" s="1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x14ac:dyDescent="0.25">
      <c r="A430" s="13"/>
      <c r="B430" s="23"/>
      <c r="C430" s="13"/>
    </row>
    <row r="431" spans="1:17" x14ac:dyDescent="0.25">
      <c r="A431" s="13"/>
      <c r="B431" s="23"/>
      <c r="C431" s="23"/>
    </row>
    <row r="432" spans="1:17" x14ac:dyDescent="0.25">
      <c r="A432" s="13"/>
      <c r="B432" s="23"/>
      <c r="C432" s="23"/>
    </row>
    <row r="433" spans="1:16" x14ac:dyDescent="0.25">
      <c r="A433" s="13"/>
      <c r="B433" s="23"/>
      <c r="C433" s="23"/>
    </row>
    <row r="434" spans="1:16" x14ac:dyDescent="0.25">
      <c r="A434" s="13"/>
      <c r="B434" s="23"/>
      <c r="C434" s="23"/>
    </row>
    <row r="435" spans="1:16" x14ac:dyDescent="0.25">
      <c r="A435" s="13"/>
      <c r="B435" s="23"/>
      <c r="C435" s="23"/>
    </row>
    <row r="436" spans="1:16" x14ac:dyDescent="0.25">
      <c r="A436" s="13"/>
      <c r="B436" s="23"/>
      <c r="C436" s="13"/>
    </row>
    <row r="437" spans="1:16" x14ac:dyDescent="0.25">
      <c r="A437" s="13"/>
      <c r="B437" s="23"/>
      <c r="C437" s="13"/>
    </row>
    <row r="438" spans="1:16" x14ac:dyDescent="0.25">
      <c r="A438" s="13"/>
      <c r="B438" s="23"/>
      <c r="C438" s="13"/>
    </row>
    <row r="439" spans="1:16" x14ac:dyDescent="0.25">
      <c r="A439" s="13"/>
      <c r="B439" s="23"/>
      <c r="C439" s="13"/>
    </row>
    <row r="440" spans="1:16" x14ac:dyDescent="0.25">
      <c r="A440" s="13"/>
      <c r="B440" s="23"/>
    </row>
    <row r="441" spans="1:16" x14ac:dyDescent="0.25">
      <c r="A441" s="13"/>
      <c r="B441" s="23"/>
      <c r="C441" s="23"/>
    </row>
    <row r="442" spans="1:16" x14ac:dyDescent="0.25">
      <c r="A442" s="200"/>
      <c r="B442" s="20"/>
    </row>
    <row r="443" spans="1:16" x14ac:dyDescent="0.25">
      <c r="A443" s="13"/>
      <c r="B443" s="23"/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</row>
    <row r="444" spans="1:16" x14ac:dyDescent="0.25">
      <c r="A444" s="200"/>
      <c r="B444" s="23"/>
      <c r="C444" s="23"/>
    </row>
    <row r="445" spans="1:16" x14ac:dyDescent="0.25">
      <c r="A445" s="200"/>
      <c r="B445" s="23"/>
      <c r="C445" s="23"/>
    </row>
    <row r="446" spans="1:16" x14ac:dyDescent="0.25">
      <c r="A446" s="200"/>
      <c r="B446" s="20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</row>
    <row r="447" spans="1:16" x14ac:dyDescent="0.25">
      <c r="A447" s="13"/>
      <c r="B447" s="23"/>
    </row>
    <row r="448" spans="1:16" x14ac:dyDescent="0.25">
      <c r="A448" s="200"/>
      <c r="B448" s="23"/>
      <c r="C448" s="23"/>
    </row>
    <row r="449" spans="1:16" x14ac:dyDescent="0.25">
      <c r="A449" s="200"/>
      <c r="B449" s="23"/>
      <c r="C449" s="23"/>
    </row>
    <row r="450" spans="1:16" x14ac:dyDescent="0.25">
      <c r="A450" s="200"/>
      <c r="B450" s="23"/>
      <c r="C450" s="23"/>
    </row>
    <row r="451" spans="1:16" x14ac:dyDescent="0.25">
      <c r="A451" s="200"/>
      <c r="B451" s="23"/>
      <c r="C451" s="23"/>
    </row>
    <row r="452" spans="1:16" x14ac:dyDescent="0.25">
      <c r="A452" s="200"/>
      <c r="B452" s="23"/>
      <c r="C452" s="23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</row>
    <row r="453" spans="1:16" x14ac:dyDescent="0.25">
      <c r="A453" s="200"/>
      <c r="B453" s="20"/>
      <c r="C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</row>
    <row r="454" spans="1:16" x14ac:dyDescent="0.25">
      <c r="A454" s="13"/>
      <c r="B454" s="23"/>
      <c r="C454" s="202"/>
    </row>
    <row r="455" spans="1:16" x14ac:dyDescent="0.25">
      <c r="A455" s="13"/>
      <c r="B455" s="23"/>
      <c r="C455" s="23"/>
    </row>
    <row r="456" spans="1:16" x14ac:dyDescent="0.25">
      <c r="A456" s="13"/>
      <c r="B456" s="23"/>
      <c r="C456" s="23"/>
    </row>
    <row r="457" spans="1:16" x14ac:dyDescent="0.25">
      <c r="A457" s="13"/>
      <c r="B457" s="23"/>
      <c r="C457" s="202"/>
    </row>
    <row r="458" spans="1:16" x14ac:dyDescent="0.25">
      <c r="A458" s="13"/>
      <c r="B458" s="23"/>
      <c r="C458" s="202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</row>
    <row r="459" spans="1:16" x14ac:dyDescent="0.25">
      <c r="A459" s="13"/>
      <c r="B459" s="23"/>
      <c r="C459" s="202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</row>
    <row r="460" spans="1:16" x14ac:dyDescent="0.25">
      <c r="A460" s="200"/>
      <c r="B460" s="20"/>
      <c r="C460" s="202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</row>
    <row r="461" spans="1:16" x14ac:dyDescent="0.25">
      <c r="A461" s="13"/>
      <c r="B461" s="23"/>
    </row>
    <row r="462" spans="1:16" x14ac:dyDescent="0.25">
      <c r="A462" s="13"/>
      <c r="B462" s="23"/>
    </row>
    <row r="463" spans="1:16" x14ac:dyDescent="0.25">
      <c r="A463" s="13"/>
      <c r="B463" s="23"/>
    </row>
    <row r="464" spans="1:16" x14ac:dyDescent="0.25">
      <c r="A464" s="13"/>
      <c r="B464" s="23"/>
    </row>
    <row r="465" spans="1:9" x14ac:dyDescent="0.25">
      <c r="A465" s="13"/>
      <c r="B465" s="23"/>
    </row>
    <row r="466" spans="1:9" x14ac:dyDescent="0.25">
      <c r="A466" s="13"/>
      <c r="B466" s="23"/>
    </row>
    <row r="467" spans="1:9" x14ac:dyDescent="0.25">
      <c r="A467" s="13"/>
      <c r="B467" s="23"/>
    </row>
    <row r="468" spans="1:9" x14ac:dyDescent="0.25">
      <c r="A468" s="13"/>
      <c r="B468" s="23"/>
    </row>
    <row r="469" spans="1:9" x14ac:dyDescent="0.25">
      <c r="A469" s="13"/>
      <c r="B469" s="23"/>
    </row>
    <row r="470" spans="1:9" x14ac:dyDescent="0.25">
      <c r="A470" s="13"/>
      <c r="B470" s="23"/>
    </row>
    <row r="471" spans="1:9" x14ac:dyDescent="0.25">
      <c r="A471" s="13"/>
      <c r="B471" s="23"/>
    </row>
    <row r="472" spans="1:9" x14ac:dyDescent="0.25">
      <c r="A472" s="13"/>
      <c r="B472" s="23"/>
    </row>
    <row r="473" spans="1:9" x14ac:dyDescent="0.25">
      <c r="A473" s="13"/>
      <c r="B473" s="23"/>
    </row>
    <row r="474" spans="1:9" x14ac:dyDescent="0.25">
      <c r="A474" s="13"/>
      <c r="B474" s="23"/>
    </row>
    <row r="475" spans="1:9" x14ac:dyDescent="0.25">
      <c r="A475" s="13"/>
      <c r="B475" s="23"/>
    </row>
    <row r="476" spans="1:9" x14ac:dyDescent="0.25">
      <c r="A476" s="13"/>
      <c r="B476" s="23"/>
    </row>
    <row r="477" spans="1:9" x14ac:dyDescent="0.25">
      <c r="A477" s="13"/>
      <c r="B477" s="23"/>
    </row>
    <row r="478" spans="1:9" ht="13" x14ac:dyDescent="0.3">
      <c r="B478" s="187"/>
      <c r="C478" s="188"/>
      <c r="D478" s="188"/>
      <c r="E478" s="188"/>
      <c r="F478" s="188"/>
      <c r="G478" s="188"/>
      <c r="H478" s="187"/>
      <c r="I478" s="188"/>
    </row>
    <row r="479" spans="1:9" x14ac:dyDescent="0.25">
      <c r="B479" s="188"/>
      <c r="C479" s="188"/>
      <c r="D479" s="188"/>
      <c r="E479" s="188"/>
      <c r="F479" s="188"/>
      <c r="G479" s="188"/>
      <c r="H479" s="188"/>
      <c r="I479" s="188"/>
    </row>
    <row r="480" spans="1:9" x14ac:dyDescent="0.25">
      <c r="B480" s="188"/>
      <c r="C480" s="188"/>
      <c r="D480" s="188"/>
      <c r="E480" s="188"/>
      <c r="F480" s="188"/>
      <c r="G480" s="188"/>
      <c r="H480" s="188"/>
      <c r="I480" s="188"/>
    </row>
    <row r="481" spans="1:17" ht="13" x14ac:dyDescent="0.3">
      <c r="B481" s="186"/>
      <c r="C481" s="188"/>
      <c r="D481" s="188"/>
      <c r="E481" s="188"/>
      <c r="F481" s="188"/>
      <c r="G481" s="188"/>
      <c r="H481" s="186"/>
      <c r="I481" s="188"/>
    </row>
    <row r="482" spans="1:17" x14ac:dyDescent="0.25">
      <c r="B482" s="188"/>
      <c r="C482" s="188"/>
      <c r="D482" s="188"/>
      <c r="E482" s="188"/>
      <c r="F482" s="188"/>
      <c r="G482" s="188"/>
      <c r="H482" s="188"/>
      <c r="I482" s="188"/>
    </row>
    <row r="483" spans="1:17" x14ac:dyDescent="0.25">
      <c r="B483" s="188"/>
      <c r="C483" s="188"/>
      <c r="D483" s="188"/>
      <c r="E483" s="188"/>
      <c r="F483" s="188"/>
      <c r="G483" s="188"/>
      <c r="H483" s="188"/>
      <c r="I483" s="188"/>
    </row>
    <row r="484" spans="1:17" x14ac:dyDescent="0.25">
      <c r="B484" s="188"/>
      <c r="C484" s="188"/>
      <c r="F484" s="188"/>
      <c r="G484" s="188"/>
      <c r="H484" s="188"/>
      <c r="I484" s="11"/>
      <c r="J484" s="20"/>
    </row>
    <row r="485" spans="1:17" x14ac:dyDescent="0.25">
      <c r="B485" s="206"/>
      <c r="C485" s="188"/>
      <c r="D485" s="188"/>
      <c r="E485" s="188"/>
      <c r="F485" s="188"/>
      <c r="G485" s="188"/>
      <c r="I485" s="188"/>
    </row>
    <row r="486" spans="1:17" x14ac:dyDescent="0.25">
      <c r="B486" s="188"/>
      <c r="C486" s="188"/>
      <c r="D486" s="188"/>
      <c r="E486" s="188"/>
      <c r="F486" s="188"/>
      <c r="G486" s="188"/>
      <c r="H486" s="188"/>
      <c r="I486" s="188"/>
    </row>
    <row r="487" spans="1:17" x14ac:dyDescent="0.25">
      <c r="A487" s="206"/>
      <c r="B487" s="206"/>
      <c r="C487" s="188"/>
      <c r="D487" s="188"/>
      <c r="E487" s="188"/>
      <c r="F487" s="188"/>
      <c r="G487" s="188"/>
      <c r="H487" s="188"/>
      <c r="I487" s="188"/>
    </row>
    <row r="488" spans="1:17" x14ac:dyDescent="0.25">
      <c r="B488" s="2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 x14ac:dyDescent="0.25">
      <c r="A489" s="5"/>
      <c r="B489" s="210"/>
      <c r="C489" s="5"/>
      <c r="D489" s="1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x14ac:dyDescent="0.25">
      <c r="A490" s="13"/>
      <c r="B490" s="23"/>
      <c r="C490" s="13"/>
    </row>
    <row r="491" spans="1:17" x14ac:dyDescent="0.25">
      <c r="A491" s="13"/>
      <c r="B491" s="23"/>
      <c r="C491" s="23"/>
    </row>
    <row r="492" spans="1:17" x14ac:dyDescent="0.25">
      <c r="A492" s="13"/>
      <c r="B492" s="23"/>
      <c r="C492" s="23"/>
    </row>
    <row r="493" spans="1:17" x14ac:dyDescent="0.25">
      <c r="A493" s="13"/>
      <c r="B493" s="23"/>
      <c r="C493" s="23"/>
    </row>
    <row r="494" spans="1:17" x14ac:dyDescent="0.25">
      <c r="A494" s="13"/>
      <c r="B494" s="23"/>
      <c r="C494" s="23"/>
    </row>
    <row r="495" spans="1:17" x14ac:dyDescent="0.25">
      <c r="A495" s="13"/>
      <c r="B495" s="23"/>
      <c r="C495" s="23"/>
    </row>
    <row r="496" spans="1:17" x14ac:dyDescent="0.25">
      <c r="A496" s="13"/>
      <c r="B496" s="23"/>
      <c r="C496" s="13"/>
    </row>
    <row r="497" spans="1:16" x14ac:dyDescent="0.25">
      <c r="A497" s="13"/>
      <c r="B497" s="23"/>
      <c r="C497" s="13"/>
    </row>
    <row r="498" spans="1:16" x14ac:dyDescent="0.25">
      <c r="A498" s="13"/>
      <c r="B498" s="23"/>
      <c r="C498" s="13"/>
    </row>
    <row r="499" spans="1:16" x14ac:dyDescent="0.25">
      <c r="A499" s="13"/>
      <c r="B499" s="23"/>
      <c r="C499" s="13"/>
    </row>
    <row r="500" spans="1:16" x14ac:dyDescent="0.25">
      <c r="A500" s="13"/>
      <c r="B500" s="23"/>
    </row>
    <row r="501" spans="1:16" x14ac:dyDescent="0.25">
      <c r="A501" s="13"/>
      <c r="B501" s="23"/>
      <c r="C501" s="23"/>
    </row>
    <row r="502" spans="1:16" x14ac:dyDescent="0.25">
      <c r="A502" s="200"/>
      <c r="B502" s="20"/>
    </row>
    <row r="503" spans="1:16" x14ac:dyDescent="0.25">
      <c r="A503" s="13"/>
      <c r="B503" s="23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</row>
    <row r="504" spans="1:16" x14ac:dyDescent="0.25">
      <c r="A504" s="200"/>
      <c r="B504" s="23"/>
      <c r="C504" s="23"/>
    </row>
    <row r="505" spans="1:16" x14ac:dyDescent="0.25">
      <c r="A505" s="200"/>
      <c r="B505" s="23"/>
      <c r="C505" s="23"/>
    </row>
    <row r="506" spans="1:16" x14ac:dyDescent="0.25">
      <c r="A506" s="200"/>
      <c r="B506" s="20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</row>
    <row r="507" spans="1:16" x14ac:dyDescent="0.25">
      <c r="A507" s="13"/>
      <c r="B507" s="23"/>
    </row>
    <row r="508" spans="1:16" x14ac:dyDescent="0.25">
      <c r="A508" s="200"/>
      <c r="B508" s="23"/>
      <c r="C508" s="23"/>
    </row>
    <row r="509" spans="1:16" x14ac:dyDescent="0.25">
      <c r="A509" s="200"/>
      <c r="B509" s="23"/>
      <c r="C509" s="23"/>
    </row>
    <row r="510" spans="1:16" x14ac:dyDescent="0.25">
      <c r="A510" s="200"/>
      <c r="B510" s="23"/>
      <c r="C510" s="23"/>
    </row>
    <row r="511" spans="1:16" x14ac:dyDescent="0.25">
      <c r="A511" s="200"/>
      <c r="B511" s="23"/>
      <c r="C511" s="23"/>
    </row>
    <row r="512" spans="1:16" x14ac:dyDescent="0.25">
      <c r="A512" s="200"/>
      <c r="B512" s="23"/>
      <c r="C512" s="23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</row>
    <row r="513" spans="1:16" x14ac:dyDescent="0.25">
      <c r="A513" s="200"/>
      <c r="B513" s="20"/>
      <c r="C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</row>
    <row r="514" spans="1:16" x14ac:dyDescent="0.25">
      <c r="A514" s="13"/>
      <c r="B514" s="23"/>
      <c r="C514" s="202"/>
    </row>
    <row r="515" spans="1:16" x14ac:dyDescent="0.25">
      <c r="A515" s="13"/>
      <c r="B515" s="23"/>
      <c r="C515" s="23"/>
    </row>
    <row r="516" spans="1:16" x14ac:dyDescent="0.25">
      <c r="A516" s="13"/>
      <c r="B516" s="23"/>
      <c r="C516" s="23"/>
    </row>
    <row r="517" spans="1:16" x14ac:dyDescent="0.25">
      <c r="A517" s="13"/>
      <c r="B517" s="23"/>
      <c r="C517" s="202"/>
    </row>
    <row r="518" spans="1:16" x14ac:dyDescent="0.25">
      <c r="A518" s="13"/>
      <c r="B518" s="23"/>
      <c r="C518" s="202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</row>
    <row r="519" spans="1:16" x14ac:dyDescent="0.25">
      <c r="A519" s="13"/>
      <c r="B519" s="23"/>
      <c r="C519" s="202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</row>
    <row r="520" spans="1:16" x14ac:dyDescent="0.25">
      <c r="A520" s="200"/>
      <c r="B520" s="20"/>
      <c r="C520" s="202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</row>
    <row r="521" spans="1:16" x14ac:dyDescent="0.25">
      <c r="A521" s="13"/>
      <c r="B521" s="23"/>
    </row>
    <row r="522" spans="1:16" x14ac:dyDescent="0.25">
      <c r="A522" s="13"/>
      <c r="B522" s="23"/>
    </row>
    <row r="523" spans="1:16" x14ac:dyDescent="0.25">
      <c r="A523" s="13"/>
      <c r="B523" s="23"/>
    </row>
    <row r="524" spans="1:16" x14ac:dyDescent="0.25">
      <c r="A524" s="13"/>
      <c r="B524" s="23"/>
    </row>
    <row r="525" spans="1:16" x14ac:dyDescent="0.25">
      <c r="A525" s="13"/>
      <c r="B525" s="23"/>
    </row>
    <row r="526" spans="1:16" x14ac:dyDescent="0.25">
      <c r="A526" s="13"/>
      <c r="B526" s="23"/>
    </row>
    <row r="527" spans="1:16" x14ac:dyDescent="0.25">
      <c r="A527" s="13"/>
      <c r="B527" s="23"/>
    </row>
    <row r="528" spans="1:16" x14ac:dyDescent="0.25">
      <c r="A528" s="13"/>
      <c r="B528" s="23"/>
    </row>
    <row r="529" spans="1:11" x14ac:dyDescent="0.25">
      <c r="A529" s="13"/>
      <c r="B529" s="23"/>
    </row>
    <row r="530" spans="1:11" x14ac:dyDescent="0.25">
      <c r="A530" s="13"/>
      <c r="B530" s="23"/>
    </row>
    <row r="531" spans="1:11" x14ac:dyDescent="0.25">
      <c r="A531" s="13"/>
      <c r="B531" s="23"/>
    </row>
    <row r="532" spans="1:11" x14ac:dyDescent="0.25">
      <c r="A532" s="13"/>
      <c r="B532" s="23"/>
    </row>
    <row r="533" spans="1:11" x14ac:dyDescent="0.25">
      <c r="A533" s="13"/>
      <c r="B533" s="23"/>
    </row>
    <row r="534" spans="1:11" x14ac:dyDescent="0.25">
      <c r="A534" s="13"/>
      <c r="B534" s="23"/>
    </row>
    <row r="535" spans="1:11" x14ac:dyDescent="0.25">
      <c r="A535" s="13"/>
      <c r="B535" s="23"/>
    </row>
    <row r="536" spans="1:11" x14ac:dyDescent="0.25">
      <c r="A536" s="13"/>
      <c r="B536" s="23"/>
    </row>
    <row r="537" spans="1:11" x14ac:dyDescent="0.25">
      <c r="A537" s="13"/>
      <c r="B537" s="23"/>
    </row>
    <row r="538" spans="1:11" ht="13" x14ac:dyDescent="0.3">
      <c r="B538" s="187"/>
      <c r="C538" s="188"/>
      <c r="D538" s="188"/>
      <c r="E538" s="188"/>
      <c r="F538" s="188"/>
      <c r="G538" s="188"/>
      <c r="H538" s="187"/>
      <c r="I538" s="188"/>
    </row>
    <row r="539" spans="1:11" x14ac:dyDescent="0.25">
      <c r="B539" s="188"/>
      <c r="C539" s="188"/>
      <c r="D539" s="188"/>
      <c r="E539" s="188"/>
      <c r="F539" s="188"/>
      <c r="G539" s="188"/>
      <c r="H539" s="188"/>
      <c r="I539" s="188"/>
    </row>
    <row r="540" spans="1:11" x14ac:dyDescent="0.25">
      <c r="B540" s="188"/>
      <c r="C540" s="188"/>
      <c r="D540" s="188"/>
      <c r="E540" s="188"/>
      <c r="F540" s="188"/>
      <c r="G540" s="188"/>
      <c r="H540" s="188"/>
      <c r="I540" s="188"/>
    </row>
    <row r="541" spans="1:11" ht="13" x14ac:dyDescent="0.3">
      <c r="B541" s="186"/>
      <c r="C541" s="188"/>
      <c r="D541" s="188"/>
      <c r="E541" s="188"/>
      <c r="F541" s="188"/>
      <c r="G541" s="188"/>
      <c r="H541" s="186"/>
      <c r="I541" s="188"/>
    </row>
    <row r="542" spans="1:11" x14ac:dyDescent="0.25">
      <c r="B542" s="188"/>
      <c r="C542" s="188"/>
      <c r="D542" s="188"/>
      <c r="E542" s="188"/>
      <c r="F542" s="188"/>
      <c r="G542" s="188"/>
      <c r="H542" s="188"/>
      <c r="I542" s="188"/>
    </row>
    <row r="543" spans="1:11" x14ac:dyDescent="0.25">
      <c r="B543" s="188"/>
      <c r="C543" s="188"/>
      <c r="D543" s="188"/>
      <c r="E543" s="188"/>
      <c r="F543" s="188"/>
      <c r="G543" s="188"/>
      <c r="H543" s="188"/>
      <c r="I543" s="188"/>
    </row>
    <row r="544" spans="1:11" x14ac:dyDescent="0.25">
      <c r="B544" s="188"/>
      <c r="C544" s="188"/>
      <c r="F544" s="188"/>
      <c r="G544" s="188"/>
      <c r="H544" s="188"/>
      <c r="I544" s="19"/>
      <c r="J544" s="209"/>
      <c r="K544" s="20"/>
    </row>
    <row r="545" spans="1:17" x14ac:dyDescent="0.25">
      <c r="B545" s="206"/>
      <c r="C545" s="188"/>
      <c r="D545" s="188"/>
      <c r="E545" s="188"/>
      <c r="F545" s="188"/>
      <c r="G545" s="188"/>
      <c r="I545" s="188"/>
    </row>
    <row r="546" spans="1:17" x14ac:dyDescent="0.25">
      <c r="B546" s="188"/>
      <c r="C546" s="188"/>
      <c r="D546" s="188"/>
      <c r="E546" s="188"/>
      <c r="F546" s="188"/>
      <c r="G546" s="188"/>
      <c r="H546" s="188"/>
      <c r="I546" s="188"/>
    </row>
    <row r="547" spans="1:17" x14ac:dyDescent="0.25">
      <c r="A547" s="206"/>
      <c r="B547" s="206"/>
      <c r="C547" s="188"/>
      <c r="D547" s="188"/>
      <c r="E547" s="188"/>
      <c r="F547" s="188"/>
      <c r="G547" s="188"/>
      <c r="H547" s="188"/>
      <c r="I547" s="188"/>
    </row>
    <row r="548" spans="1:17" x14ac:dyDescent="0.25">
      <c r="B548" s="2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 x14ac:dyDescent="0.25">
      <c r="A549" s="5"/>
      <c r="B549" s="210"/>
      <c r="C549" s="5"/>
      <c r="D549" s="1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x14ac:dyDescent="0.25">
      <c r="A550" s="13"/>
      <c r="B550" s="23"/>
      <c r="C550" s="13"/>
    </row>
    <row r="551" spans="1:17" x14ac:dyDescent="0.25">
      <c r="A551" s="13"/>
      <c r="B551" s="23"/>
      <c r="C551" s="23"/>
    </row>
    <row r="552" spans="1:17" x14ac:dyDescent="0.25">
      <c r="A552" s="13"/>
      <c r="B552" s="23"/>
      <c r="C552" s="23"/>
    </row>
    <row r="553" spans="1:17" x14ac:dyDescent="0.25">
      <c r="A553" s="13"/>
      <c r="B553" s="23"/>
      <c r="C553" s="23"/>
    </row>
    <row r="554" spans="1:17" x14ac:dyDescent="0.25">
      <c r="A554" s="13"/>
      <c r="B554" s="23"/>
      <c r="C554" s="23"/>
    </row>
    <row r="555" spans="1:17" x14ac:dyDescent="0.25">
      <c r="A555" s="13"/>
      <c r="B555" s="23"/>
      <c r="C555" s="23"/>
    </row>
    <row r="556" spans="1:17" x14ac:dyDescent="0.25">
      <c r="A556" s="13"/>
      <c r="B556" s="23"/>
      <c r="C556" s="13"/>
    </row>
    <row r="557" spans="1:17" x14ac:dyDescent="0.25">
      <c r="A557" s="13"/>
      <c r="B557" s="23"/>
      <c r="C557" s="13"/>
    </row>
    <row r="558" spans="1:17" x14ac:dyDescent="0.25">
      <c r="A558" s="13"/>
      <c r="B558" s="23"/>
      <c r="C558" s="13"/>
    </row>
    <row r="559" spans="1:17" x14ac:dyDescent="0.25">
      <c r="A559" s="13"/>
      <c r="B559" s="23"/>
      <c r="C559" s="13"/>
    </row>
    <row r="560" spans="1:17" x14ac:dyDescent="0.25">
      <c r="A560" s="13"/>
      <c r="B560" s="23"/>
    </row>
    <row r="561" spans="1:16" x14ac:dyDescent="0.25">
      <c r="A561" s="13"/>
      <c r="B561" s="23"/>
      <c r="C561" s="23"/>
    </row>
    <row r="562" spans="1:16" x14ac:dyDescent="0.25">
      <c r="A562" s="200"/>
      <c r="B562" s="20"/>
    </row>
    <row r="563" spans="1:16" x14ac:dyDescent="0.25">
      <c r="A563" s="13"/>
      <c r="B563" s="23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</row>
    <row r="564" spans="1:16" x14ac:dyDescent="0.25">
      <c r="A564" s="200"/>
      <c r="B564" s="23"/>
      <c r="C564" s="23"/>
    </row>
    <row r="565" spans="1:16" x14ac:dyDescent="0.25">
      <c r="A565" s="200"/>
      <c r="B565" s="23"/>
      <c r="C565" s="23"/>
    </row>
    <row r="566" spans="1:16" x14ac:dyDescent="0.25">
      <c r="A566" s="200"/>
      <c r="B566" s="20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</row>
    <row r="567" spans="1:16" x14ac:dyDescent="0.25">
      <c r="A567" s="13"/>
      <c r="B567" s="23"/>
    </row>
    <row r="568" spans="1:16" x14ac:dyDescent="0.25">
      <c r="A568" s="200"/>
      <c r="B568" s="23"/>
      <c r="C568" s="23"/>
    </row>
    <row r="569" spans="1:16" x14ac:dyDescent="0.25">
      <c r="A569" s="200"/>
      <c r="B569" s="23"/>
      <c r="C569" s="23"/>
    </row>
    <row r="570" spans="1:16" x14ac:dyDescent="0.25">
      <c r="A570" s="200"/>
      <c r="B570" s="23"/>
      <c r="C570" s="23"/>
    </row>
    <row r="571" spans="1:16" x14ac:dyDescent="0.25">
      <c r="A571" s="200"/>
      <c r="B571" s="23"/>
      <c r="C571" s="23"/>
    </row>
    <row r="572" spans="1:16" x14ac:dyDescent="0.25">
      <c r="A572" s="200"/>
      <c r="B572" s="23"/>
      <c r="C572" s="23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</row>
    <row r="573" spans="1:16" x14ac:dyDescent="0.25">
      <c r="A573" s="200"/>
      <c r="B573" s="20"/>
      <c r="C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</row>
    <row r="574" spans="1:16" x14ac:dyDescent="0.25">
      <c r="A574" s="13"/>
      <c r="B574" s="23"/>
      <c r="C574" s="202"/>
    </row>
    <row r="575" spans="1:16" x14ac:dyDescent="0.25">
      <c r="A575" s="13"/>
      <c r="B575" s="23"/>
      <c r="C575" s="23"/>
    </row>
    <row r="576" spans="1:16" x14ac:dyDescent="0.25">
      <c r="A576" s="13"/>
      <c r="B576" s="23"/>
      <c r="C576" s="23"/>
    </row>
    <row r="577" spans="1:16" x14ac:dyDescent="0.25">
      <c r="A577" s="13"/>
      <c r="B577" s="23"/>
      <c r="C577" s="202"/>
    </row>
    <row r="578" spans="1:16" x14ac:dyDescent="0.25">
      <c r="A578" s="13"/>
      <c r="B578" s="23"/>
      <c r="C578" s="202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</row>
    <row r="579" spans="1:16" x14ac:dyDescent="0.25">
      <c r="A579" s="13"/>
      <c r="B579" s="23"/>
      <c r="C579" s="202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</row>
    <row r="580" spans="1:16" x14ac:dyDescent="0.25">
      <c r="A580" s="200"/>
      <c r="B580" s="20"/>
      <c r="C580" s="202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</row>
    <row r="581" spans="1:16" x14ac:dyDescent="0.25">
      <c r="A581" s="13"/>
      <c r="B581" s="23"/>
    </row>
    <row r="582" spans="1:16" x14ac:dyDescent="0.25">
      <c r="A582" s="13"/>
      <c r="B582" s="23"/>
    </row>
    <row r="583" spans="1:16" x14ac:dyDescent="0.25">
      <c r="A583" s="13"/>
      <c r="B583" s="23"/>
    </row>
    <row r="584" spans="1:16" x14ac:dyDescent="0.25">
      <c r="A584" s="13"/>
      <c r="B584" s="23"/>
    </row>
    <row r="585" spans="1:16" x14ac:dyDescent="0.25">
      <c r="A585" s="13"/>
      <c r="B585" s="23"/>
    </row>
    <row r="586" spans="1:16" x14ac:dyDescent="0.25">
      <c r="A586" s="13"/>
      <c r="B586" s="23"/>
    </row>
    <row r="587" spans="1:16" x14ac:dyDescent="0.25">
      <c r="A587" s="13"/>
      <c r="B587" s="23"/>
    </row>
    <row r="588" spans="1:16" x14ac:dyDescent="0.25">
      <c r="A588" s="13"/>
      <c r="B588" s="23"/>
    </row>
    <row r="589" spans="1:16" x14ac:dyDescent="0.25">
      <c r="A589" s="13"/>
      <c r="B589" s="23"/>
    </row>
    <row r="590" spans="1:16" x14ac:dyDescent="0.25">
      <c r="A590" s="13"/>
      <c r="B590" s="23"/>
    </row>
    <row r="591" spans="1:16" x14ac:dyDescent="0.25">
      <c r="A591" s="13"/>
      <c r="B591" s="23"/>
    </row>
    <row r="592" spans="1:16" x14ac:dyDescent="0.25">
      <c r="A592" s="13"/>
      <c r="B592" s="23"/>
    </row>
    <row r="593" spans="1:17" x14ac:dyDescent="0.25">
      <c r="A593" s="13"/>
      <c r="B593" s="23"/>
    </row>
    <row r="594" spans="1:17" x14ac:dyDescent="0.25">
      <c r="A594" s="13"/>
      <c r="B594" s="23"/>
    </row>
    <row r="595" spans="1:17" x14ac:dyDescent="0.25">
      <c r="A595" s="13"/>
      <c r="B595" s="23"/>
    </row>
    <row r="596" spans="1:17" x14ac:dyDescent="0.25">
      <c r="A596" s="13"/>
      <c r="B596" s="23"/>
    </row>
    <row r="597" spans="1:17" x14ac:dyDescent="0.25">
      <c r="A597" s="13"/>
      <c r="B597" s="23"/>
    </row>
    <row r="598" spans="1:17" ht="13" x14ac:dyDescent="0.3">
      <c r="B598" s="187"/>
      <c r="C598" s="188"/>
      <c r="D598" s="188"/>
      <c r="E598" s="188"/>
      <c r="F598" s="188"/>
      <c r="G598" s="188"/>
      <c r="H598" s="187"/>
      <c r="I598" s="188"/>
    </row>
    <row r="599" spans="1:17" x14ac:dyDescent="0.25">
      <c r="B599" s="188"/>
      <c r="C599" s="188"/>
      <c r="D599" s="188"/>
      <c r="E599" s="188"/>
      <c r="F599" s="188"/>
      <c r="G599" s="188"/>
      <c r="H599" s="188"/>
      <c r="I599" s="188"/>
    </row>
    <row r="600" spans="1:17" x14ac:dyDescent="0.25">
      <c r="B600" s="188"/>
      <c r="C600" s="188"/>
      <c r="D600" s="188"/>
      <c r="E600" s="188"/>
      <c r="F600" s="188"/>
      <c r="G600" s="188"/>
      <c r="H600" s="188"/>
      <c r="I600" s="188"/>
    </row>
    <row r="601" spans="1:17" ht="13" x14ac:dyDescent="0.3">
      <c r="B601" s="186"/>
      <c r="C601" s="188"/>
      <c r="D601" s="188"/>
      <c r="E601" s="188"/>
      <c r="F601" s="188"/>
      <c r="G601" s="188"/>
      <c r="H601" s="186"/>
      <c r="I601" s="188"/>
    </row>
    <row r="602" spans="1:17" x14ac:dyDescent="0.25">
      <c r="B602" s="188"/>
      <c r="C602" s="188"/>
      <c r="D602" s="188"/>
      <c r="E602" s="188"/>
      <c r="F602" s="188"/>
      <c r="G602" s="188"/>
      <c r="H602" s="188"/>
      <c r="I602" s="188"/>
    </row>
    <row r="603" spans="1:17" x14ac:dyDescent="0.25">
      <c r="B603" s="188"/>
      <c r="C603" s="188"/>
      <c r="D603" s="188"/>
      <c r="E603" s="188"/>
      <c r="F603" s="188"/>
      <c r="G603" s="188"/>
      <c r="H603" s="188"/>
      <c r="I603" s="188"/>
    </row>
    <row r="604" spans="1:17" x14ac:dyDescent="0.25">
      <c r="B604" s="188"/>
      <c r="C604" s="188"/>
      <c r="F604" s="188"/>
      <c r="G604" s="188"/>
      <c r="H604" s="188"/>
    </row>
    <row r="605" spans="1:17" x14ac:dyDescent="0.25">
      <c r="B605" s="206"/>
      <c r="C605" s="188"/>
      <c r="D605" s="188"/>
      <c r="E605" s="188"/>
      <c r="F605" s="188"/>
      <c r="G605" s="188"/>
      <c r="H605" s="206"/>
      <c r="I605" s="188"/>
    </row>
    <row r="606" spans="1:17" x14ac:dyDescent="0.25">
      <c r="B606" s="188"/>
      <c r="C606" s="188"/>
      <c r="D606" s="188"/>
      <c r="E606" s="188"/>
      <c r="F606" s="188"/>
      <c r="G606" s="188"/>
      <c r="H606" s="188"/>
      <c r="I606" s="188"/>
    </row>
    <row r="607" spans="1:17" x14ac:dyDescent="0.25">
      <c r="A607" s="206"/>
      <c r="B607" s="206"/>
      <c r="C607" s="188"/>
      <c r="D607" s="188"/>
      <c r="E607" s="188"/>
      <c r="F607" s="188"/>
      <c r="G607" s="188"/>
      <c r="H607" s="188"/>
      <c r="I607" s="188"/>
    </row>
    <row r="608" spans="1:17" x14ac:dyDescent="0.25">
      <c r="B608" s="2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 x14ac:dyDescent="0.25">
      <c r="A609" s="5"/>
      <c r="B609" s="210"/>
      <c r="C609" s="5"/>
      <c r="D609" s="1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x14ac:dyDescent="0.25">
      <c r="A610" s="13"/>
      <c r="B610" s="23"/>
      <c r="C610" s="13"/>
    </row>
    <row r="611" spans="1:17" x14ac:dyDescent="0.25">
      <c r="A611" s="13"/>
      <c r="B611" s="23"/>
      <c r="C611" s="23"/>
    </row>
    <row r="612" spans="1:17" x14ac:dyDescent="0.25">
      <c r="A612" s="13"/>
      <c r="B612" s="23"/>
      <c r="C612" s="23"/>
    </row>
    <row r="613" spans="1:17" x14ac:dyDescent="0.25">
      <c r="A613" s="13"/>
      <c r="B613" s="23"/>
      <c r="C613" s="23"/>
    </row>
    <row r="614" spans="1:17" x14ac:dyDescent="0.25">
      <c r="A614" s="13"/>
      <c r="B614" s="23"/>
      <c r="C614" s="23"/>
    </row>
    <row r="615" spans="1:17" x14ac:dyDescent="0.25">
      <c r="A615" s="13"/>
      <c r="B615" s="23"/>
      <c r="C615" s="23"/>
    </row>
    <row r="616" spans="1:17" x14ac:dyDescent="0.25">
      <c r="A616" s="13"/>
      <c r="B616" s="23"/>
      <c r="C616" s="13"/>
    </row>
    <row r="617" spans="1:17" x14ac:dyDescent="0.25">
      <c r="A617" s="13"/>
      <c r="B617" s="23"/>
      <c r="C617" s="13"/>
    </row>
    <row r="618" spans="1:17" x14ac:dyDescent="0.25">
      <c r="A618" s="13"/>
      <c r="B618" s="23"/>
      <c r="C618" s="13"/>
    </row>
    <row r="619" spans="1:17" x14ac:dyDescent="0.25">
      <c r="A619" s="13"/>
      <c r="B619" s="23"/>
      <c r="C619" s="13"/>
    </row>
    <row r="620" spans="1:17" x14ac:dyDescent="0.25">
      <c r="A620" s="13"/>
      <c r="B620" s="23"/>
    </row>
    <row r="621" spans="1:17" x14ac:dyDescent="0.25">
      <c r="A621" s="13"/>
      <c r="B621" s="23"/>
      <c r="C621" s="23"/>
    </row>
    <row r="622" spans="1:17" x14ac:dyDescent="0.25">
      <c r="A622" s="200"/>
      <c r="B622" s="20"/>
    </row>
    <row r="623" spans="1:17" x14ac:dyDescent="0.25">
      <c r="A623" s="13"/>
      <c r="B623" s="23"/>
      <c r="E623" s="201"/>
      <c r="F623" s="201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</row>
    <row r="624" spans="1:17" x14ac:dyDescent="0.25">
      <c r="A624" s="200"/>
      <c r="B624" s="23"/>
      <c r="C624" s="23"/>
    </row>
    <row r="625" spans="1:16" x14ac:dyDescent="0.25">
      <c r="A625" s="200"/>
      <c r="B625" s="23"/>
      <c r="C625" s="23"/>
    </row>
    <row r="626" spans="1:16" x14ac:dyDescent="0.25">
      <c r="A626" s="200"/>
      <c r="B626" s="20"/>
      <c r="F626" s="201"/>
      <c r="G626" s="201"/>
      <c r="H626" s="201"/>
      <c r="I626" s="201"/>
      <c r="J626" s="201"/>
      <c r="K626" s="201"/>
      <c r="L626" s="201"/>
      <c r="M626" s="201"/>
      <c r="N626" s="201"/>
      <c r="O626" s="201"/>
      <c r="P626" s="201"/>
    </row>
    <row r="627" spans="1:16" x14ac:dyDescent="0.25">
      <c r="A627" s="13"/>
      <c r="B627" s="23"/>
    </row>
    <row r="628" spans="1:16" x14ac:dyDescent="0.25">
      <c r="A628" s="200"/>
      <c r="B628" s="23"/>
      <c r="C628" s="23"/>
    </row>
    <row r="629" spans="1:16" x14ac:dyDescent="0.25">
      <c r="A629" s="200"/>
      <c r="B629" s="23"/>
      <c r="C629" s="23"/>
    </row>
    <row r="630" spans="1:16" x14ac:dyDescent="0.25">
      <c r="A630" s="200"/>
      <c r="B630" s="23"/>
      <c r="C630" s="23"/>
    </row>
    <row r="631" spans="1:16" x14ac:dyDescent="0.25">
      <c r="A631" s="200"/>
      <c r="B631" s="23"/>
      <c r="C631" s="23"/>
    </row>
    <row r="632" spans="1:16" x14ac:dyDescent="0.25">
      <c r="A632" s="200"/>
      <c r="B632" s="23"/>
      <c r="C632" s="23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</row>
    <row r="633" spans="1:16" x14ac:dyDescent="0.25">
      <c r="A633" s="200"/>
      <c r="B633" s="20"/>
      <c r="C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</row>
    <row r="634" spans="1:16" x14ac:dyDescent="0.25">
      <c r="A634" s="13"/>
      <c r="B634" s="23"/>
      <c r="C634" s="202"/>
    </row>
    <row r="635" spans="1:16" x14ac:dyDescent="0.25">
      <c r="A635" s="13"/>
      <c r="B635" s="23"/>
      <c r="C635" s="23"/>
    </row>
    <row r="636" spans="1:16" x14ac:dyDescent="0.25">
      <c r="A636" s="13"/>
      <c r="B636" s="23"/>
      <c r="C636" s="23"/>
    </row>
    <row r="637" spans="1:16" x14ac:dyDescent="0.25">
      <c r="A637" s="13"/>
      <c r="B637" s="23"/>
      <c r="C637" s="202"/>
    </row>
    <row r="638" spans="1:16" x14ac:dyDescent="0.25">
      <c r="A638" s="13"/>
      <c r="B638" s="23"/>
      <c r="C638" s="202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</row>
    <row r="639" spans="1:16" x14ac:dyDescent="0.25">
      <c r="A639" s="13"/>
      <c r="B639" s="23"/>
      <c r="C639" s="202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</row>
    <row r="640" spans="1:16" x14ac:dyDescent="0.25">
      <c r="A640" s="200"/>
      <c r="B640" s="20"/>
      <c r="C640" s="202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</row>
    <row r="641" spans="1:9" x14ac:dyDescent="0.25">
      <c r="A641" s="13"/>
      <c r="B641" s="23"/>
    </row>
    <row r="642" spans="1:9" x14ac:dyDescent="0.25">
      <c r="A642" s="13"/>
      <c r="B642" s="23"/>
    </row>
    <row r="643" spans="1:9" x14ac:dyDescent="0.25">
      <c r="A643" s="13"/>
      <c r="B643" s="23"/>
    </row>
    <row r="644" spans="1:9" x14ac:dyDescent="0.25">
      <c r="B644" s="23"/>
    </row>
    <row r="645" spans="1:9" x14ac:dyDescent="0.25">
      <c r="B645" s="23"/>
    </row>
    <row r="646" spans="1:9" x14ac:dyDescent="0.25">
      <c r="B646" s="23"/>
    </row>
    <row r="647" spans="1:9" x14ac:dyDescent="0.25">
      <c r="B647" s="23"/>
    </row>
    <row r="648" spans="1:9" x14ac:dyDescent="0.25">
      <c r="B648" s="23"/>
    </row>
    <row r="649" spans="1:9" ht="13" x14ac:dyDescent="0.3">
      <c r="B649" s="187"/>
      <c r="C649" s="188"/>
      <c r="D649" s="188"/>
      <c r="E649" s="188"/>
      <c r="F649" s="188"/>
      <c r="G649" s="188"/>
      <c r="H649" s="187"/>
      <c r="I649" s="188"/>
    </row>
    <row r="650" spans="1:9" x14ac:dyDescent="0.25">
      <c r="B650" s="188"/>
      <c r="C650" s="188"/>
      <c r="D650" s="188"/>
      <c r="E650" s="188"/>
      <c r="F650" s="188"/>
      <c r="G650" s="188"/>
      <c r="H650" s="188"/>
      <c r="I650" s="188"/>
    </row>
    <row r="651" spans="1:9" x14ac:dyDescent="0.25">
      <c r="B651" s="188"/>
      <c r="C651" s="188"/>
      <c r="D651" s="188"/>
      <c r="E651" s="188"/>
      <c r="F651" s="188"/>
      <c r="G651" s="188"/>
      <c r="H651" s="188"/>
      <c r="I651" s="188"/>
    </row>
    <row r="652" spans="1:9" ht="13" x14ac:dyDescent="0.3">
      <c r="B652" s="186"/>
      <c r="C652" s="188"/>
      <c r="D652" s="188"/>
      <c r="E652" s="188"/>
      <c r="F652" s="188"/>
      <c r="G652" s="188"/>
      <c r="H652" s="186"/>
      <c r="I652" s="188"/>
    </row>
    <row r="653" spans="1:9" x14ac:dyDescent="0.25">
      <c r="B653" s="188"/>
      <c r="C653" s="188"/>
      <c r="D653" s="188"/>
      <c r="E653" s="188"/>
      <c r="F653" s="188"/>
      <c r="G653" s="188"/>
      <c r="H653" s="188"/>
      <c r="I653" s="188"/>
    </row>
    <row r="654" spans="1:9" x14ac:dyDescent="0.25">
      <c r="B654" s="188"/>
      <c r="C654" s="188"/>
      <c r="D654" s="188"/>
      <c r="E654" s="188"/>
      <c r="F654" s="188"/>
      <c r="G654" s="188"/>
      <c r="H654" s="188"/>
      <c r="I654" s="188"/>
    </row>
    <row r="655" spans="1:9" x14ac:dyDescent="0.25">
      <c r="B655" s="188"/>
      <c r="C655" s="188"/>
      <c r="F655" s="188"/>
      <c r="G655" s="188"/>
      <c r="H655" s="188"/>
      <c r="I655" s="19"/>
    </row>
    <row r="656" spans="1:9" x14ac:dyDescent="0.25">
      <c r="B656" s="206"/>
      <c r="C656" s="188"/>
      <c r="D656" s="188"/>
      <c r="E656" s="188"/>
      <c r="F656" s="188"/>
      <c r="G656" s="188"/>
      <c r="H656" s="206"/>
      <c r="I656" s="188"/>
    </row>
    <row r="657" spans="1:17" x14ac:dyDescent="0.25">
      <c r="B657" s="188"/>
      <c r="C657" s="188"/>
      <c r="D657" s="188"/>
      <c r="E657" s="188"/>
      <c r="F657" s="188"/>
      <c r="G657" s="188"/>
      <c r="H657" s="188"/>
      <c r="I657" s="188"/>
    </row>
    <row r="658" spans="1:17" x14ac:dyDescent="0.25">
      <c r="A658" s="206"/>
      <c r="B658" s="206"/>
      <c r="C658" s="188"/>
      <c r="D658" s="188"/>
      <c r="E658" s="188"/>
      <c r="F658" s="188"/>
      <c r="G658" s="188"/>
      <c r="H658" s="188"/>
      <c r="I658" s="188"/>
    </row>
    <row r="659" spans="1:17" x14ac:dyDescent="0.25">
      <c r="B659" s="2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 x14ac:dyDescent="0.25">
      <c r="A660" s="5"/>
      <c r="B660" s="13"/>
      <c r="C660" s="5"/>
      <c r="D660" s="1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13"/>
    </row>
    <row r="661" spans="1:17" x14ac:dyDescent="0.25">
      <c r="A661" s="13"/>
      <c r="B661" s="23"/>
      <c r="C661" s="23"/>
    </row>
    <row r="662" spans="1:17" x14ac:dyDescent="0.25">
      <c r="A662" s="13"/>
      <c r="B662" s="23"/>
      <c r="C662" s="23"/>
    </row>
    <row r="663" spans="1:17" x14ac:dyDescent="0.25">
      <c r="A663" s="13"/>
      <c r="B663" s="23"/>
      <c r="C663" s="23"/>
    </row>
    <row r="664" spans="1:17" x14ac:dyDescent="0.25">
      <c r="A664" s="13"/>
      <c r="B664" s="23"/>
      <c r="C664" s="23"/>
    </row>
    <row r="665" spans="1:17" x14ac:dyDescent="0.25">
      <c r="A665" s="13"/>
      <c r="B665" s="23"/>
      <c r="C665" s="23"/>
    </row>
    <row r="666" spans="1:17" x14ac:dyDescent="0.25">
      <c r="A666" s="13"/>
      <c r="B666" s="23"/>
      <c r="C666" s="23"/>
    </row>
    <row r="667" spans="1:17" x14ac:dyDescent="0.25">
      <c r="A667" s="13"/>
      <c r="B667" s="23"/>
      <c r="C667" s="23"/>
    </row>
    <row r="668" spans="1:17" x14ac:dyDescent="0.25">
      <c r="A668" s="13"/>
      <c r="B668" s="23"/>
      <c r="C668" s="23"/>
    </row>
    <row r="669" spans="1:17" x14ac:dyDescent="0.25">
      <c r="A669" s="13"/>
      <c r="B669" s="23"/>
      <c r="C669" s="23"/>
    </row>
    <row r="670" spans="1:17" x14ac:dyDescent="0.25">
      <c r="A670" s="13"/>
      <c r="B670" s="23"/>
      <c r="C670" s="23"/>
    </row>
    <row r="671" spans="1:17" x14ac:dyDescent="0.25">
      <c r="A671" s="13"/>
      <c r="B671" s="23"/>
      <c r="C671" s="23"/>
    </row>
    <row r="672" spans="1:17" x14ac:dyDescent="0.25">
      <c r="A672" s="13"/>
      <c r="B672" s="23"/>
      <c r="C672" s="23"/>
    </row>
    <row r="673" spans="1:16" x14ac:dyDescent="0.25">
      <c r="A673" s="13"/>
      <c r="B673" s="23"/>
      <c r="C673" s="23"/>
    </row>
    <row r="674" spans="1:16" x14ac:dyDescent="0.25">
      <c r="A674" s="13"/>
      <c r="B674" s="23"/>
      <c r="C674" s="23"/>
      <c r="E674" s="201"/>
      <c r="F674" s="201"/>
      <c r="G674" s="201"/>
      <c r="H674" s="201"/>
      <c r="I674" s="201"/>
      <c r="J674" s="201"/>
      <c r="K674" s="201"/>
      <c r="L674" s="201"/>
      <c r="M674" s="201"/>
      <c r="N674" s="201"/>
      <c r="O674" s="201"/>
      <c r="P674" s="201"/>
    </row>
    <row r="675" spans="1:16" x14ac:dyDescent="0.25">
      <c r="A675" s="13"/>
      <c r="B675" s="23"/>
      <c r="C675" s="23"/>
    </row>
    <row r="676" spans="1:16" x14ac:dyDescent="0.25">
      <c r="A676" s="13"/>
      <c r="B676" s="23"/>
      <c r="C676" s="23"/>
    </row>
    <row r="677" spans="1:16" x14ac:dyDescent="0.25">
      <c r="A677" s="13"/>
      <c r="B677" s="23"/>
      <c r="C677" s="23"/>
      <c r="F677" s="201"/>
      <c r="G677" s="201"/>
      <c r="H677" s="201"/>
      <c r="I677" s="201"/>
      <c r="J677" s="201"/>
      <c r="K677" s="201"/>
      <c r="L677" s="201"/>
      <c r="M677" s="201"/>
      <c r="N677" s="201"/>
      <c r="O677" s="201"/>
      <c r="P677" s="201"/>
    </row>
    <row r="678" spans="1:16" x14ac:dyDescent="0.25">
      <c r="A678" s="13"/>
      <c r="B678" s="23"/>
      <c r="C678" s="23"/>
    </row>
    <row r="679" spans="1:16" x14ac:dyDescent="0.25">
      <c r="A679" s="13"/>
      <c r="B679" s="23"/>
      <c r="C679" s="23"/>
    </row>
    <row r="680" spans="1:16" x14ac:dyDescent="0.25">
      <c r="A680" s="13"/>
      <c r="B680" s="23"/>
      <c r="C680" s="23"/>
    </row>
    <row r="681" spans="1:16" x14ac:dyDescent="0.25">
      <c r="A681" s="13"/>
      <c r="B681" s="23"/>
      <c r="C681" s="23"/>
    </row>
    <row r="682" spans="1:16" x14ac:dyDescent="0.25">
      <c r="A682" s="13"/>
      <c r="B682" s="23"/>
      <c r="C682" s="23"/>
    </row>
    <row r="683" spans="1:16" x14ac:dyDescent="0.25">
      <c r="A683" s="13"/>
      <c r="B683" s="23"/>
      <c r="C683" s="23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</row>
    <row r="684" spans="1:16" x14ac:dyDescent="0.25">
      <c r="A684" s="13"/>
      <c r="B684" s="23"/>
      <c r="C684" s="23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</row>
    <row r="685" spans="1:16" x14ac:dyDescent="0.25">
      <c r="A685" s="13"/>
      <c r="B685" s="23"/>
      <c r="C685" s="23"/>
    </row>
    <row r="686" spans="1:16" x14ac:dyDescent="0.25">
      <c r="A686" s="13"/>
      <c r="B686" s="23"/>
      <c r="C686" s="23"/>
    </row>
    <row r="687" spans="1:16" x14ac:dyDescent="0.25">
      <c r="A687" s="13"/>
      <c r="B687" s="23"/>
      <c r="C687" s="23"/>
    </row>
    <row r="688" spans="1:16" x14ac:dyDescent="0.25">
      <c r="A688" s="13"/>
      <c r="B688" s="23"/>
      <c r="C688" s="23"/>
    </row>
    <row r="689" spans="1:16" x14ac:dyDescent="0.25">
      <c r="A689" s="13"/>
      <c r="B689" s="23"/>
      <c r="C689" s="2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</row>
    <row r="690" spans="1:16" x14ac:dyDescent="0.25">
      <c r="A690" s="13"/>
      <c r="B690" s="23"/>
      <c r="C690" s="2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</row>
    <row r="691" spans="1:16" x14ac:dyDescent="0.25">
      <c r="A691" s="13"/>
      <c r="B691" s="23"/>
      <c r="C691" s="2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</row>
    <row r="692" spans="1:16" x14ac:dyDescent="0.25">
      <c r="A692" s="13"/>
      <c r="B692" s="23"/>
      <c r="C692" s="23"/>
    </row>
    <row r="693" spans="1:16" x14ac:dyDescent="0.25">
      <c r="A693" s="13"/>
      <c r="B693" s="23"/>
      <c r="C693" s="23"/>
    </row>
    <row r="694" spans="1:16" x14ac:dyDescent="0.25">
      <c r="A694" s="13"/>
      <c r="B694" s="23"/>
      <c r="C694" s="23"/>
    </row>
    <row r="695" spans="1:16" x14ac:dyDescent="0.25">
      <c r="B695" s="23"/>
    </row>
    <row r="696" spans="1:16" x14ac:dyDescent="0.25">
      <c r="B696" s="23"/>
    </row>
    <row r="697" spans="1:16" x14ac:dyDescent="0.25">
      <c r="B697" s="23"/>
    </row>
    <row r="698" spans="1:16" x14ac:dyDescent="0.25">
      <c r="B698" s="23"/>
    </row>
    <row r="699" spans="1:16" x14ac:dyDescent="0.25">
      <c r="B699" s="23"/>
    </row>
    <row r="700" spans="1:16" x14ac:dyDescent="0.25">
      <c r="B700" s="23"/>
    </row>
    <row r="701" spans="1:16" x14ac:dyDescent="0.25">
      <c r="B701" s="23"/>
    </row>
    <row r="702" spans="1:16" x14ac:dyDescent="0.25">
      <c r="B702" s="23"/>
    </row>
    <row r="703" spans="1:16" x14ac:dyDescent="0.25">
      <c r="B703" s="23"/>
    </row>
    <row r="704" spans="1:16" x14ac:dyDescent="0.25">
      <c r="B704" s="23"/>
    </row>
    <row r="705" spans="1:17" ht="13" x14ac:dyDescent="0.3">
      <c r="B705" s="187"/>
      <c r="C705" s="188"/>
      <c r="D705" s="188"/>
      <c r="E705" s="188"/>
      <c r="F705" s="188"/>
      <c r="G705" s="188"/>
      <c r="H705" s="187"/>
      <c r="I705" s="188"/>
    </row>
    <row r="706" spans="1:17" x14ac:dyDescent="0.25">
      <c r="B706" s="188"/>
      <c r="C706" s="188"/>
      <c r="D706" s="188"/>
      <c r="E706" s="188"/>
      <c r="F706" s="188"/>
      <c r="G706" s="188"/>
      <c r="H706" s="188"/>
      <c r="I706" s="188"/>
    </row>
    <row r="707" spans="1:17" x14ac:dyDescent="0.25">
      <c r="B707" s="188"/>
      <c r="C707" s="188"/>
      <c r="D707" s="188"/>
      <c r="E707" s="188"/>
      <c r="F707" s="188"/>
      <c r="G707" s="188"/>
      <c r="H707" s="188"/>
      <c r="I707" s="188"/>
    </row>
    <row r="708" spans="1:17" ht="13" x14ac:dyDescent="0.3">
      <c r="B708" s="186"/>
      <c r="C708" s="188"/>
      <c r="D708" s="188"/>
      <c r="E708" s="188"/>
      <c r="F708" s="188"/>
      <c r="G708" s="188"/>
      <c r="H708" s="186"/>
      <c r="I708" s="188"/>
    </row>
    <row r="709" spans="1:17" x14ac:dyDescent="0.25">
      <c r="B709" s="188"/>
      <c r="C709" s="188"/>
      <c r="D709" s="188"/>
      <c r="E709" s="188"/>
      <c r="F709" s="188"/>
      <c r="G709" s="188"/>
      <c r="H709" s="188"/>
      <c r="I709" s="188"/>
    </row>
    <row r="710" spans="1:17" x14ac:dyDescent="0.25">
      <c r="B710" s="188"/>
      <c r="C710" s="188"/>
      <c r="D710" s="188"/>
      <c r="E710" s="188"/>
      <c r="F710" s="188"/>
      <c r="G710" s="188"/>
      <c r="H710" s="188"/>
      <c r="I710" s="188"/>
    </row>
    <row r="711" spans="1:17" x14ac:dyDescent="0.25">
      <c r="B711" s="188"/>
      <c r="C711" s="188"/>
      <c r="F711" s="188"/>
      <c r="G711" s="188"/>
      <c r="H711" s="188"/>
      <c r="I711" s="19"/>
    </row>
    <row r="712" spans="1:17" x14ac:dyDescent="0.25">
      <c r="B712" s="206"/>
      <c r="C712" s="188"/>
      <c r="D712" s="188"/>
      <c r="E712" s="188"/>
      <c r="F712" s="188"/>
      <c r="G712" s="188"/>
      <c r="H712" s="206"/>
      <c r="I712" s="188"/>
    </row>
    <row r="713" spans="1:17" x14ac:dyDescent="0.25">
      <c r="B713" s="188"/>
      <c r="C713" s="188"/>
      <c r="D713" s="188"/>
      <c r="E713" s="188"/>
      <c r="F713" s="188"/>
      <c r="G713" s="188"/>
      <c r="H713" s="188"/>
      <c r="I713" s="188"/>
    </row>
    <row r="714" spans="1:17" x14ac:dyDescent="0.25">
      <c r="A714" s="206"/>
      <c r="B714" s="206"/>
      <c r="C714" s="188"/>
      <c r="D714" s="188"/>
      <c r="E714" s="188"/>
      <c r="F714" s="188"/>
      <c r="G714" s="188"/>
      <c r="H714" s="188"/>
      <c r="I714" s="188"/>
    </row>
    <row r="715" spans="1:17" x14ac:dyDescent="0.25">
      <c r="B715" s="2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 x14ac:dyDescent="0.25">
      <c r="A716" s="5"/>
      <c r="B716" s="210"/>
      <c r="C716" s="5"/>
      <c r="D716" s="1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x14ac:dyDescent="0.25">
      <c r="A717" s="13"/>
      <c r="B717" s="23"/>
      <c r="C717" s="13"/>
    </row>
    <row r="718" spans="1:17" x14ac:dyDescent="0.25">
      <c r="A718" s="13"/>
      <c r="B718" s="23"/>
      <c r="C718" s="23"/>
    </row>
    <row r="719" spans="1:17" x14ac:dyDescent="0.25">
      <c r="A719" s="13"/>
      <c r="B719" s="23"/>
      <c r="C719" s="23"/>
    </row>
    <row r="720" spans="1:17" x14ac:dyDescent="0.25">
      <c r="A720" s="13"/>
      <c r="B720" s="23"/>
      <c r="C720" s="23"/>
    </row>
    <row r="721" spans="1:16" x14ac:dyDescent="0.25">
      <c r="A721" s="13"/>
      <c r="B721" s="23"/>
      <c r="C721" s="23"/>
    </row>
    <row r="722" spans="1:16" x14ac:dyDescent="0.25">
      <c r="A722" s="13"/>
      <c r="B722" s="23"/>
      <c r="C722" s="23"/>
    </row>
    <row r="723" spans="1:16" x14ac:dyDescent="0.25">
      <c r="A723" s="13"/>
      <c r="B723" s="23"/>
      <c r="C723" s="13"/>
    </row>
    <row r="724" spans="1:16" x14ac:dyDescent="0.25">
      <c r="A724" s="13"/>
      <c r="B724" s="23"/>
      <c r="C724" s="13"/>
    </row>
    <row r="725" spans="1:16" x14ac:dyDescent="0.25">
      <c r="A725" s="13"/>
      <c r="B725" s="23"/>
      <c r="C725" s="13"/>
    </row>
    <row r="726" spans="1:16" x14ac:dyDescent="0.25">
      <c r="A726" s="13"/>
      <c r="B726" s="23"/>
      <c r="C726" s="13"/>
    </row>
    <row r="727" spans="1:16" x14ac:dyDescent="0.25">
      <c r="A727" s="13"/>
      <c r="B727" s="23"/>
    </row>
    <row r="728" spans="1:16" x14ac:dyDescent="0.25">
      <c r="A728" s="13"/>
      <c r="B728" s="23"/>
      <c r="C728" s="23"/>
    </row>
    <row r="729" spans="1:16" x14ac:dyDescent="0.25">
      <c r="A729" s="200"/>
      <c r="B729" s="20"/>
    </row>
    <row r="730" spans="1:16" x14ac:dyDescent="0.25">
      <c r="A730" s="13"/>
      <c r="B730" s="23"/>
      <c r="E730" s="201"/>
      <c r="F730" s="201"/>
      <c r="G730" s="201"/>
      <c r="H730" s="201"/>
      <c r="I730" s="201"/>
      <c r="J730" s="201"/>
      <c r="K730" s="201"/>
      <c r="L730" s="201"/>
      <c r="M730" s="201"/>
      <c r="N730" s="201"/>
      <c r="O730" s="201"/>
      <c r="P730" s="201"/>
    </row>
    <row r="731" spans="1:16" x14ac:dyDescent="0.25">
      <c r="A731" s="200"/>
      <c r="B731" s="23"/>
      <c r="C731" s="23"/>
    </row>
    <row r="732" spans="1:16" x14ac:dyDescent="0.25">
      <c r="A732" s="200"/>
      <c r="B732" s="23"/>
      <c r="C732" s="23"/>
    </row>
    <row r="733" spans="1:16" x14ac:dyDescent="0.25">
      <c r="A733" s="200"/>
      <c r="B733" s="20"/>
      <c r="F733" s="201"/>
      <c r="G733" s="201"/>
      <c r="H733" s="201"/>
      <c r="I733" s="201"/>
      <c r="J733" s="201"/>
      <c r="K733" s="201"/>
      <c r="L733" s="201"/>
      <c r="M733" s="201"/>
      <c r="N733" s="201"/>
      <c r="O733" s="201"/>
      <c r="P733" s="201"/>
    </row>
    <row r="734" spans="1:16" x14ac:dyDescent="0.25">
      <c r="A734" s="13"/>
      <c r="B734" s="23"/>
    </row>
    <row r="735" spans="1:16" x14ac:dyDescent="0.25">
      <c r="A735" s="200"/>
      <c r="B735" s="23"/>
      <c r="C735" s="23"/>
    </row>
    <row r="736" spans="1:16" x14ac:dyDescent="0.25">
      <c r="A736" s="200"/>
      <c r="B736" s="23"/>
      <c r="C736" s="23"/>
    </row>
    <row r="737" spans="1:16" x14ac:dyDescent="0.25">
      <c r="A737" s="200"/>
      <c r="B737" s="23"/>
      <c r="C737" s="23"/>
    </row>
    <row r="738" spans="1:16" x14ac:dyDescent="0.25">
      <c r="A738" s="200"/>
      <c r="B738" s="23"/>
      <c r="C738" s="23"/>
    </row>
    <row r="739" spans="1:16" x14ac:dyDescent="0.25">
      <c r="A739" s="200"/>
      <c r="B739" s="23"/>
      <c r="C739" s="23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</row>
    <row r="740" spans="1:16" x14ac:dyDescent="0.25">
      <c r="A740" s="200"/>
      <c r="B740" s="20"/>
      <c r="C740" s="202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</row>
    <row r="741" spans="1:16" x14ac:dyDescent="0.25">
      <c r="A741" s="13"/>
      <c r="B741" s="23"/>
      <c r="C741" s="202"/>
    </row>
    <row r="742" spans="1:16" x14ac:dyDescent="0.25">
      <c r="A742" s="13"/>
      <c r="B742" s="23"/>
      <c r="C742" s="23"/>
    </row>
    <row r="743" spans="1:16" x14ac:dyDescent="0.25">
      <c r="A743" s="13"/>
      <c r="B743" s="23"/>
      <c r="C743" s="23"/>
    </row>
    <row r="744" spans="1:16" x14ac:dyDescent="0.25">
      <c r="A744" s="13"/>
      <c r="B744" s="23"/>
      <c r="C744" s="202"/>
    </row>
    <row r="745" spans="1:16" x14ac:dyDescent="0.25">
      <c r="A745" s="13"/>
      <c r="B745" s="23"/>
      <c r="C745" s="202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</row>
    <row r="746" spans="1:16" x14ac:dyDescent="0.25">
      <c r="A746" s="13"/>
      <c r="B746" s="23"/>
      <c r="C746" s="202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</row>
    <row r="747" spans="1:16" x14ac:dyDescent="0.25">
      <c r="A747" s="200"/>
      <c r="B747" s="20"/>
      <c r="C747" s="202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</row>
    <row r="748" spans="1:16" x14ac:dyDescent="0.25">
      <c r="A748" s="13"/>
      <c r="B748" s="23"/>
    </row>
    <row r="749" spans="1:16" x14ac:dyDescent="0.25">
      <c r="A749" s="13"/>
      <c r="B749" s="23"/>
    </row>
    <row r="750" spans="1:16" x14ac:dyDescent="0.25">
      <c r="A750" s="13"/>
      <c r="B750" s="23"/>
    </row>
    <row r="751" spans="1:16" x14ac:dyDescent="0.25">
      <c r="B751" s="23"/>
    </row>
    <row r="752" spans="1:16" x14ac:dyDescent="0.25">
      <c r="B752" s="23"/>
    </row>
    <row r="753" spans="2:9" x14ac:dyDescent="0.25">
      <c r="B753" s="23"/>
    </row>
    <row r="754" spans="2:9" x14ac:dyDescent="0.25">
      <c r="B754" s="23"/>
    </row>
    <row r="755" spans="2:9" x14ac:dyDescent="0.25">
      <c r="B755" s="23"/>
    </row>
    <row r="756" spans="2:9" x14ac:dyDescent="0.25">
      <c r="B756" s="23"/>
    </row>
    <row r="757" spans="2:9" x14ac:dyDescent="0.25">
      <c r="B757" s="23"/>
    </row>
    <row r="758" spans="2:9" x14ac:dyDescent="0.25">
      <c r="B758" s="23"/>
    </row>
    <row r="759" spans="2:9" x14ac:dyDescent="0.25">
      <c r="B759" s="23"/>
    </row>
    <row r="760" spans="2:9" x14ac:dyDescent="0.25">
      <c r="B760" s="23"/>
    </row>
    <row r="761" spans="2:9" x14ac:dyDescent="0.25">
      <c r="B761" s="23"/>
    </row>
    <row r="762" spans="2:9" x14ac:dyDescent="0.25">
      <c r="B762" s="23"/>
    </row>
    <row r="763" spans="2:9" x14ac:dyDescent="0.25">
      <c r="B763" s="23"/>
    </row>
    <row r="764" spans="2:9" x14ac:dyDescent="0.25">
      <c r="B764" s="23"/>
    </row>
    <row r="765" spans="2:9" ht="13" x14ac:dyDescent="0.3">
      <c r="B765" s="187"/>
      <c r="C765" s="188"/>
      <c r="D765" s="188"/>
      <c r="E765" s="188"/>
      <c r="F765" s="188"/>
      <c r="G765" s="188"/>
      <c r="H765" s="187"/>
      <c r="I765" s="188"/>
    </row>
    <row r="766" spans="2:9" x14ac:dyDescent="0.25">
      <c r="B766" s="188"/>
      <c r="C766" s="188"/>
      <c r="D766" s="188"/>
      <c r="E766" s="188"/>
      <c r="F766" s="188"/>
      <c r="G766" s="188"/>
      <c r="H766" s="188"/>
      <c r="I766" s="188"/>
    </row>
    <row r="767" spans="2:9" x14ac:dyDescent="0.25">
      <c r="B767" s="188"/>
      <c r="C767" s="188"/>
      <c r="D767" s="188"/>
      <c r="E767" s="188"/>
      <c r="F767" s="188"/>
      <c r="G767" s="188"/>
      <c r="H767" s="188"/>
      <c r="I767" s="188"/>
    </row>
    <row r="768" spans="2:9" ht="13" x14ac:dyDescent="0.3">
      <c r="B768" s="186"/>
      <c r="C768" s="188"/>
      <c r="D768" s="188"/>
      <c r="E768" s="188"/>
      <c r="F768" s="188"/>
      <c r="G768" s="188"/>
      <c r="H768" s="186"/>
      <c r="I768" s="188"/>
    </row>
    <row r="769" spans="1:17" x14ac:dyDescent="0.25">
      <c r="B769" s="188"/>
      <c r="C769" s="188"/>
      <c r="D769" s="188"/>
      <c r="E769" s="188"/>
      <c r="F769" s="188"/>
      <c r="G769" s="188"/>
      <c r="H769" s="188"/>
      <c r="I769" s="188"/>
    </row>
    <row r="770" spans="1:17" x14ac:dyDescent="0.25">
      <c r="B770" s="188"/>
      <c r="C770" s="188"/>
      <c r="D770" s="188"/>
      <c r="E770" s="188"/>
      <c r="F770" s="188"/>
      <c r="G770" s="188"/>
      <c r="H770" s="188"/>
      <c r="I770" s="188"/>
    </row>
    <row r="771" spans="1:17" x14ac:dyDescent="0.25">
      <c r="B771" s="188"/>
      <c r="C771" s="188"/>
      <c r="F771" s="188"/>
      <c r="G771" s="188"/>
      <c r="H771" s="188"/>
      <c r="I771" s="222"/>
    </row>
    <row r="772" spans="1:17" x14ac:dyDescent="0.25">
      <c r="B772" s="206"/>
      <c r="C772" s="188"/>
      <c r="D772" s="188"/>
      <c r="E772" s="188"/>
      <c r="F772" s="188"/>
      <c r="G772" s="188"/>
      <c r="I772" s="188"/>
    </row>
    <row r="773" spans="1:17" x14ac:dyDescent="0.25">
      <c r="B773" s="188"/>
      <c r="C773" s="188"/>
      <c r="D773" s="188"/>
      <c r="E773" s="188"/>
      <c r="F773" s="188"/>
      <c r="G773" s="188"/>
      <c r="H773" s="188"/>
      <c r="I773" s="188"/>
    </row>
    <row r="774" spans="1:17" x14ac:dyDescent="0.25">
      <c r="A774" s="206"/>
      <c r="B774" s="206"/>
      <c r="C774" s="188"/>
      <c r="D774" s="188"/>
      <c r="E774" s="188"/>
      <c r="F774" s="188"/>
      <c r="G774" s="188"/>
      <c r="H774" s="188"/>
      <c r="I774" s="188"/>
    </row>
    <row r="775" spans="1:17" x14ac:dyDescent="0.25">
      <c r="B775" s="2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 x14ac:dyDescent="0.25">
      <c r="A776" s="5"/>
      <c r="B776" s="210"/>
      <c r="C776" s="5"/>
      <c r="D776" s="13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x14ac:dyDescent="0.25">
      <c r="A777" s="13"/>
      <c r="B777" s="23"/>
      <c r="C777" s="13"/>
    </row>
    <row r="778" spans="1:17" x14ac:dyDescent="0.25">
      <c r="A778" s="13"/>
      <c r="B778" s="23"/>
      <c r="C778" s="23"/>
    </row>
    <row r="779" spans="1:17" x14ac:dyDescent="0.25">
      <c r="A779" s="13"/>
      <c r="B779" s="23"/>
      <c r="C779" s="23"/>
    </row>
    <row r="780" spans="1:17" x14ac:dyDescent="0.25">
      <c r="A780" s="13"/>
      <c r="B780" s="23"/>
      <c r="C780" s="23"/>
    </row>
    <row r="781" spans="1:17" x14ac:dyDescent="0.25">
      <c r="A781" s="13"/>
      <c r="B781" s="23"/>
      <c r="C781" s="23"/>
    </row>
    <row r="782" spans="1:17" x14ac:dyDescent="0.25">
      <c r="A782" s="13"/>
      <c r="B782" s="23"/>
      <c r="C782" s="23"/>
    </row>
    <row r="783" spans="1:17" x14ac:dyDescent="0.25">
      <c r="A783" s="13"/>
      <c r="B783" s="23"/>
      <c r="C783" s="13"/>
    </row>
    <row r="784" spans="1:17" x14ac:dyDescent="0.25">
      <c r="A784" s="13"/>
      <c r="B784" s="23"/>
      <c r="C784" s="13"/>
    </row>
    <row r="785" spans="1:16" x14ac:dyDescent="0.25">
      <c r="A785" s="13"/>
      <c r="B785" s="23"/>
      <c r="C785" s="13"/>
    </row>
    <row r="786" spans="1:16" x14ac:dyDescent="0.25">
      <c r="A786" s="13"/>
      <c r="B786" s="23"/>
      <c r="C786" s="13"/>
    </row>
    <row r="787" spans="1:16" x14ac:dyDescent="0.25">
      <c r="A787" s="13"/>
      <c r="B787" s="23"/>
    </row>
    <row r="788" spans="1:16" x14ac:dyDescent="0.25">
      <c r="A788" s="13"/>
      <c r="B788" s="23"/>
      <c r="C788" s="23"/>
    </row>
    <row r="789" spans="1:16" x14ac:dyDescent="0.25">
      <c r="A789" s="200"/>
      <c r="B789" s="20"/>
    </row>
    <row r="790" spans="1:16" x14ac:dyDescent="0.25">
      <c r="A790" s="13"/>
      <c r="B790" s="23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</row>
    <row r="791" spans="1:16" x14ac:dyDescent="0.25">
      <c r="A791" s="200"/>
      <c r="B791" s="23"/>
      <c r="C791" s="23"/>
    </row>
    <row r="792" spans="1:16" x14ac:dyDescent="0.25">
      <c r="A792" s="200"/>
      <c r="B792" s="23"/>
      <c r="C792" s="23"/>
    </row>
    <row r="793" spans="1:16" x14ac:dyDescent="0.25">
      <c r="A793" s="200"/>
      <c r="B793" s="20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</row>
    <row r="794" spans="1:16" x14ac:dyDescent="0.25">
      <c r="A794" s="13"/>
      <c r="B794" s="23"/>
    </row>
    <row r="795" spans="1:16" x14ac:dyDescent="0.25">
      <c r="A795" s="200"/>
      <c r="B795" s="23"/>
      <c r="C795" s="23"/>
    </row>
    <row r="796" spans="1:16" x14ac:dyDescent="0.25">
      <c r="A796" s="200"/>
      <c r="B796" s="23"/>
      <c r="C796" s="23"/>
    </row>
    <row r="797" spans="1:16" x14ac:dyDescent="0.25">
      <c r="A797" s="200"/>
      <c r="B797" s="23"/>
      <c r="C797" s="23"/>
    </row>
    <row r="798" spans="1:16" x14ac:dyDescent="0.25">
      <c r="A798" s="200"/>
      <c r="B798" s="23"/>
      <c r="C798" s="23"/>
    </row>
    <row r="799" spans="1:16" x14ac:dyDescent="0.25">
      <c r="A799" s="200"/>
      <c r="B799" s="23"/>
      <c r="C799" s="23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</row>
    <row r="800" spans="1:16" x14ac:dyDescent="0.25">
      <c r="A800" s="200"/>
      <c r="B800" s="20"/>
      <c r="C800" s="202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</row>
    <row r="801" spans="1:16" x14ac:dyDescent="0.25">
      <c r="A801" s="13"/>
      <c r="B801" s="23"/>
      <c r="C801" s="202"/>
    </row>
    <row r="802" spans="1:16" x14ac:dyDescent="0.25">
      <c r="A802" s="13"/>
      <c r="B802" s="23"/>
      <c r="C802" s="23"/>
    </row>
    <row r="803" spans="1:16" x14ac:dyDescent="0.25">
      <c r="A803" s="13"/>
      <c r="B803" s="23"/>
      <c r="C803" s="23"/>
    </row>
    <row r="804" spans="1:16" x14ac:dyDescent="0.25">
      <c r="A804" s="13"/>
      <c r="B804" s="23"/>
      <c r="C804" s="202"/>
    </row>
    <row r="805" spans="1:16" x14ac:dyDescent="0.25">
      <c r="A805" s="13"/>
      <c r="B805" s="23"/>
      <c r="C805" s="202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</row>
    <row r="806" spans="1:16" x14ac:dyDescent="0.25">
      <c r="A806" s="13"/>
      <c r="B806" s="23"/>
      <c r="C806" s="202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</row>
    <row r="807" spans="1:16" x14ac:dyDescent="0.25">
      <c r="A807" s="200"/>
      <c r="B807" s="20"/>
      <c r="C807" s="202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</row>
    <row r="808" spans="1:16" x14ac:dyDescent="0.25">
      <c r="A808" s="13"/>
      <c r="B808" s="23"/>
    </row>
    <row r="809" spans="1:16" x14ac:dyDescent="0.25">
      <c r="A809" s="13"/>
      <c r="B809" s="23"/>
    </row>
    <row r="810" spans="1:16" x14ac:dyDescent="0.25">
      <c r="A810" s="13"/>
      <c r="B810" s="23"/>
    </row>
    <row r="811" spans="1:16" x14ac:dyDescent="0.25">
      <c r="B811" s="23"/>
    </row>
    <row r="812" spans="1:16" x14ac:dyDescent="0.25">
      <c r="B812" s="23"/>
    </row>
    <row r="813" spans="1:16" x14ac:dyDescent="0.25">
      <c r="B813" s="23"/>
    </row>
    <row r="814" spans="1:16" x14ac:dyDescent="0.25">
      <c r="B814" s="23"/>
    </row>
    <row r="815" spans="1:16" x14ac:dyDescent="0.25">
      <c r="B815" s="23"/>
    </row>
    <row r="816" spans="1:16" x14ac:dyDescent="0.25">
      <c r="B816" s="23"/>
    </row>
    <row r="817" spans="2:10" x14ac:dyDescent="0.25">
      <c r="B817" s="23"/>
    </row>
    <row r="818" spans="2:10" x14ac:dyDescent="0.25">
      <c r="B818" s="23"/>
    </row>
    <row r="819" spans="2:10" x14ac:dyDescent="0.25">
      <c r="B819" s="23"/>
    </row>
    <row r="820" spans="2:10" x14ac:dyDescent="0.25">
      <c r="B820" s="23"/>
    </row>
    <row r="821" spans="2:10" x14ac:dyDescent="0.25">
      <c r="B821" s="23"/>
    </row>
    <row r="822" spans="2:10" x14ac:dyDescent="0.25">
      <c r="B822" s="23"/>
    </row>
    <row r="823" spans="2:10" x14ac:dyDescent="0.25">
      <c r="B823" s="23"/>
    </row>
    <row r="824" spans="2:10" x14ac:dyDescent="0.25">
      <c r="B824" s="23"/>
    </row>
    <row r="825" spans="2:10" ht="13" x14ac:dyDescent="0.3">
      <c r="B825" s="187"/>
      <c r="C825" s="188"/>
      <c r="D825" s="188"/>
      <c r="E825" s="188"/>
      <c r="F825" s="188"/>
      <c r="G825" s="188"/>
      <c r="H825" s="187"/>
      <c r="I825" s="188"/>
    </row>
    <row r="826" spans="2:10" x14ac:dyDescent="0.25">
      <c r="B826" s="188"/>
      <c r="C826" s="188"/>
      <c r="D826" s="188"/>
      <c r="E826" s="188"/>
      <c r="F826" s="188"/>
      <c r="G826" s="188"/>
      <c r="H826" s="188"/>
      <c r="I826" s="188"/>
    </row>
    <row r="827" spans="2:10" x14ac:dyDescent="0.25">
      <c r="B827" s="188"/>
      <c r="C827" s="188"/>
      <c r="D827" s="188"/>
      <c r="E827" s="188"/>
      <c r="F827" s="188"/>
      <c r="G827" s="188"/>
      <c r="H827" s="188"/>
      <c r="I827" s="188"/>
    </row>
    <row r="828" spans="2:10" ht="13" x14ac:dyDescent="0.3">
      <c r="B828" s="186"/>
      <c r="C828" s="188"/>
      <c r="D828" s="188"/>
      <c r="E828" s="188"/>
      <c r="F828" s="188"/>
      <c r="G828" s="188"/>
      <c r="H828" s="186"/>
      <c r="I828" s="188"/>
    </row>
    <row r="829" spans="2:10" x14ac:dyDescent="0.25">
      <c r="B829" s="188"/>
      <c r="C829" s="188"/>
      <c r="D829" s="188"/>
      <c r="E829" s="188"/>
      <c r="F829" s="188"/>
      <c r="G829" s="188"/>
      <c r="H829" s="188"/>
      <c r="I829" s="188"/>
    </row>
    <row r="830" spans="2:10" x14ac:dyDescent="0.25">
      <c r="B830" s="188"/>
      <c r="C830" s="188"/>
      <c r="D830" s="188"/>
      <c r="E830" s="188"/>
      <c r="F830" s="188"/>
      <c r="G830" s="188"/>
      <c r="H830" s="188"/>
      <c r="I830" s="188"/>
    </row>
    <row r="831" spans="2:10" x14ac:dyDescent="0.25">
      <c r="B831" s="188"/>
      <c r="C831" s="188"/>
      <c r="F831" s="188"/>
      <c r="G831" s="188"/>
      <c r="H831" s="188"/>
      <c r="I831" s="222"/>
      <c r="J831" s="209"/>
    </row>
    <row r="832" spans="2:10" x14ac:dyDescent="0.25">
      <c r="B832" s="206"/>
      <c r="C832" s="188"/>
      <c r="D832" s="188"/>
      <c r="E832" s="188"/>
      <c r="F832" s="188"/>
      <c r="G832" s="188"/>
      <c r="I832" s="188"/>
    </row>
    <row r="833" spans="1:17" x14ac:dyDescent="0.25">
      <c r="B833" s="188"/>
      <c r="C833" s="188"/>
      <c r="D833" s="188"/>
      <c r="E833" s="188"/>
      <c r="F833" s="188"/>
      <c r="G833" s="188"/>
      <c r="H833" s="188"/>
      <c r="I833" s="188"/>
    </row>
    <row r="834" spans="1:17" x14ac:dyDescent="0.25">
      <c r="A834" s="206"/>
      <c r="B834" s="206"/>
      <c r="C834" s="188"/>
      <c r="D834" s="188"/>
      <c r="E834" s="188"/>
      <c r="F834" s="188"/>
      <c r="G834" s="188"/>
      <c r="H834" s="188"/>
      <c r="I834" s="188"/>
    </row>
    <row r="835" spans="1:17" x14ac:dyDescent="0.25">
      <c r="B835" s="2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 x14ac:dyDescent="0.25">
      <c r="A836" s="5"/>
      <c r="B836" s="210"/>
      <c r="C836" s="5"/>
      <c r="D836" s="13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x14ac:dyDescent="0.25">
      <c r="A837" s="13"/>
      <c r="B837" s="23"/>
      <c r="C837" s="13"/>
    </row>
    <row r="838" spans="1:17" x14ac:dyDescent="0.25">
      <c r="A838" s="13"/>
      <c r="B838" s="23"/>
      <c r="C838" s="23"/>
    </row>
    <row r="839" spans="1:17" x14ac:dyDescent="0.25">
      <c r="A839" s="13"/>
      <c r="B839" s="23"/>
      <c r="C839" s="23"/>
    </row>
    <row r="840" spans="1:17" x14ac:dyDescent="0.25">
      <c r="A840" s="13"/>
      <c r="B840" s="23"/>
      <c r="C840" s="23"/>
    </row>
    <row r="841" spans="1:17" x14ac:dyDescent="0.25">
      <c r="A841" s="13"/>
      <c r="B841" s="23"/>
      <c r="C841" s="23"/>
    </row>
    <row r="842" spans="1:17" x14ac:dyDescent="0.25">
      <c r="A842" s="13"/>
      <c r="B842" s="23"/>
      <c r="C842" s="23"/>
    </row>
    <row r="843" spans="1:17" x14ac:dyDescent="0.25">
      <c r="A843" s="13"/>
      <c r="B843" s="23"/>
      <c r="C843" s="13"/>
    </row>
    <row r="844" spans="1:17" x14ac:dyDescent="0.25">
      <c r="A844" s="13"/>
      <c r="B844" s="23"/>
      <c r="C844" s="13"/>
    </row>
    <row r="845" spans="1:17" x14ac:dyDescent="0.25">
      <c r="A845" s="13"/>
      <c r="B845" s="23"/>
      <c r="C845" s="13"/>
    </row>
    <row r="846" spans="1:17" x14ac:dyDescent="0.25">
      <c r="A846" s="13"/>
      <c r="B846" s="23"/>
      <c r="C846" s="13"/>
    </row>
    <row r="847" spans="1:17" x14ac:dyDescent="0.25">
      <c r="A847" s="13"/>
      <c r="B847" s="23"/>
    </row>
    <row r="848" spans="1:17" x14ac:dyDescent="0.25">
      <c r="A848" s="13"/>
      <c r="B848" s="23"/>
      <c r="C848" s="23"/>
    </row>
    <row r="849" spans="1:16" x14ac:dyDescent="0.25">
      <c r="A849" s="200"/>
      <c r="B849" s="20"/>
    </row>
    <row r="850" spans="1:16" x14ac:dyDescent="0.25">
      <c r="A850" s="13"/>
      <c r="B850" s="23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</row>
    <row r="851" spans="1:16" x14ac:dyDescent="0.25">
      <c r="A851" s="200"/>
      <c r="B851" s="23"/>
      <c r="C851" s="23"/>
    </row>
    <row r="852" spans="1:16" x14ac:dyDescent="0.25">
      <c r="A852" s="200"/>
      <c r="B852" s="23"/>
      <c r="C852" s="23"/>
    </row>
    <row r="853" spans="1:16" x14ac:dyDescent="0.25">
      <c r="A853" s="200"/>
      <c r="B853" s="20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</row>
    <row r="854" spans="1:16" x14ac:dyDescent="0.25">
      <c r="A854" s="13"/>
      <c r="B854" s="23"/>
    </row>
    <row r="855" spans="1:16" x14ac:dyDescent="0.25">
      <c r="A855" s="200"/>
      <c r="B855" s="23"/>
      <c r="C855" s="23"/>
    </row>
    <row r="856" spans="1:16" x14ac:dyDescent="0.25">
      <c r="A856" s="200"/>
      <c r="B856" s="23"/>
      <c r="C856" s="23"/>
    </row>
    <row r="857" spans="1:16" x14ac:dyDescent="0.25">
      <c r="A857" s="200"/>
      <c r="B857" s="23"/>
      <c r="C857" s="23"/>
    </row>
    <row r="858" spans="1:16" x14ac:dyDescent="0.25">
      <c r="A858" s="200"/>
      <c r="B858" s="23"/>
      <c r="C858" s="23"/>
    </row>
    <row r="859" spans="1:16" x14ac:dyDescent="0.25">
      <c r="A859" s="200"/>
      <c r="B859" s="23"/>
      <c r="C859" s="23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</row>
    <row r="860" spans="1:16" x14ac:dyDescent="0.25">
      <c r="A860" s="200"/>
      <c r="B860" s="20"/>
      <c r="C860" s="202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</row>
    <row r="861" spans="1:16" x14ac:dyDescent="0.25">
      <c r="A861" s="13"/>
      <c r="B861" s="23"/>
      <c r="C861" s="202"/>
    </row>
    <row r="862" spans="1:16" x14ac:dyDescent="0.25">
      <c r="A862" s="13"/>
      <c r="B862" s="23"/>
      <c r="C862" s="23"/>
    </row>
    <row r="863" spans="1:16" x14ac:dyDescent="0.25">
      <c r="A863" s="13"/>
      <c r="B863" s="23"/>
      <c r="C863" s="23"/>
    </row>
    <row r="864" spans="1:16" x14ac:dyDescent="0.25">
      <c r="A864" s="13"/>
      <c r="B864" s="23"/>
      <c r="C864" s="202"/>
    </row>
    <row r="865" spans="1:16" x14ac:dyDescent="0.25">
      <c r="A865" s="13"/>
      <c r="B865" s="23"/>
      <c r="C865" s="202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</row>
    <row r="866" spans="1:16" x14ac:dyDescent="0.25">
      <c r="A866" s="13"/>
      <c r="B866" s="23"/>
      <c r="C866" s="202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</row>
    <row r="867" spans="1:16" x14ac:dyDescent="0.25">
      <c r="A867" s="200"/>
      <c r="B867" s="20"/>
      <c r="C867" s="202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</row>
    <row r="868" spans="1:16" x14ac:dyDescent="0.25">
      <c r="A868" s="13"/>
      <c r="B868" s="23"/>
    </row>
    <row r="869" spans="1:16" x14ac:dyDescent="0.25">
      <c r="A869" s="13"/>
      <c r="B869" s="23"/>
    </row>
    <row r="870" spans="1:16" x14ac:dyDescent="0.25">
      <c r="A870" s="13"/>
      <c r="B870" s="23"/>
    </row>
    <row r="871" spans="1:16" x14ac:dyDescent="0.25">
      <c r="B871" s="23"/>
    </row>
    <row r="872" spans="1:16" x14ac:dyDescent="0.25">
      <c r="B872" s="23"/>
    </row>
    <row r="873" spans="1:16" x14ac:dyDescent="0.25">
      <c r="B873" s="23"/>
    </row>
    <row r="874" spans="1:16" x14ac:dyDescent="0.25">
      <c r="B874" s="23"/>
    </row>
    <row r="875" spans="1:16" x14ac:dyDescent="0.25">
      <c r="B875" s="23"/>
    </row>
    <row r="876" spans="1:16" x14ac:dyDescent="0.25">
      <c r="B876" s="23"/>
    </row>
    <row r="877" spans="1:16" x14ac:dyDescent="0.25">
      <c r="B877" s="23"/>
    </row>
    <row r="878" spans="1:16" x14ac:dyDescent="0.25">
      <c r="B878" s="23"/>
    </row>
    <row r="879" spans="1:16" x14ac:dyDescent="0.25">
      <c r="B879" s="23"/>
    </row>
    <row r="880" spans="1:16" x14ac:dyDescent="0.25">
      <c r="B880" s="23"/>
    </row>
    <row r="881" spans="1:17" x14ac:dyDescent="0.25">
      <c r="B881" s="23"/>
    </row>
    <row r="882" spans="1:17" x14ac:dyDescent="0.25">
      <c r="B882" s="23"/>
    </row>
    <row r="883" spans="1:17" x14ac:dyDescent="0.25">
      <c r="B883" s="23"/>
    </row>
    <row r="884" spans="1:17" x14ac:dyDescent="0.25">
      <c r="B884" s="23"/>
    </row>
    <row r="885" spans="1:17" ht="13" x14ac:dyDescent="0.3">
      <c r="B885" s="187"/>
      <c r="C885" s="188"/>
      <c r="D885" s="188"/>
      <c r="E885" s="188"/>
      <c r="F885" s="188"/>
      <c r="G885" s="188"/>
      <c r="H885" s="187"/>
      <c r="I885" s="188"/>
    </row>
    <row r="886" spans="1:17" x14ac:dyDescent="0.25">
      <c r="B886" s="188"/>
      <c r="C886" s="188"/>
      <c r="D886" s="188"/>
      <c r="E886" s="188"/>
      <c r="F886" s="188"/>
      <c r="G886" s="188"/>
      <c r="H886" s="188"/>
      <c r="I886" s="188"/>
    </row>
    <row r="887" spans="1:17" x14ac:dyDescent="0.25">
      <c r="B887" s="188"/>
      <c r="C887" s="188"/>
      <c r="D887" s="188"/>
      <c r="E887" s="188"/>
      <c r="F887" s="188"/>
      <c r="G887" s="188"/>
      <c r="H887" s="188"/>
      <c r="I887" s="188"/>
    </row>
    <row r="888" spans="1:17" ht="13" x14ac:dyDescent="0.3">
      <c r="B888" s="186"/>
      <c r="C888" s="188"/>
      <c r="D888" s="188"/>
      <c r="E888" s="188"/>
      <c r="F888" s="188"/>
      <c r="G888" s="188"/>
      <c r="H888" s="186"/>
      <c r="I888" s="188"/>
    </row>
    <row r="889" spans="1:17" x14ac:dyDescent="0.25">
      <c r="B889" s="188"/>
      <c r="C889" s="188"/>
      <c r="D889" s="188"/>
      <c r="E889" s="188"/>
      <c r="F889" s="188"/>
      <c r="G889" s="188"/>
      <c r="H889" s="188"/>
      <c r="I889" s="188"/>
    </row>
    <row r="890" spans="1:17" x14ac:dyDescent="0.25">
      <c r="B890" s="188"/>
      <c r="C890" s="188"/>
      <c r="D890" s="188"/>
      <c r="E890" s="188"/>
      <c r="F890" s="188"/>
      <c r="G890" s="188"/>
      <c r="H890" s="188"/>
      <c r="I890" s="188"/>
    </row>
    <row r="891" spans="1:17" x14ac:dyDescent="0.25">
      <c r="B891" s="188"/>
      <c r="C891" s="188"/>
      <c r="F891" s="188"/>
      <c r="G891" s="188"/>
      <c r="H891" s="188"/>
      <c r="I891" s="19"/>
      <c r="J891" s="209"/>
    </row>
    <row r="892" spans="1:17" x14ac:dyDescent="0.25">
      <c r="B892" s="206"/>
      <c r="C892" s="188"/>
      <c r="D892" s="188"/>
      <c r="E892" s="188"/>
      <c r="F892" s="188"/>
      <c r="G892" s="188"/>
      <c r="I892" s="188"/>
    </row>
    <row r="893" spans="1:17" x14ac:dyDescent="0.25">
      <c r="B893" s="188"/>
      <c r="C893" s="188"/>
      <c r="D893" s="188"/>
      <c r="E893" s="188"/>
      <c r="F893" s="188"/>
      <c r="G893" s="188"/>
      <c r="H893" s="188"/>
      <c r="I893" s="188"/>
    </row>
    <row r="894" spans="1:17" x14ac:dyDescent="0.25">
      <c r="A894" s="206"/>
      <c r="B894" s="206"/>
      <c r="C894" s="188"/>
      <c r="D894" s="188"/>
      <c r="E894" s="188"/>
      <c r="F894" s="188"/>
      <c r="G894" s="188"/>
      <c r="H894" s="188"/>
      <c r="I894" s="188"/>
    </row>
    <row r="895" spans="1:17" x14ac:dyDescent="0.25">
      <c r="B895" s="2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1:17" x14ac:dyDescent="0.25">
      <c r="A896" s="5"/>
      <c r="B896" s="210"/>
      <c r="C896" s="5"/>
      <c r="D896" s="13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6" x14ac:dyDescent="0.25">
      <c r="A897" s="13"/>
      <c r="B897" s="23"/>
      <c r="C897" s="13"/>
    </row>
    <row r="898" spans="1:16" x14ac:dyDescent="0.25">
      <c r="A898" s="13"/>
      <c r="B898" s="23"/>
      <c r="C898" s="23"/>
    </row>
    <row r="899" spans="1:16" x14ac:dyDescent="0.25">
      <c r="A899" s="13"/>
      <c r="B899" s="23"/>
      <c r="C899" s="23"/>
    </row>
    <row r="900" spans="1:16" x14ac:dyDescent="0.25">
      <c r="A900" s="13"/>
      <c r="B900" s="23"/>
      <c r="C900" s="23"/>
    </row>
    <row r="901" spans="1:16" x14ac:dyDescent="0.25">
      <c r="A901" s="13"/>
      <c r="B901" s="23"/>
      <c r="C901" s="23"/>
    </row>
    <row r="902" spans="1:16" x14ac:dyDescent="0.25">
      <c r="A902" s="13"/>
      <c r="B902" s="23"/>
      <c r="C902" s="23"/>
    </row>
    <row r="903" spans="1:16" x14ac:dyDescent="0.25">
      <c r="A903" s="13"/>
      <c r="B903" s="23"/>
      <c r="C903" s="13"/>
    </row>
    <row r="904" spans="1:16" x14ac:dyDescent="0.25">
      <c r="A904" s="13"/>
      <c r="B904" s="23"/>
      <c r="C904" s="13"/>
    </row>
    <row r="905" spans="1:16" x14ac:dyDescent="0.25">
      <c r="A905" s="13"/>
      <c r="B905" s="23"/>
      <c r="C905" s="13"/>
    </row>
    <row r="906" spans="1:16" x14ac:dyDescent="0.25">
      <c r="A906" s="13"/>
      <c r="B906" s="23"/>
      <c r="C906" s="13"/>
    </row>
    <row r="907" spans="1:16" x14ac:dyDescent="0.25">
      <c r="A907" s="13"/>
      <c r="B907" s="23"/>
    </row>
    <row r="908" spans="1:16" x14ac:dyDescent="0.25">
      <c r="A908" s="13"/>
      <c r="B908" s="23"/>
      <c r="C908" s="23"/>
    </row>
    <row r="909" spans="1:16" x14ac:dyDescent="0.25">
      <c r="A909" s="200"/>
      <c r="B909" s="20"/>
    </row>
    <row r="910" spans="1:16" x14ac:dyDescent="0.25">
      <c r="A910" s="13"/>
      <c r="B910" s="23"/>
      <c r="E910" s="201"/>
      <c r="F910" s="201"/>
      <c r="G910" s="201"/>
      <c r="H910" s="201"/>
      <c r="I910" s="201"/>
      <c r="J910" s="201"/>
      <c r="K910" s="201"/>
      <c r="L910" s="201"/>
      <c r="M910" s="201"/>
      <c r="N910" s="201"/>
      <c r="O910" s="201"/>
      <c r="P910" s="201"/>
    </row>
    <row r="911" spans="1:16" x14ac:dyDescent="0.25">
      <c r="A911" s="200"/>
      <c r="B911" s="23"/>
      <c r="C911" s="23"/>
    </row>
    <row r="912" spans="1:16" x14ac:dyDescent="0.25">
      <c r="A912" s="200"/>
      <c r="B912" s="23"/>
      <c r="C912" s="23"/>
    </row>
    <row r="913" spans="1:16" x14ac:dyDescent="0.25">
      <c r="A913" s="200"/>
      <c r="B913" s="20"/>
      <c r="F913" s="201"/>
      <c r="G913" s="201"/>
      <c r="H913" s="201"/>
      <c r="I913" s="201"/>
      <c r="J913" s="201"/>
      <c r="K913" s="201"/>
      <c r="L913" s="201"/>
      <c r="M913" s="201"/>
      <c r="N913" s="201"/>
      <c r="O913" s="201"/>
      <c r="P913" s="201"/>
    </row>
    <row r="914" spans="1:16" x14ac:dyDescent="0.25">
      <c r="A914" s="13"/>
      <c r="B914" s="23"/>
    </row>
    <row r="915" spans="1:16" x14ac:dyDescent="0.25">
      <c r="A915" s="200"/>
      <c r="B915" s="23"/>
      <c r="C915" s="23"/>
    </row>
    <row r="916" spans="1:16" x14ac:dyDescent="0.25">
      <c r="A916" s="200"/>
      <c r="B916" s="23"/>
      <c r="C916" s="23"/>
    </row>
    <row r="917" spans="1:16" x14ac:dyDescent="0.25">
      <c r="A917" s="200"/>
      <c r="B917" s="23"/>
      <c r="C917" s="23"/>
    </row>
    <row r="918" spans="1:16" x14ac:dyDescent="0.25">
      <c r="A918" s="200"/>
      <c r="B918" s="23"/>
      <c r="C918" s="23"/>
    </row>
    <row r="919" spans="1:16" x14ac:dyDescent="0.25">
      <c r="A919" s="200"/>
      <c r="B919" s="23"/>
      <c r="C919" s="23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</row>
    <row r="920" spans="1:16" x14ac:dyDescent="0.25">
      <c r="A920" s="200"/>
      <c r="B920" s="20"/>
      <c r="C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</row>
    <row r="921" spans="1:16" x14ac:dyDescent="0.25">
      <c r="A921" s="13"/>
      <c r="B921" s="23"/>
      <c r="C921" s="202"/>
    </row>
    <row r="922" spans="1:16" x14ac:dyDescent="0.25">
      <c r="A922" s="13"/>
      <c r="B922" s="23"/>
      <c r="C922" s="23"/>
    </row>
    <row r="923" spans="1:16" x14ac:dyDescent="0.25">
      <c r="A923" s="13"/>
      <c r="B923" s="23"/>
      <c r="C923" s="23"/>
    </row>
    <row r="924" spans="1:16" x14ac:dyDescent="0.25">
      <c r="A924" s="13"/>
      <c r="B924" s="23"/>
      <c r="C924" s="202"/>
    </row>
    <row r="925" spans="1:16" x14ac:dyDescent="0.25">
      <c r="A925" s="13"/>
      <c r="B925" s="23"/>
      <c r="C925" s="202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</row>
    <row r="926" spans="1:16" x14ac:dyDescent="0.25">
      <c r="A926" s="13"/>
      <c r="B926" s="23"/>
      <c r="C926" s="202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</row>
    <row r="927" spans="1:16" x14ac:dyDescent="0.25">
      <c r="A927" s="200"/>
      <c r="B927" s="20"/>
      <c r="C927" s="202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</row>
    <row r="928" spans="1:16" x14ac:dyDescent="0.25">
      <c r="A928" s="13"/>
      <c r="B928" s="23"/>
    </row>
    <row r="929" spans="1:2" x14ac:dyDescent="0.25">
      <c r="A929" s="13"/>
      <c r="B929" s="23"/>
    </row>
    <row r="930" spans="1:2" x14ac:dyDescent="0.25">
      <c r="A930" s="13"/>
      <c r="B930" s="23"/>
    </row>
    <row r="931" spans="1:2" x14ac:dyDescent="0.25">
      <c r="B931" s="23"/>
    </row>
    <row r="932" spans="1:2" x14ac:dyDescent="0.25">
      <c r="B932" s="23"/>
    </row>
    <row r="933" spans="1:2" x14ac:dyDescent="0.25">
      <c r="B933" s="23"/>
    </row>
    <row r="934" spans="1:2" x14ac:dyDescent="0.25">
      <c r="B934" s="23"/>
    </row>
    <row r="935" spans="1:2" x14ac:dyDescent="0.25">
      <c r="B935" s="23"/>
    </row>
    <row r="936" spans="1:2" x14ac:dyDescent="0.25">
      <c r="B936" s="23"/>
    </row>
    <row r="937" spans="1:2" x14ac:dyDescent="0.25">
      <c r="B937" s="23"/>
    </row>
    <row r="938" spans="1:2" x14ac:dyDescent="0.25">
      <c r="B938" s="23"/>
    </row>
    <row r="939" spans="1:2" x14ac:dyDescent="0.25">
      <c r="B939" s="23"/>
    </row>
    <row r="940" spans="1:2" x14ac:dyDescent="0.25">
      <c r="B940" s="23"/>
    </row>
    <row r="941" spans="1:2" x14ac:dyDescent="0.25">
      <c r="B941" s="23"/>
    </row>
    <row r="942" spans="1:2" x14ac:dyDescent="0.25">
      <c r="B942" s="23"/>
    </row>
    <row r="943" spans="1:2" x14ac:dyDescent="0.25">
      <c r="B943" s="23"/>
    </row>
    <row r="944" spans="1:2" x14ac:dyDescent="0.25">
      <c r="B944" s="23"/>
    </row>
    <row r="945" spans="1:17" ht="13" x14ac:dyDescent="0.3">
      <c r="B945" s="187"/>
      <c r="C945" s="188"/>
      <c r="D945" s="188"/>
      <c r="E945" s="188"/>
      <c r="F945" s="188"/>
      <c r="G945" s="188"/>
      <c r="H945" s="187"/>
      <c r="I945" s="188"/>
    </row>
    <row r="946" spans="1:17" x14ac:dyDescent="0.25">
      <c r="B946" s="188"/>
      <c r="C946" s="188"/>
      <c r="D946" s="188"/>
      <c r="E946" s="188"/>
      <c r="F946" s="188"/>
      <c r="G946" s="188"/>
      <c r="H946" s="188"/>
      <c r="I946" s="188"/>
    </row>
    <row r="947" spans="1:17" x14ac:dyDescent="0.25">
      <c r="B947" s="188"/>
      <c r="C947" s="188"/>
      <c r="D947" s="188"/>
      <c r="E947" s="188"/>
      <c r="F947" s="188"/>
      <c r="G947" s="188"/>
      <c r="H947" s="188"/>
      <c r="I947" s="188"/>
    </row>
    <row r="948" spans="1:17" ht="13" x14ac:dyDescent="0.3">
      <c r="B948" s="186"/>
      <c r="C948" s="188"/>
      <c r="D948" s="188"/>
      <c r="E948" s="188"/>
      <c r="F948" s="188"/>
      <c r="G948" s="188"/>
      <c r="H948" s="186"/>
      <c r="I948" s="188"/>
    </row>
    <row r="949" spans="1:17" x14ac:dyDescent="0.25">
      <c r="B949" s="188"/>
      <c r="C949" s="188"/>
      <c r="D949" s="188"/>
      <c r="E949" s="188"/>
      <c r="F949" s="188"/>
      <c r="G949" s="188"/>
      <c r="H949" s="188"/>
      <c r="I949" s="188"/>
    </row>
    <row r="950" spans="1:17" x14ac:dyDescent="0.25">
      <c r="B950" s="188"/>
      <c r="C950" s="188"/>
      <c r="D950" s="188"/>
      <c r="E950" s="188"/>
      <c r="F950" s="188"/>
      <c r="G950" s="188"/>
      <c r="H950" s="188"/>
      <c r="I950" s="188"/>
    </row>
    <row r="951" spans="1:17" x14ac:dyDescent="0.25">
      <c r="B951" s="188"/>
      <c r="C951" s="188"/>
      <c r="F951" s="188"/>
      <c r="G951" s="188"/>
      <c r="H951" s="188"/>
    </row>
    <row r="952" spans="1:17" x14ac:dyDescent="0.25">
      <c r="B952" s="206"/>
      <c r="C952" s="188"/>
      <c r="D952" s="188"/>
      <c r="E952" s="188"/>
      <c r="F952" s="188"/>
      <c r="G952" s="188"/>
      <c r="H952" s="206"/>
      <c r="I952" s="188"/>
    </row>
    <row r="953" spans="1:17" x14ac:dyDescent="0.25">
      <c r="B953" s="188"/>
      <c r="C953" s="188"/>
      <c r="D953" s="188"/>
      <c r="E953" s="188"/>
      <c r="F953" s="188"/>
      <c r="G953" s="188"/>
      <c r="H953" s="188"/>
      <c r="I953" s="188"/>
    </row>
    <row r="954" spans="1:17" x14ac:dyDescent="0.25">
      <c r="A954" s="206"/>
      <c r="B954" s="206"/>
      <c r="C954" s="188"/>
      <c r="D954" s="188"/>
      <c r="E954" s="188"/>
      <c r="F954" s="188"/>
      <c r="G954" s="188"/>
      <c r="H954" s="188"/>
      <c r="I954" s="188"/>
    </row>
    <row r="955" spans="1:17" x14ac:dyDescent="0.25">
      <c r="B955" s="2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1:17" x14ac:dyDescent="0.25">
      <c r="A956" s="5"/>
      <c r="B956" s="210"/>
      <c r="C956" s="5"/>
      <c r="D956" s="1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x14ac:dyDescent="0.25">
      <c r="A957" s="13"/>
      <c r="B957" s="23"/>
      <c r="C957" s="13"/>
    </row>
    <row r="958" spans="1:17" x14ac:dyDescent="0.25">
      <c r="A958" s="13"/>
      <c r="B958" s="23"/>
      <c r="C958" s="23"/>
    </row>
    <row r="959" spans="1:17" x14ac:dyDescent="0.25">
      <c r="A959" s="13"/>
      <c r="B959" s="23"/>
      <c r="C959" s="23"/>
    </row>
    <row r="960" spans="1:17" x14ac:dyDescent="0.25">
      <c r="A960" s="13"/>
      <c r="B960" s="23"/>
      <c r="C960" s="23"/>
    </row>
    <row r="961" spans="1:16" x14ac:dyDescent="0.25">
      <c r="A961" s="13"/>
      <c r="B961" s="23"/>
      <c r="C961" s="23"/>
    </row>
    <row r="962" spans="1:16" x14ac:dyDescent="0.25">
      <c r="A962" s="13"/>
      <c r="B962" s="23"/>
      <c r="C962" s="23"/>
    </row>
    <row r="963" spans="1:16" x14ac:dyDescent="0.25">
      <c r="A963" s="13"/>
      <c r="B963" s="23"/>
      <c r="C963" s="13"/>
    </row>
    <row r="964" spans="1:16" x14ac:dyDescent="0.25">
      <c r="A964" s="13"/>
      <c r="B964" s="23"/>
      <c r="C964" s="13"/>
    </row>
    <row r="965" spans="1:16" x14ac:dyDescent="0.25">
      <c r="A965" s="13"/>
      <c r="B965" s="23"/>
      <c r="C965" s="13"/>
    </row>
    <row r="966" spans="1:16" x14ac:dyDescent="0.25">
      <c r="A966" s="13"/>
      <c r="B966" s="23"/>
      <c r="C966" s="13"/>
    </row>
    <row r="967" spans="1:16" x14ac:dyDescent="0.25">
      <c r="A967" s="13"/>
      <c r="B967" s="23"/>
    </row>
    <row r="968" spans="1:16" x14ac:dyDescent="0.25">
      <c r="A968" s="13"/>
      <c r="B968" s="23"/>
      <c r="C968" s="23"/>
    </row>
    <row r="969" spans="1:16" x14ac:dyDescent="0.25">
      <c r="A969" s="200"/>
      <c r="B969" s="20"/>
    </row>
    <row r="970" spans="1:16" x14ac:dyDescent="0.25">
      <c r="A970" s="13"/>
      <c r="B970" s="23"/>
      <c r="E970" s="201"/>
      <c r="F970" s="201"/>
      <c r="G970" s="201"/>
      <c r="H970" s="201"/>
      <c r="I970" s="201"/>
      <c r="J970" s="201"/>
      <c r="K970" s="201"/>
      <c r="L970" s="201"/>
      <c r="M970" s="201"/>
      <c r="N970" s="201"/>
      <c r="O970" s="201"/>
      <c r="P970" s="201"/>
    </row>
    <row r="971" spans="1:16" x14ac:dyDescent="0.25">
      <c r="A971" s="200"/>
      <c r="B971" s="23"/>
      <c r="C971" s="23"/>
    </row>
    <row r="972" spans="1:16" x14ac:dyDescent="0.25">
      <c r="A972" s="200"/>
      <c r="B972" s="23"/>
      <c r="C972" s="23"/>
    </row>
    <row r="973" spans="1:16" x14ac:dyDescent="0.25">
      <c r="A973" s="200"/>
      <c r="B973" s="20"/>
      <c r="F973" s="201"/>
      <c r="G973" s="201"/>
      <c r="H973" s="201"/>
      <c r="I973" s="201"/>
      <c r="J973" s="201"/>
      <c r="K973" s="201"/>
      <c r="L973" s="201"/>
      <c r="M973" s="201"/>
      <c r="N973" s="201"/>
      <c r="O973" s="201"/>
      <c r="P973" s="201"/>
    </row>
    <row r="974" spans="1:16" x14ac:dyDescent="0.25">
      <c r="A974" s="13"/>
      <c r="B974" s="23"/>
    </row>
    <row r="975" spans="1:16" x14ac:dyDescent="0.25">
      <c r="A975" s="200"/>
      <c r="B975" s="23"/>
      <c r="C975" s="23"/>
    </row>
    <row r="976" spans="1:16" x14ac:dyDescent="0.25">
      <c r="A976" s="200"/>
      <c r="B976" s="23"/>
      <c r="C976" s="23"/>
    </row>
    <row r="977" spans="1:16" x14ac:dyDescent="0.25">
      <c r="A977" s="200"/>
      <c r="B977" s="23"/>
      <c r="C977" s="23"/>
    </row>
    <row r="978" spans="1:16" x14ac:dyDescent="0.25">
      <c r="A978" s="200"/>
      <c r="B978" s="23"/>
      <c r="C978" s="23"/>
    </row>
    <row r="979" spans="1:16" x14ac:dyDescent="0.25">
      <c r="A979" s="200"/>
      <c r="B979" s="23"/>
      <c r="C979" s="23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</row>
    <row r="980" spans="1:16" x14ac:dyDescent="0.25">
      <c r="A980" s="200"/>
      <c r="B980" s="20"/>
      <c r="C980" s="202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</row>
    <row r="981" spans="1:16" x14ac:dyDescent="0.25">
      <c r="A981" s="13"/>
      <c r="B981" s="23"/>
      <c r="C981" s="202"/>
    </row>
    <row r="982" spans="1:16" x14ac:dyDescent="0.25">
      <c r="A982" s="13"/>
      <c r="B982" s="23"/>
      <c r="C982" s="23"/>
    </row>
    <row r="983" spans="1:16" x14ac:dyDescent="0.25">
      <c r="A983" s="13"/>
      <c r="B983" s="23"/>
      <c r="C983" s="23"/>
    </row>
    <row r="984" spans="1:16" x14ac:dyDescent="0.25">
      <c r="A984" s="13"/>
      <c r="B984" s="23"/>
      <c r="C984" s="202"/>
    </row>
    <row r="985" spans="1:16" x14ac:dyDescent="0.25">
      <c r="A985" s="13"/>
      <c r="B985" s="23"/>
      <c r="C985" s="202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</row>
    <row r="986" spans="1:16" x14ac:dyDescent="0.25">
      <c r="A986" s="13"/>
      <c r="B986" s="23"/>
      <c r="C986" s="202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</row>
    <row r="987" spans="1:16" x14ac:dyDescent="0.25">
      <c r="A987" s="200"/>
      <c r="B987" s="20"/>
      <c r="C987" s="202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</row>
    <row r="988" spans="1:16" x14ac:dyDescent="0.25">
      <c r="A988" s="13"/>
      <c r="B988" s="23"/>
    </row>
    <row r="989" spans="1:16" x14ac:dyDescent="0.25">
      <c r="A989" s="13"/>
      <c r="B989" s="23"/>
    </row>
    <row r="990" spans="1:16" x14ac:dyDescent="0.25">
      <c r="A990" s="13"/>
      <c r="B990" s="23"/>
    </row>
    <row r="991" spans="1:16" x14ac:dyDescent="0.25">
      <c r="B991" s="23"/>
    </row>
    <row r="992" spans="1:16" x14ac:dyDescent="0.25">
      <c r="B992" s="23"/>
    </row>
    <row r="993" spans="2:9" x14ac:dyDescent="0.25">
      <c r="B993" s="23"/>
    </row>
    <row r="994" spans="2:9" x14ac:dyDescent="0.25">
      <c r="B994" s="23"/>
    </row>
    <row r="995" spans="2:9" x14ac:dyDescent="0.25">
      <c r="B995" s="23"/>
    </row>
    <row r="996" spans="2:9" x14ac:dyDescent="0.25">
      <c r="B996" s="23"/>
    </row>
    <row r="997" spans="2:9" x14ac:dyDescent="0.25">
      <c r="B997" s="23"/>
    </row>
    <row r="998" spans="2:9" x14ac:dyDescent="0.25">
      <c r="B998" s="23"/>
    </row>
    <row r="999" spans="2:9" x14ac:dyDescent="0.25">
      <c r="B999" s="23"/>
    </row>
    <row r="1000" spans="2:9" x14ac:dyDescent="0.25">
      <c r="B1000" s="23"/>
    </row>
    <row r="1001" spans="2:9" x14ac:dyDescent="0.25">
      <c r="B1001" s="23"/>
    </row>
    <row r="1002" spans="2:9" x14ac:dyDescent="0.25">
      <c r="B1002" s="23"/>
    </row>
    <row r="1003" spans="2:9" x14ac:dyDescent="0.25">
      <c r="B1003" s="23"/>
    </row>
    <row r="1004" spans="2:9" x14ac:dyDescent="0.25">
      <c r="B1004" s="23"/>
    </row>
    <row r="1005" spans="2:9" ht="13" x14ac:dyDescent="0.3">
      <c r="B1005" s="187"/>
      <c r="C1005" s="188"/>
      <c r="D1005" s="188"/>
      <c r="E1005" s="188"/>
      <c r="F1005" s="188"/>
      <c r="G1005" s="188"/>
      <c r="H1005" s="187"/>
      <c r="I1005" s="188"/>
    </row>
    <row r="1006" spans="2:9" x14ac:dyDescent="0.25">
      <c r="B1006" s="188"/>
      <c r="C1006" s="188"/>
      <c r="D1006" s="188"/>
      <c r="E1006" s="188"/>
      <c r="F1006" s="188"/>
      <c r="G1006" s="188"/>
      <c r="H1006" s="188"/>
      <c r="I1006" s="188"/>
    </row>
    <row r="1007" spans="2:9" x14ac:dyDescent="0.25">
      <c r="B1007" s="188"/>
      <c r="C1007" s="188"/>
      <c r="D1007" s="188"/>
      <c r="E1007" s="188"/>
      <c r="F1007" s="188"/>
      <c r="G1007" s="188"/>
      <c r="H1007" s="188"/>
      <c r="I1007" s="188"/>
    </row>
    <row r="1008" spans="2:9" ht="13" x14ac:dyDescent="0.3">
      <c r="B1008" s="186"/>
      <c r="C1008" s="188"/>
      <c r="D1008" s="188"/>
      <c r="E1008" s="188"/>
      <c r="F1008" s="188"/>
      <c r="G1008" s="188"/>
      <c r="H1008" s="186"/>
      <c r="I1008" s="188"/>
    </row>
    <row r="1009" spans="1:17" x14ac:dyDescent="0.25">
      <c r="B1009" s="188"/>
      <c r="C1009" s="188"/>
      <c r="D1009" s="188"/>
      <c r="E1009" s="188"/>
      <c r="F1009" s="188"/>
      <c r="G1009" s="188"/>
      <c r="H1009" s="188"/>
      <c r="I1009" s="188"/>
    </row>
    <row r="1010" spans="1:17" x14ac:dyDescent="0.25">
      <c r="B1010" s="188"/>
      <c r="C1010" s="188"/>
      <c r="D1010" s="188"/>
      <c r="E1010" s="188"/>
      <c r="F1010" s="188"/>
      <c r="G1010" s="188"/>
      <c r="H1010" s="188"/>
      <c r="I1010" s="188"/>
    </row>
    <row r="1011" spans="1:17" x14ac:dyDescent="0.25">
      <c r="B1011" s="188"/>
      <c r="C1011" s="188"/>
      <c r="F1011" s="188"/>
      <c r="G1011" s="188"/>
      <c r="H1011" s="188"/>
    </row>
    <row r="1012" spans="1:17" x14ac:dyDescent="0.25">
      <c r="B1012" s="206"/>
      <c r="C1012" s="188"/>
      <c r="D1012" s="188"/>
      <c r="E1012" s="188"/>
      <c r="F1012" s="188"/>
      <c r="G1012" s="188"/>
      <c r="H1012" s="206"/>
      <c r="I1012" s="188"/>
    </row>
    <row r="1013" spans="1:17" x14ac:dyDescent="0.25">
      <c r="B1013" s="188"/>
      <c r="C1013" s="188"/>
      <c r="D1013" s="188"/>
      <c r="E1013" s="188"/>
      <c r="F1013" s="188"/>
      <c r="G1013" s="188"/>
      <c r="H1013" s="188"/>
      <c r="I1013" s="188"/>
    </row>
    <row r="1014" spans="1:17" x14ac:dyDescent="0.25">
      <c r="A1014" s="206"/>
      <c r="B1014" s="206"/>
      <c r="C1014" s="188"/>
      <c r="D1014" s="188"/>
      <c r="E1014" s="188"/>
      <c r="F1014" s="188"/>
      <c r="G1014" s="188"/>
      <c r="H1014" s="188"/>
      <c r="I1014" s="188"/>
    </row>
    <row r="1015" spans="1:17" x14ac:dyDescent="0.25">
      <c r="B1015" s="2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1:17" x14ac:dyDescent="0.25">
      <c r="A1016" s="5"/>
      <c r="B1016" s="210"/>
      <c r="C1016" s="5"/>
      <c r="D1016" s="13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x14ac:dyDescent="0.25">
      <c r="A1017" s="13"/>
      <c r="B1017" s="23"/>
      <c r="C1017" s="13"/>
    </row>
    <row r="1018" spans="1:17" x14ac:dyDescent="0.25">
      <c r="A1018" s="13"/>
      <c r="B1018" s="23"/>
      <c r="C1018" s="23"/>
    </row>
    <row r="1019" spans="1:17" x14ac:dyDescent="0.25">
      <c r="A1019" s="13"/>
      <c r="B1019" s="23"/>
      <c r="C1019" s="23"/>
    </row>
    <row r="1020" spans="1:17" x14ac:dyDescent="0.25">
      <c r="A1020" s="13"/>
      <c r="B1020" s="23"/>
      <c r="C1020" s="23"/>
    </row>
    <row r="1021" spans="1:17" x14ac:dyDescent="0.25">
      <c r="A1021" s="13"/>
      <c r="B1021" s="23"/>
      <c r="C1021" s="23"/>
    </row>
    <row r="1022" spans="1:17" x14ac:dyDescent="0.25">
      <c r="A1022" s="13"/>
      <c r="B1022" s="23"/>
      <c r="C1022" s="23"/>
    </row>
    <row r="1023" spans="1:17" x14ac:dyDescent="0.25">
      <c r="A1023" s="13"/>
      <c r="B1023" s="23"/>
      <c r="C1023" s="13"/>
    </row>
    <row r="1024" spans="1:17" x14ac:dyDescent="0.25">
      <c r="A1024" s="13"/>
      <c r="B1024" s="23"/>
      <c r="C1024" s="13"/>
    </row>
    <row r="1025" spans="1:16" x14ac:dyDescent="0.25">
      <c r="A1025" s="13"/>
      <c r="B1025" s="23"/>
      <c r="C1025" s="13"/>
    </row>
    <row r="1026" spans="1:16" x14ac:dyDescent="0.25">
      <c r="A1026" s="13"/>
      <c r="B1026" s="23"/>
      <c r="C1026" s="13"/>
    </row>
    <row r="1027" spans="1:16" x14ac:dyDescent="0.25">
      <c r="A1027" s="13"/>
      <c r="B1027" s="23"/>
    </row>
    <row r="1028" spans="1:16" x14ac:dyDescent="0.25">
      <c r="A1028" s="13"/>
      <c r="B1028" s="23"/>
      <c r="C1028" s="23"/>
    </row>
    <row r="1029" spans="1:16" x14ac:dyDescent="0.25">
      <c r="A1029" s="200"/>
      <c r="B1029" s="20"/>
    </row>
    <row r="1030" spans="1:16" x14ac:dyDescent="0.25">
      <c r="A1030" s="13"/>
      <c r="B1030" s="23"/>
      <c r="E1030" s="201"/>
      <c r="F1030" s="201"/>
      <c r="G1030" s="201"/>
      <c r="H1030" s="201"/>
      <c r="I1030" s="201"/>
      <c r="J1030" s="201"/>
      <c r="K1030" s="201"/>
      <c r="L1030" s="201"/>
      <c r="M1030" s="201"/>
      <c r="N1030" s="201"/>
      <c r="O1030" s="201"/>
      <c r="P1030" s="201"/>
    </row>
    <row r="1031" spans="1:16" x14ac:dyDescent="0.25">
      <c r="A1031" s="200"/>
      <c r="B1031" s="23"/>
      <c r="C1031" s="23"/>
    </row>
    <row r="1032" spans="1:16" x14ac:dyDescent="0.25">
      <c r="A1032" s="200"/>
      <c r="B1032" s="23"/>
      <c r="C1032" s="23"/>
    </row>
    <row r="1033" spans="1:16" x14ac:dyDescent="0.25">
      <c r="A1033" s="200"/>
      <c r="B1033" s="20"/>
      <c r="F1033" s="201"/>
      <c r="G1033" s="201"/>
      <c r="H1033" s="201"/>
      <c r="I1033" s="201"/>
      <c r="J1033" s="201"/>
      <c r="K1033" s="201"/>
      <c r="L1033" s="201"/>
      <c r="M1033" s="201"/>
      <c r="N1033" s="201"/>
      <c r="O1033" s="201"/>
      <c r="P1033" s="201"/>
    </row>
    <row r="1034" spans="1:16" x14ac:dyDescent="0.25">
      <c r="A1034" s="13"/>
      <c r="B1034" s="23"/>
    </row>
    <row r="1035" spans="1:16" x14ac:dyDescent="0.25">
      <c r="A1035" s="200"/>
      <c r="B1035" s="23"/>
      <c r="C1035" s="23"/>
    </row>
    <row r="1036" spans="1:16" x14ac:dyDescent="0.25">
      <c r="A1036" s="200"/>
      <c r="B1036" s="23"/>
      <c r="C1036" s="23"/>
    </row>
    <row r="1037" spans="1:16" x14ac:dyDescent="0.25">
      <c r="A1037" s="200"/>
      <c r="B1037" s="23"/>
      <c r="C1037" s="23"/>
    </row>
    <row r="1038" spans="1:16" x14ac:dyDescent="0.25">
      <c r="A1038" s="200"/>
      <c r="B1038" s="23"/>
      <c r="C1038" s="23"/>
    </row>
    <row r="1039" spans="1:16" x14ac:dyDescent="0.25">
      <c r="A1039" s="200"/>
      <c r="B1039" s="23"/>
      <c r="C1039" s="23"/>
      <c r="E1039" s="202"/>
      <c r="F1039" s="202"/>
      <c r="G1039" s="202"/>
      <c r="H1039" s="202"/>
      <c r="I1039" s="202"/>
      <c r="J1039" s="202"/>
      <c r="K1039" s="202"/>
      <c r="L1039" s="202"/>
      <c r="M1039" s="202"/>
      <c r="N1039" s="202"/>
      <c r="O1039" s="202"/>
      <c r="P1039" s="202"/>
    </row>
    <row r="1040" spans="1:16" x14ac:dyDescent="0.25">
      <c r="A1040" s="200"/>
      <c r="B1040" s="20"/>
      <c r="C1040" s="202"/>
      <c r="E1040" s="202"/>
      <c r="F1040" s="202"/>
      <c r="G1040" s="202"/>
      <c r="H1040" s="202"/>
      <c r="I1040" s="202"/>
      <c r="J1040" s="202"/>
      <c r="K1040" s="202"/>
      <c r="L1040" s="202"/>
      <c r="M1040" s="202"/>
      <c r="N1040" s="202"/>
      <c r="O1040" s="202"/>
      <c r="P1040" s="202"/>
    </row>
    <row r="1041" spans="1:16" x14ac:dyDescent="0.25">
      <c r="A1041" s="13"/>
      <c r="B1041" s="23"/>
      <c r="C1041" s="202"/>
    </row>
    <row r="1042" spans="1:16" x14ac:dyDescent="0.25">
      <c r="A1042" s="13"/>
      <c r="B1042" s="23"/>
      <c r="C1042" s="23"/>
    </row>
    <row r="1043" spans="1:16" x14ac:dyDescent="0.25">
      <c r="A1043" s="13"/>
      <c r="B1043" s="23"/>
      <c r="C1043" s="23"/>
    </row>
    <row r="1044" spans="1:16" x14ac:dyDescent="0.25">
      <c r="A1044" s="13"/>
      <c r="B1044" s="23"/>
      <c r="C1044" s="202"/>
    </row>
    <row r="1045" spans="1:16" x14ac:dyDescent="0.25">
      <c r="A1045" s="13"/>
      <c r="B1045" s="23"/>
      <c r="C1045" s="202"/>
      <c r="E1045" s="203"/>
      <c r="F1045" s="203"/>
      <c r="G1045" s="203"/>
      <c r="H1045" s="203"/>
      <c r="I1045" s="203"/>
      <c r="J1045" s="203"/>
      <c r="K1045" s="203"/>
      <c r="L1045" s="203"/>
      <c r="M1045" s="203"/>
      <c r="N1045" s="203"/>
      <c r="O1045" s="203"/>
      <c r="P1045" s="203"/>
    </row>
    <row r="1046" spans="1:16" x14ac:dyDescent="0.25">
      <c r="A1046" s="13"/>
      <c r="B1046" s="23"/>
      <c r="C1046" s="202"/>
      <c r="E1046" s="203"/>
      <c r="F1046" s="203"/>
      <c r="G1046" s="203"/>
      <c r="H1046" s="203"/>
      <c r="I1046" s="203"/>
      <c r="J1046" s="203"/>
      <c r="K1046" s="203"/>
      <c r="L1046" s="203"/>
      <c r="M1046" s="203"/>
      <c r="N1046" s="203"/>
      <c r="O1046" s="203"/>
      <c r="P1046" s="203"/>
    </row>
    <row r="1047" spans="1:16" x14ac:dyDescent="0.25">
      <c r="A1047" s="200"/>
      <c r="B1047" s="20"/>
      <c r="C1047" s="202"/>
      <c r="E1047" s="203"/>
      <c r="F1047" s="203"/>
      <c r="G1047" s="203"/>
      <c r="H1047" s="203"/>
      <c r="I1047" s="203"/>
      <c r="J1047" s="203"/>
      <c r="K1047" s="203"/>
      <c r="L1047" s="203"/>
      <c r="M1047" s="203"/>
      <c r="N1047" s="203"/>
      <c r="O1047" s="203"/>
      <c r="P1047" s="203"/>
    </row>
    <row r="1048" spans="1:16" x14ac:dyDescent="0.25">
      <c r="A1048" s="13"/>
      <c r="B1048" s="23"/>
    </row>
    <row r="1049" spans="1:16" x14ac:dyDescent="0.25">
      <c r="A1049" s="13"/>
      <c r="B1049" s="23"/>
    </row>
    <row r="1050" spans="1:16" x14ac:dyDescent="0.25">
      <c r="A1050" s="13"/>
      <c r="B1050" s="23"/>
    </row>
    <row r="1051" spans="1:16" x14ac:dyDescent="0.25">
      <c r="B1051" s="23"/>
    </row>
    <row r="1052" spans="1:16" x14ac:dyDescent="0.25">
      <c r="B1052" s="23"/>
    </row>
    <row r="1053" spans="1:16" x14ac:dyDescent="0.25">
      <c r="B1053" s="23"/>
    </row>
    <row r="1054" spans="1:16" x14ac:dyDescent="0.25">
      <c r="B1054" s="23"/>
    </row>
    <row r="1055" spans="1:16" x14ac:dyDescent="0.25">
      <c r="B1055" s="23"/>
    </row>
    <row r="1056" spans="1:16" x14ac:dyDescent="0.25">
      <c r="B1056" s="23"/>
    </row>
    <row r="1057" spans="2:9" x14ac:dyDescent="0.25">
      <c r="B1057" s="23"/>
    </row>
    <row r="1058" spans="2:9" x14ac:dyDescent="0.25">
      <c r="B1058" s="23"/>
    </row>
    <row r="1059" spans="2:9" x14ac:dyDescent="0.25">
      <c r="B1059" s="23"/>
    </row>
    <row r="1060" spans="2:9" x14ac:dyDescent="0.25">
      <c r="B1060" s="23"/>
    </row>
    <row r="1061" spans="2:9" x14ac:dyDescent="0.25">
      <c r="B1061" s="23"/>
    </row>
    <row r="1062" spans="2:9" x14ac:dyDescent="0.25">
      <c r="B1062" s="23"/>
    </row>
    <row r="1063" spans="2:9" x14ac:dyDescent="0.25">
      <c r="B1063" s="23"/>
    </row>
    <row r="1064" spans="2:9" x14ac:dyDescent="0.25">
      <c r="B1064" s="23"/>
    </row>
    <row r="1065" spans="2:9" ht="13" x14ac:dyDescent="0.3">
      <c r="B1065" s="187"/>
      <c r="C1065" s="188"/>
      <c r="D1065" s="188"/>
      <c r="E1065" s="188"/>
      <c r="F1065" s="188"/>
      <c r="G1065" s="188"/>
      <c r="H1065" s="187"/>
      <c r="I1065" s="188"/>
    </row>
    <row r="1066" spans="2:9" x14ac:dyDescent="0.25">
      <c r="B1066" s="188"/>
      <c r="C1066" s="188"/>
      <c r="D1066" s="188"/>
      <c r="E1066" s="188"/>
      <c r="F1066" s="188"/>
      <c r="G1066" s="188"/>
      <c r="H1066" s="188"/>
      <c r="I1066" s="188"/>
    </row>
    <row r="1067" spans="2:9" x14ac:dyDescent="0.25">
      <c r="B1067" s="188"/>
      <c r="C1067" s="188"/>
      <c r="D1067" s="188"/>
      <c r="E1067" s="188"/>
      <c r="F1067" s="188"/>
      <c r="G1067" s="188"/>
      <c r="H1067" s="188"/>
      <c r="I1067" s="188"/>
    </row>
    <row r="1068" spans="2:9" ht="13" x14ac:dyDescent="0.3">
      <c r="B1068" s="186"/>
      <c r="C1068" s="188"/>
      <c r="D1068" s="188"/>
      <c r="E1068" s="188"/>
      <c r="F1068" s="188"/>
      <c r="G1068" s="188"/>
      <c r="H1068" s="186"/>
      <c r="I1068" s="188"/>
    </row>
    <row r="1069" spans="2:9" x14ac:dyDescent="0.25">
      <c r="B1069" s="188"/>
      <c r="C1069" s="188"/>
      <c r="D1069" s="188"/>
      <c r="E1069" s="188"/>
      <c r="F1069" s="188"/>
      <c r="G1069" s="188"/>
      <c r="H1069" s="188"/>
      <c r="I1069" s="188"/>
    </row>
    <row r="1070" spans="2:9" x14ac:dyDescent="0.25">
      <c r="B1070" s="188"/>
      <c r="C1070" s="188"/>
      <c r="D1070" s="188"/>
      <c r="E1070" s="188"/>
      <c r="F1070" s="188"/>
      <c r="G1070" s="188"/>
      <c r="H1070" s="188"/>
      <c r="I1070" s="188"/>
    </row>
    <row r="1071" spans="2:9" x14ac:dyDescent="0.25">
      <c r="B1071" s="188"/>
      <c r="C1071" s="188"/>
      <c r="F1071" s="188"/>
      <c r="G1071" s="188"/>
      <c r="H1071" s="188"/>
    </row>
    <row r="1072" spans="2:9" x14ac:dyDescent="0.25">
      <c r="B1072" s="206"/>
      <c r="C1072" s="188"/>
      <c r="D1072" s="188"/>
      <c r="E1072" s="188"/>
      <c r="F1072" s="188"/>
      <c r="G1072" s="188"/>
      <c r="H1072" s="206"/>
      <c r="I1072" s="188"/>
    </row>
    <row r="1073" spans="1:17" x14ac:dyDescent="0.25">
      <c r="B1073" s="188"/>
      <c r="C1073" s="188"/>
      <c r="D1073" s="188"/>
      <c r="E1073" s="188"/>
      <c r="F1073" s="188"/>
      <c r="G1073" s="188"/>
      <c r="H1073" s="188"/>
      <c r="I1073" s="188"/>
    </row>
    <row r="1074" spans="1:17" x14ac:dyDescent="0.25">
      <c r="A1074" s="206"/>
      <c r="B1074" s="206"/>
      <c r="C1074" s="188"/>
      <c r="D1074" s="188"/>
      <c r="E1074" s="188"/>
      <c r="F1074" s="188"/>
      <c r="G1074" s="188"/>
      <c r="H1074" s="188"/>
      <c r="I1074" s="188"/>
    </row>
    <row r="1075" spans="1:17" x14ac:dyDescent="0.25">
      <c r="B1075" s="2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1:17" x14ac:dyDescent="0.25">
      <c r="A1076" s="5"/>
      <c r="B1076" s="210"/>
      <c r="C1076" s="5"/>
      <c r="D1076" s="13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x14ac:dyDescent="0.25">
      <c r="A1077" s="13"/>
      <c r="B1077" s="23"/>
      <c r="C1077" s="13"/>
    </row>
    <row r="1078" spans="1:17" x14ac:dyDescent="0.25">
      <c r="A1078" s="13"/>
      <c r="B1078" s="23"/>
      <c r="C1078" s="23"/>
    </row>
    <row r="1079" spans="1:17" x14ac:dyDescent="0.25">
      <c r="A1079" s="13"/>
      <c r="B1079" s="23"/>
      <c r="C1079" s="23"/>
    </row>
    <row r="1080" spans="1:17" x14ac:dyDescent="0.25">
      <c r="A1080" s="13"/>
      <c r="B1080" s="23"/>
      <c r="C1080" s="23"/>
    </row>
    <row r="1081" spans="1:17" x14ac:dyDescent="0.25">
      <c r="A1081" s="13"/>
      <c r="B1081" s="23"/>
      <c r="C1081" s="23"/>
    </row>
    <row r="1082" spans="1:17" x14ac:dyDescent="0.25">
      <c r="A1082" s="13"/>
      <c r="B1082" s="23"/>
      <c r="C1082" s="23"/>
    </row>
    <row r="1083" spans="1:17" x14ac:dyDescent="0.25">
      <c r="A1083" s="13"/>
      <c r="B1083" s="23"/>
      <c r="C1083" s="13"/>
    </row>
    <row r="1084" spans="1:17" x14ac:dyDescent="0.25">
      <c r="A1084" s="13"/>
      <c r="B1084" s="23"/>
      <c r="C1084" s="13"/>
    </row>
    <row r="1085" spans="1:17" x14ac:dyDescent="0.25">
      <c r="A1085" s="13"/>
      <c r="B1085" s="23"/>
      <c r="C1085" s="13"/>
    </row>
    <row r="1086" spans="1:17" x14ac:dyDescent="0.25">
      <c r="A1086" s="13"/>
      <c r="B1086" s="23"/>
      <c r="C1086" s="13"/>
    </row>
    <row r="1087" spans="1:17" x14ac:dyDescent="0.25">
      <c r="A1087" s="13"/>
      <c r="B1087" s="23"/>
    </row>
    <row r="1088" spans="1:17" x14ac:dyDescent="0.25">
      <c r="A1088" s="13"/>
      <c r="B1088" s="23"/>
      <c r="C1088" s="23"/>
    </row>
    <row r="1089" spans="1:16" x14ac:dyDescent="0.25">
      <c r="A1089" s="200"/>
      <c r="B1089" s="20"/>
    </row>
    <row r="1090" spans="1:16" x14ac:dyDescent="0.25">
      <c r="A1090" s="13"/>
      <c r="B1090" s="23"/>
      <c r="E1090" s="201"/>
      <c r="F1090" s="201"/>
      <c r="G1090" s="201"/>
      <c r="H1090" s="201"/>
      <c r="I1090" s="201"/>
      <c r="J1090" s="201"/>
      <c r="K1090" s="201"/>
      <c r="L1090" s="201"/>
      <c r="M1090" s="201"/>
      <c r="N1090" s="201"/>
      <c r="O1090" s="201"/>
      <c r="P1090" s="201"/>
    </row>
    <row r="1091" spans="1:16" x14ac:dyDescent="0.25">
      <c r="A1091" s="200"/>
      <c r="B1091" s="23"/>
      <c r="C1091" s="23"/>
    </row>
    <row r="1092" spans="1:16" x14ac:dyDescent="0.25">
      <c r="A1092" s="200"/>
      <c r="B1092" s="23"/>
      <c r="C1092" s="23"/>
    </row>
    <row r="1093" spans="1:16" x14ac:dyDescent="0.25">
      <c r="A1093" s="200"/>
      <c r="B1093" s="20"/>
      <c r="F1093" s="201"/>
      <c r="G1093" s="201"/>
      <c r="H1093" s="201"/>
      <c r="I1093" s="201"/>
      <c r="J1093" s="201"/>
      <c r="K1093" s="201"/>
      <c r="L1093" s="201"/>
      <c r="M1093" s="201"/>
      <c r="N1093" s="201"/>
      <c r="O1093" s="201"/>
      <c r="P1093" s="201"/>
    </row>
    <row r="1094" spans="1:16" x14ac:dyDescent="0.25">
      <c r="A1094" s="13"/>
      <c r="B1094" s="23"/>
    </row>
    <row r="1095" spans="1:16" x14ac:dyDescent="0.25">
      <c r="A1095" s="200"/>
      <c r="B1095" s="23"/>
      <c r="C1095" s="23"/>
    </row>
    <row r="1096" spans="1:16" x14ac:dyDescent="0.25">
      <c r="A1096" s="200"/>
      <c r="B1096" s="23"/>
      <c r="C1096" s="23"/>
    </row>
    <row r="1097" spans="1:16" x14ac:dyDescent="0.25">
      <c r="A1097" s="200"/>
      <c r="B1097" s="23"/>
      <c r="C1097" s="23"/>
    </row>
    <row r="1098" spans="1:16" x14ac:dyDescent="0.25">
      <c r="A1098" s="200"/>
      <c r="B1098" s="23"/>
      <c r="C1098" s="23"/>
    </row>
    <row r="1099" spans="1:16" x14ac:dyDescent="0.25">
      <c r="A1099" s="200"/>
      <c r="B1099" s="23"/>
      <c r="C1099" s="23"/>
      <c r="E1099" s="202"/>
      <c r="F1099" s="202"/>
      <c r="G1099" s="202"/>
      <c r="H1099" s="202"/>
      <c r="I1099" s="202"/>
      <c r="J1099" s="202"/>
      <c r="K1099" s="202"/>
      <c r="L1099" s="202"/>
      <c r="M1099" s="202"/>
      <c r="N1099" s="202"/>
      <c r="O1099" s="202"/>
      <c r="P1099" s="202"/>
    </row>
    <row r="1100" spans="1:16" x14ac:dyDescent="0.25">
      <c r="A1100" s="200"/>
      <c r="B1100" s="20"/>
      <c r="C1100" s="202"/>
      <c r="E1100" s="202"/>
      <c r="F1100" s="202"/>
      <c r="G1100" s="202"/>
      <c r="H1100" s="202"/>
      <c r="I1100" s="202"/>
      <c r="J1100" s="202"/>
      <c r="K1100" s="202"/>
      <c r="L1100" s="202"/>
      <c r="M1100" s="202"/>
      <c r="N1100" s="202"/>
      <c r="O1100" s="202"/>
      <c r="P1100" s="202"/>
    </row>
    <row r="1101" spans="1:16" x14ac:dyDescent="0.25">
      <c r="A1101" s="13"/>
      <c r="B1101" s="23"/>
      <c r="C1101" s="202"/>
    </row>
    <row r="1102" spans="1:16" x14ac:dyDescent="0.25">
      <c r="A1102" s="13"/>
      <c r="B1102" s="23"/>
      <c r="C1102" s="23"/>
    </row>
    <row r="1103" spans="1:16" x14ac:dyDescent="0.25">
      <c r="A1103" s="13"/>
      <c r="B1103" s="23"/>
      <c r="C1103" s="23"/>
    </row>
    <row r="1104" spans="1:16" x14ac:dyDescent="0.25">
      <c r="A1104" s="13"/>
      <c r="B1104" s="23"/>
      <c r="C1104" s="202"/>
    </row>
    <row r="1105" spans="1:16" x14ac:dyDescent="0.25">
      <c r="A1105" s="13"/>
      <c r="B1105" s="23"/>
      <c r="C1105" s="202"/>
      <c r="E1105" s="203"/>
      <c r="F1105" s="203"/>
      <c r="G1105" s="203"/>
      <c r="H1105" s="203"/>
      <c r="I1105" s="203"/>
      <c r="J1105" s="203"/>
      <c r="K1105" s="203"/>
      <c r="L1105" s="203"/>
      <c r="M1105" s="203"/>
      <c r="N1105" s="203"/>
      <c r="O1105" s="203"/>
      <c r="P1105" s="203"/>
    </row>
    <row r="1106" spans="1:16" x14ac:dyDescent="0.25">
      <c r="A1106" s="13"/>
      <c r="B1106" s="23"/>
      <c r="C1106" s="202"/>
      <c r="E1106" s="203"/>
      <c r="F1106" s="203"/>
      <c r="G1106" s="203"/>
      <c r="H1106" s="203"/>
      <c r="I1106" s="203"/>
      <c r="J1106" s="203"/>
      <c r="K1106" s="203"/>
      <c r="L1106" s="203"/>
      <c r="M1106" s="203"/>
      <c r="N1106" s="203"/>
      <c r="O1106" s="203"/>
      <c r="P1106" s="203"/>
    </row>
    <row r="1107" spans="1:16" x14ac:dyDescent="0.25">
      <c r="A1107" s="200"/>
      <c r="B1107" s="20"/>
      <c r="C1107" s="202"/>
      <c r="E1107" s="203"/>
      <c r="F1107" s="203"/>
      <c r="G1107" s="203"/>
      <c r="H1107" s="203"/>
      <c r="I1107" s="203"/>
      <c r="J1107" s="203"/>
      <c r="K1107" s="203"/>
      <c r="L1107" s="203"/>
      <c r="M1107" s="203"/>
      <c r="N1107" s="203"/>
      <c r="O1107" s="203"/>
      <c r="P1107" s="203"/>
    </row>
    <row r="1108" spans="1:16" x14ac:dyDescent="0.25">
      <c r="A1108" s="13"/>
      <c r="B1108" s="23"/>
    </row>
    <row r="1109" spans="1:16" x14ac:dyDescent="0.25">
      <c r="A1109" s="13"/>
      <c r="B1109" s="23"/>
    </row>
    <row r="1110" spans="1:16" x14ac:dyDescent="0.25">
      <c r="A1110" s="13"/>
      <c r="B1110" s="23"/>
    </row>
    <row r="1111" spans="1:16" x14ac:dyDescent="0.25">
      <c r="B1111" s="23"/>
    </row>
    <row r="1112" spans="1:16" x14ac:dyDescent="0.25">
      <c r="B1112" s="23"/>
    </row>
    <row r="1113" spans="1:16" x14ac:dyDescent="0.25">
      <c r="B1113" s="23"/>
    </row>
    <row r="1114" spans="1:16" x14ac:dyDescent="0.25">
      <c r="B1114" s="23"/>
    </row>
    <row r="1115" spans="1:16" x14ac:dyDescent="0.25">
      <c r="B1115" s="23"/>
    </row>
    <row r="1116" spans="1:16" x14ac:dyDescent="0.25">
      <c r="B1116" s="23"/>
    </row>
    <row r="1117" spans="1:16" x14ac:dyDescent="0.25">
      <c r="B1117" s="23"/>
    </row>
    <row r="1118" spans="1:16" x14ac:dyDescent="0.25">
      <c r="B1118" s="23"/>
    </row>
    <row r="1119" spans="1:16" x14ac:dyDescent="0.25">
      <c r="B1119" s="23"/>
    </row>
    <row r="1120" spans="1:16" x14ac:dyDescent="0.25">
      <c r="B1120" s="23"/>
    </row>
    <row r="1121" spans="1:17" x14ac:dyDescent="0.25">
      <c r="B1121" s="23"/>
    </row>
    <row r="1122" spans="1:17" x14ac:dyDescent="0.25">
      <c r="B1122" s="23"/>
    </row>
    <row r="1123" spans="1:17" x14ac:dyDescent="0.25">
      <c r="B1123" s="23"/>
    </row>
    <row r="1124" spans="1:17" x14ac:dyDescent="0.25">
      <c r="B1124" s="23"/>
    </row>
    <row r="1125" spans="1:17" ht="13" x14ac:dyDescent="0.3">
      <c r="B1125" s="187"/>
      <c r="C1125" s="188"/>
      <c r="D1125" s="188"/>
      <c r="E1125" s="188"/>
      <c r="F1125" s="188"/>
      <c r="G1125" s="188"/>
      <c r="H1125" s="187"/>
      <c r="I1125" s="188"/>
    </row>
    <row r="1126" spans="1:17" x14ac:dyDescent="0.25">
      <c r="B1126" s="188"/>
      <c r="C1126" s="188"/>
      <c r="D1126" s="188"/>
      <c r="E1126" s="188"/>
      <c r="F1126" s="188"/>
      <c r="G1126" s="188"/>
      <c r="H1126" s="188"/>
      <c r="I1126" s="188"/>
    </row>
    <row r="1127" spans="1:17" x14ac:dyDescent="0.25">
      <c r="B1127" s="188"/>
      <c r="C1127" s="188"/>
      <c r="D1127" s="188"/>
      <c r="E1127" s="188"/>
      <c r="F1127" s="188"/>
      <c r="G1127" s="188"/>
      <c r="H1127" s="188"/>
      <c r="I1127" s="188"/>
    </row>
    <row r="1128" spans="1:17" ht="13" x14ac:dyDescent="0.3">
      <c r="B1128" s="186"/>
      <c r="C1128" s="188"/>
      <c r="D1128" s="188"/>
      <c r="E1128" s="188"/>
      <c r="F1128" s="188"/>
      <c r="G1128" s="188"/>
      <c r="H1128" s="186"/>
      <c r="I1128" s="188"/>
    </row>
    <row r="1129" spans="1:17" x14ac:dyDescent="0.25">
      <c r="B1129" s="188"/>
      <c r="C1129" s="188"/>
      <c r="D1129" s="188"/>
      <c r="E1129" s="188"/>
      <c r="F1129" s="188"/>
      <c r="G1129" s="188"/>
      <c r="H1129" s="188"/>
      <c r="I1129" s="188"/>
    </row>
    <row r="1130" spans="1:17" x14ac:dyDescent="0.25">
      <c r="B1130" s="188"/>
      <c r="C1130" s="188"/>
      <c r="D1130" s="188"/>
      <c r="E1130" s="188"/>
      <c r="F1130" s="188"/>
      <c r="G1130" s="188"/>
      <c r="H1130" s="188"/>
      <c r="I1130" s="188"/>
    </row>
    <row r="1131" spans="1:17" x14ac:dyDescent="0.25">
      <c r="B1131" s="188"/>
      <c r="C1131" s="188"/>
      <c r="F1131" s="188"/>
      <c r="G1131" s="188"/>
      <c r="H1131" s="188"/>
    </row>
    <row r="1132" spans="1:17" x14ac:dyDescent="0.25">
      <c r="B1132" s="206"/>
      <c r="C1132" s="188"/>
      <c r="D1132" s="188"/>
      <c r="E1132" s="188"/>
      <c r="F1132" s="188"/>
      <c r="G1132" s="188"/>
      <c r="H1132" s="206"/>
      <c r="I1132" s="188"/>
    </row>
    <row r="1133" spans="1:17" x14ac:dyDescent="0.25">
      <c r="B1133" s="188"/>
      <c r="C1133" s="188"/>
      <c r="D1133" s="188"/>
      <c r="E1133" s="188"/>
      <c r="F1133" s="188"/>
      <c r="G1133" s="188"/>
      <c r="H1133" s="188"/>
      <c r="I1133" s="188"/>
    </row>
    <row r="1134" spans="1:17" x14ac:dyDescent="0.25">
      <c r="A1134" s="206"/>
      <c r="B1134" s="206"/>
      <c r="C1134" s="188"/>
      <c r="D1134" s="188"/>
      <c r="E1134" s="188"/>
      <c r="F1134" s="188"/>
      <c r="G1134" s="188"/>
      <c r="H1134" s="188"/>
      <c r="I1134" s="188"/>
    </row>
    <row r="1135" spans="1:17" x14ac:dyDescent="0.25">
      <c r="B1135" s="2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</row>
    <row r="1136" spans="1:17" x14ac:dyDescent="0.25">
      <c r="A1136" s="5"/>
      <c r="B1136" s="210"/>
      <c r="C1136" s="5"/>
      <c r="D1136" s="13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6" x14ac:dyDescent="0.25">
      <c r="A1137" s="13"/>
      <c r="B1137" s="23"/>
      <c r="C1137" s="13"/>
    </row>
    <row r="1138" spans="1:16" x14ac:dyDescent="0.25">
      <c r="A1138" s="13"/>
      <c r="B1138" s="23"/>
      <c r="C1138" s="23"/>
    </row>
    <row r="1139" spans="1:16" x14ac:dyDescent="0.25">
      <c r="A1139" s="13"/>
      <c r="B1139" s="23"/>
      <c r="C1139" s="23"/>
    </row>
    <row r="1140" spans="1:16" x14ac:dyDescent="0.25">
      <c r="A1140" s="13"/>
      <c r="B1140" s="23"/>
      <c r="C1140" s="23"/>
    </row>
    <row r="1141" spans="1:16" x14ac:dyDescent="0.25">
      <c r="A1141" s="13"/>
      <c r="B1141" s="23"/>
      <c r="C1141" s="23"/>
    </row>
    <row r="1142" spans="1:16" x14ac:dyDescent="0.25">
      <c r="A1142" s="13"/>
      <c r="B1142" s="23"/>
      <c r="C1142" s="23"/>
    </row>
    <row r="1143" spans="1:16" x14ac:dyDescent="0.25">
      <c r="A1143" s="13"/>
      <c r="B1143" s="23"/>
      <c r="C1143" s="13"/>
    </row>
    <row r="1144" spans="1:16" x14ac:dyDescent="0.25">
      <c r="A1144" s="13"/>
      <c r="B1144" s="23"/>
      <c r="C1144" s="13"/>
    </row>
    <row r="1145" spans="1:16" x14ac:dyDescent="0.25">
      <c r="A1145" s="13"/>
      <c r="B1145" s="23"/>
      <c r="C1145" s="13"/>
    </row>
    <row r="1146" spans="1:16" x14ac:dyDescent="0.25">
      <c r="A1146" s="13"/>
      <c r="B1146" s="23"/>
      <c r="C1146" s="13"/>
    </row>
    <row r="1147" spans="1:16" x14ac:dyDescent="0.25">
      <c r="A1147" s="13"/>
      <c r="B1147" s="23"/>
    </row>
    <row r="1148" spans="1:16" x14ac:dyDescent="0.25">
      <c r="A1148" s="13"/>
      <c r="B1148" s="23"/>
      <c r="C1148" s="23"/>
    </row>
    <row r="1149" spans="1:16" x14ac:dyDescent="0.25">
      <c r="A1149" s="200"/>
      <c r="B1149" s="20"/>
    </row>
    <row r="1150" spans="1:16" x14ac:dyDescent="0.25">
      <c r="A1150" s="13"/>
      <c r="B1150" s="23"/>
      <c r="E1150" s="201"/>
      <c r="F1150" s="201"/>
      <c r="G1150" s="201"/>
      <c r="H1150" s="201"/>
      <c r="I1150" s="201"/>
      <c r="J1150" s="201"/>
      <c r="K1150" s="201"/>
      <c r="L1150" s="201"/>
      <c r="M1150" s="201"/>
      <c r="N1150" s="201"/>
      <c r="O1150" s="201"/>
      <c r="P1150" s="201"/>
    </row>
    <row r="1151" spans="1:16" x14ac:dyDescent="0.25">
      <c r="A1151" s="200"/>
      <c r="B1151" s="23"/>
      <c r="C1151" s="23"/>
    </row>
    <row r="1152" spans="1:16" x14ac:dyDescent="0.25">
      <c r="A1152" s="200"/>
      <c r="B1152" s="23"/>
      <c r="C1152" s="23"/>
    </row>
    <row r="1153" spans="1:16" x14ac:dyDescent="0.25">
      <c r="A1153" s="200"/>
      <c r="B1153" s="20"/>
      <c r="F1153" s="201"/>
      <c r="G1153" s="201"/>
      <c r="H1153" s="201"/>
      <c r="I1153" s="201"/>
      <c r="J1153" s="201"/>
      <c r="K1153" s="201"/>
      <c r="L1153" s="201"/>
      <c r="M1153" s="201"/>
      <c r="N1153" s="201"/>
      <c r="O1153" s="201"/>
      <c r="P1153" s="201"/>
    </row>
    <row r="1154" spans="1:16" x14ac:dyDescent="0.25">
      <c r="A1154" s="13"/>
      <c r="B1154" s="23"/>
    </row>
    <row r="1155" spans="1:16" x14ac:dyDescent="0.25">
      <c r="A1155" s="200"/>
      <c r="B1155" s="23"/>
      <c r="C1155" s="23"/>
    </row>
    <row r="1156" spans="1:16" x14ac:dyDescent="0.25">
      <c r="A1156" s="200"/>
      <c r="B1156" s="23"/>
      <c r="C1156" s="23"/>
    </row>
    <row r="1157" spans="1:16" x14ac:dyDescent="0.25">
      <c r="A1157" s="200"/>
      <c r="B1157" s="23"/>
      <c r="C1157" s="23"/>
    </row>
    <row r="1158" spans="1:16" x14ac:dyDescent="0.25">
      <c r="A1158" s="200"/>
      <c r="B1158" s="23"/>
      <c r="C1158" s="23"/>
    </row>
    <row r="1159" spans="1:16" x14ac:dyDescent="0.25">
      <c r="A1159" s="200"/>
      <c r="B1159" s="23"/>
      <c r="C1159" s="23"/>
      <c r="E1159" s="202"/>
      <c r="F1159" s="202"/>
      <c r="G1159" s="202"/>
      <c r="H1159" s="202"/>
      <c r="I1159" s="202"/>
      <c r="J1159" s="202"/>
      <c r="K1159" s="202"/>
      <c r="L1159" s="202"/>
      <c r="M1159" s="202"/>
      <c r="N1159" s="202"/>
      <c r="O1159" s="202"/>
      <c r="P1159" s="202"/>
    </row>
    <row r="1160" spans="1:16" x14ac:dyDescent="0.25">
      <c r="A1160" s="200"/>
      <c r="B1160" s="20"/>
      <c r="C1160" s="202"/>
      <c r="E1160" s="202"/>
      <c r="F1160" s="202"/>
      <c r="G1160" s="202"/>
      <c r="H1160" s="202"/>
      <c r="I1160" s="202"/>
      <c r="J1160" s="202"/>
      <c r="K1160" s="202"/>
      <c r="L1160" s="202"/>
      <c r="M1160" s="202"/>
      <c r="N1160" s="202"/>
      <c r="O1160" s="202"/>
      <c r="P1160" s="202"/>
    </row>
    <row r="1161" spans="1:16" x14ac:dyDescent="0.25">
      <c r="A1161" s="13"/>
      <c r="B1161" s="23"/>
      <c r="C1161" s="202"/>
    </row>
    <row r="1162" spans="1:16" x14ac:dyDescent="0.25">
      <c r="A1162" s="13"/>
      <c r="B1162" s="23"/>
      <c r="C1162" s="23"/>
    </row>
    <row r="1163" spans="1:16" x14ac:dyDescent="0.25">
      <c r="A1163" s="13"/>
      <c r="B1163" s="23"/>
      <c r="C1163" s="23"/>
    </row>
    <row r="1164" spans="1:16" x14ac:dyDescent="0.25">
      <c r="A1164" s="13"/>
      <c r="B1164" s="23"/>
      <c r="C1164" s="202"/>
    </row>
    <row r="1165" spans="1:16" x14ac:dyDescent="0.25">
      <c r="A1165" s="13"/>
      <c r="B1165" s="23"/>
      <c r="C1165" s="202"/>
      <c r="E1165" s="203"/>
      <c r="F1165" s="203"/>
      <c r="G1165" s="203"/>
      <c r="H1165" s="203"/>
      <c r="I1165" s="203"/>
      <c r="J1165" s="203"/>
      <c r="K1165" s="203"/>
      <c r="L1165" s="203"/>
      <c r="M1165" s="203"/>
      <c r="N1165" s="203"/>
      <c r="O1165" s="203"/>
      <c r="P1165" s="203"/>
    </row>
    <row r="1166" spans="1:16" x14ac:dyDescent="0.25">
      <c r="A1166" s="13"/>
      <c r="B1166" s="23"/>
      <c r="C1166" s="202"/>
      <c r="E1166" s="203"/>
      <c r="F1166" s="203"/>
      <c r="G1166" s="203"/>
      <c r="H1166" s="203"/>
      <c r="I1166" s="203"/>
      <c r="J1166" s="203"/>
      <c r="K1166" s="203"/>
      <c r="L1166" s="203"/>
      <c r="M1166" s="203"/>
      <c r="N1166" s="203"/>
      <c r="O1166" s="203"/>
      <c r="P1166" s="203"/>
    </row>
    <row r="1167" spans="1:16" x14ac:dyDescent="0.25">
      <c r="A1167" s="200"/>
      <c r="B1167" s="20"/>
      <c r="C1167" s="202"/>
      <c r="E1167" s="203"/>
      <c r="F1167" s="203"/>
      <c r="G1167" s="203"/>
      <c r="H1167" s="203"/>
      <c r="I1167" s="203"/>
      <c r="J1167" s="203"/>
      <c r="K1167" s="203"/>
      <c r="L1167" s="203"/>
      <c r="M1167" s="203"/>
      <c r="N1167" s="203"/>
      <c r="O1167" s="203"/>
      <c r="P1167" s="203"/>
    </row>
    <row r="1168" spans="1:16" x14ac:dyDescent="0.25">
      <c r="A1168" s="13"/>
      <c r="B1168" s="23"/>
    </row>
    <row r="1169" spans="1:2" x14ac:dyDescent="0.25">
      <c r="A1169" s="13"/>
      <c r="B1169" s="23"/>
    </row>
    <row r="1170" spans="1:2" x14ac:dyDescent="0.25">
      <c r="A1170" s="13"/>
      <c r="B1170" s="23"/>
    </row>
    <row r="1171" spans="1:2" x14ac:dyDescent="0.25">
      <c r="B1171" s="23"/>
    </row>
    <row r="1172" spans="1:2" x14ac:dyDescent="0.25">
      <c r="B1172" s="23"/>
    </row>
    <row r="1173" spans="1:2" x14ac:dyDescent="0.25">
      <c r="B1173" s="23"/>
    </row>
    <row r="1174" spans="1:2" x14ac:dyDescent="0.25">
      <c r="B1174" s="23"/>
    </row>
    <row r="1175" spans="1:2" x14ac:dyDescent="0.25">
      <c r="B1175" s="23"/>
    </row>
    <row r="1176" spans="1:2" x14ac:dyDescent="0.25">
      <c r="B1176" s="23"/>
    </row>
    <row r="1177" spans="1:2" x14ac:dyDescent="0.25">
      <c r="B1177" s="23"/>
    </row>
    <row r="1178" spans="1:2" x14ac:dyDescent="0.25">
      <c r="B1178" s="23"/>
    </row>
    <row r="1179" spans="1:2" x14ac:dyDescent="0.25">
      <c r="B1179" s="23"/>
    </row>
    <row r="1180" spans="1:2" x14ac:dyDescent="0.25">
      <c r="B1180" s="23"/>
    </row>
    <row r="1181" spans="1:2" x14ac:dyDescent="0.25">
      <c r="B1181" s="23"/>
    </row>
    <row r="1182" spans="1:2" x14ac:dyDescent="0.25">
      <c r="B1182" s="23"/>
    </row>
    <row r="1183" spans="1:2" x14ac:dyDescent="0.25">
      <c r="B1183" s="23"/>
    </row>
    <row r="1184" spans="1:2" x14ac:dyDescent="0.25">
      <c r="B1184" s="23"/>
    </row>
    <row r="1185" spans="1:17" ht="13" x14ac:dyDescent="0.3">
      <c r="B1185" s="187"/>
      <c r="C1185" s="188"/>
      <c r="D1185" s="188"/>
      <c r="E1185" s="188"/>
      <c r="F1185" s="188"/>
      <c r="G1185" s="188"/>
      <c r="H1185" s="187"/>
      <c r="I1185" s="188"/>
    </row>
    <row r="1186" spans="1:17" x14ac:dyDescent="0.25">
      <c r="B1186" s="188"/>
      <c r="C1186" s="188"/>
      <c r="D1186" s="188"/>
      <c r="E1186" s="188"/>
      <c r="F1186" s="188"/>
      <c r="G1186" s="188"/>
      <c r="H1186" s="188"/>
      <c r="I1186" s="188"/>
    </row>
    <row r="1187" spans="1:17" x14ac:dyDescent="0.25">
      <c r="B1187" s="188"/>
      <c r="C1187" s="188"/>
      <c r="D1187" s="188"/>
      <c r="E1187" s="188"/>
      <c r="F1187" s="188"/>
      <c r="G1187" s="188"/>
      <c r="H1187" s="188"/>
      <c r="I1187" s="188"/>
    </row>
    <row r="1188" spans="1:17" ht="13" x14ac:dyDescent="0.3">
      <c r="B1188" s="186"/>
      <c r="C1188" s="188"/>
      <c r="D1188" s="188"/>
      <c r="E1188" s="188"/>
      <c r="F1188" s="188"/>
      <c r="G1188" s="188"/>
      <c r="H1188" s="186"/>
      <c r="I1188" s="188"/>
    </row>
    <row r="1189" spans="1:17" x14ac:dyDescent="0.25">
      <c r="B1189" s="188"/>
      <c r="C1189" s="188"/>
      <c r="D1189" s="188"/>
      <c r="E1189" s="188"/>
      <c r="F1189" s="188"/>
      <c r="G1189" s="188"/>
      <c r="H1189" s="188"/>
      <c r="I1189" s="188"/>
    </row>
    <row r="1190" spans="1:17" x14ac:dyDescent="0.25">
      <c r="B1190" s="188"/>
      <c r="C1190" s="188"/>
      <c r="D1190" s="188"/>
      <c r="E1190" s="188"/>
      <c r="F1190" s="188"/>
      <c r="G1190" s="188"/>
      <c r="H1190" s="188"/>
      <c r="I1190" s="188"/>
    </row>
    <row r="1191" spans="1:17" x14ac:dyDescent="0.25">
      <c r="B1191" s="188"/>
      <c r="C1191" s="188"/>
      <c r="F1191" s="188"/>
      <c r="G1191" s="188"/>
      <c r="H1191" s="188"/>
    </row>
    <row r="1192" spans="1:17" x14ac:dyDescent="0.25">
      <c r="B1192" s="206"/>
      <c r="C1192" s="188"/>
      <c r="D1192" s="188"/>
      <c r="E1192" s="188"/>
      <c r="F1192" s="188"/>
      <c r="G1192" s="188"/>
      <c r="H1192" s="206"/>
      <c r="I1192" s="188"/>
    </row>
    <row r="1193" spans="1:17" x14ac:dyDescent="0.25">
      <c r="B1193" s="188"/>
      <c r="C1193" s="188"/>
      <c r="D1193" s="188"/>
      <c r="E1193" s="188"/>
      <c r="F1193" s="188"/>
      <c r="G1193" s="188"/>
      <c r="H1193" s="188"/>
      <c r="I1193" s="188"/>
    </row>
    <row r="1194" spans="1:17" x14ac:dyDescent="0.25">
      <c r="A1194" s="206"/>
      <c r="B1194" s="206"/>
      <c r="C1194" s="188"/>
      <c r="D1194" s="188"/>
      <c r="E1194" s="188"/>
      <c r="F1194" s="188"/>
      <c r="G1194" s="188"/>
      <c r="H1194" s="188"/>
      <c r="I1194" s="188"/>
    </row>
    <row r="1195" spans="1:17" x14ac:dyDescent="0.25">
      <c r="B1195" s="2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</row>
    <row r="1196" spans="1:17" x14ac:dyDescent="0.25">
      <c r="A1196" s="5"/>
      <c r="B1196" s="210"/>
      <c r="C1196" s="5"/>
      <c r="D1196" s="13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x14ac:dyDescent="0.25">
      <c r="A1197" s="13"/>
      <c r="B1197" s="23"/>
      <c r="C1197" s="13"/>
    </row>
    <row r="1198" spans="1:17" x14ac:dyDescent="0.25">
      <c r="A1198" s="13"/>
      <c r="B1198" s="23"/>
      <c r="C1198" s="23"/>
    </row>
    <row r="1199" spans="1:17" x14ac:dyDescent="0.25">
      <c r="A1199" s="13"/>
      <c r="B1199" s="23"/>
      <c r="C1199" s="23"/>
    </row>
    <row r="1200" spans="1:17" x14ac:dyDescent="0.25">
      <c r="A1200" s="13"/>
      <c r="B1200" s="23"/>
      <c r="C1200" s="23"/>
    </row>
    <row r="1201" spans="1:16" x14ac:dyDescent="0.25">
      <c r="A1201" s="13"/>
      <c r="B1201" s="23"/>
      <c r="C1201" s="23"/>
    </row>
    <row r="1202" spans="1:16" x14ac:dyDescent="0.25">
      <c r="A1202" s="13"/>
      <c r="B1202" s="23"/>
      <c r="C1202" s="23"/>
    </row>
    <row r="1203" spans="1:16" x14ac:dyDescent="0.25">
      <c r="A1203" s="13"/>
      <c r="B1203" s="23"/>
      <c r="C1203" s="13"/>
    </row>
    <row r="1204" spans="1:16" x14ac:dyDescent="0.25">
      <c r="A1204" s="13"/>
      <c r="B1204" s="23"/>
      <c r="C1204" s="13"/>
    </row>
    <row r="1205" spans="1:16" x14ac:dyDescent="0.25">
      <c r="A1205" s="13"/>
      <c r="B1205" s="23"/>
      <c r="C1205" s="13"/>
    </row>
    <row r="1206" spans="1:16" x14ac:dyDescent="0.25">
      <c r="A1206" s="13"/>
      <c r="B1206" s="23"/>
      <c r="C1206" s="13"/>
    </row>
    <row r="1207" spans="1:16" x14ac:dyDescent="0.25">
      <c r="A1207" s="13"/>
      <c r="B1207" s="23"/>
    </row>
    <row r="1208" spans="1:16" x14ac:dyDescent="0.25">
      <c r="A1208" s="13"/>
      <c r="B1208" s="23"/>
      <c r="C1208" s="23"/>
    </row>
    <row r="1209" spans="1:16" x14ac:dyDescent="0.25">
      <c r="A1209" s="200"/>
      <c r="B1209" s="20"/>
    </row>
    <row r="1210" spans="1:16" x14ac:dyDescent="0.25">
      <c r="A1210" s="13"/>
      <c r="B1210" s="23"/>
      <c r="E1210" s="201"/>
      <c r="F1210" s="201"/>
      <c r="G1210" s="201"/>
      <c r="H1210" s="201"/>
      <c r="I1210" s="201"/>
      <c r="J1210" s="201"/>
      <c r="K1210" s="201"/>
      <c r="L1210" s="201"/>
      <c r="M1210" s="201"/>
      <c r="N1210" s="201"/>
      <c r="O1210" s="201"/>
      <c r="P1210" s="201"/>
    </row>
    <row r="1211" spans="1:16" x14ac:dyDescent="0.25">
      <c r="A1211" s="200"/>
      <c r="B1211" s="23"/>
      <c r="C1211" s="23"/>
    </row>
    <row r="1212" spans="1:16" x14ac:dyDescent="0.25">
      <c r="A1212" s="200"/>
      <c r="B1212" s="23"/>
      <c r="C1212" s="23"/>
    </row>
    <row r="1213" spans="1:16" x14ac:dyDescent="0.25">
      <c r="A1213" s="200"/>
      <c r="B1213" s="20"/>
      <c r="F1213" s="201"/>
      <c r="G1213" s="201"/>
      <c r="H1213" s="201"/>
      <c r="I1213" s="201"/>
      <c r="J1213" s="201"/>
      <c r="K1213" s="201"/>
      <c r="L1213" s="201"/>
      <c r="M1213" s="201"/>
      <c r="N1213" s="201"/>
      <c r="O1213" s="201"/>
      <c r="P1213" s="201"/>
    </row>
    <row r="1214" spans="1:16" x14ac:dyDescent="0.25">
      <c r="A1214" s="13"/>
      <c r="B1214" s="23"/>
    </row>
    <row r="1215" spans="1:16" x14ac:dyDescent="0.25">
      <c r="A1215" s="200"/>
      <c r="B1215" s="23"/>
      <c r="C1215" s="23"/>
    </row>
    <row r="1216" spans="1:16" x14ac:dyDescent="0.25">
      <c r="A1216" s="200"/>
      <c r="B1216" s="23"/>
      <c r="C1216" s="23"/>
    </row>
    <row r="1217" spans="1:16" x14ac:dyDescent="0.25">
      <c r="A1217" s="200"/>
      <c r="B1217" s="23"/>
      <c r="C1217" s="23"/>
    </row>
    <row r="1218" spans="1:16" x14ac:dyDescent="0.25">
      <c r="A1218" s="200"/>
      <c r="B1218" s="23"/>
      <c r="C1218" s="23"/>
    </row>
    <row r="1219" spans="1:16" x14ac:dyDescent="0.25">
      <c r="A1219" s="200"/>
      <c r="B1219" s="23"/>
      <c r="C1219" s="23"/>
      <c r="E1219" s="202"/>
      <c r="F1219" s="202"/>
      <c r="G1219" s="202"/>
      <c r="H1219" s="202"/>
      <c r="I1219" s="202"/>
      <c r="J1219" s="202"/>
      <c r="K1219" s="202"/>
      <c r="L1219" s="202"/>
      <c r="M1219" s="202"/>
      <c r="N1219" s="202"/>
      <c r="O1219" s="202"/>
      <c r="P1219" s="202"/>
    </row>
    <row r="1220" spans="1:16" x14ac:dyDescent="0.25">
      <c r="A1220" s="200"/>
      <c r="B1220" s="20"/>
      <c r="C1220" s="202"/>
      <c r="E1220" s="202"/>
      <c r="F1220" s="202"/>
      <c r="G1220" s="202"/>
      <c r="H1220" s="202"/>
      <c r="I1220" s="202"/>
      <c r="J1220" s="202"/>
      <c r="K1220" s="202"/>
      <c r="L1220" s="202"/>
      <c r="M1220" s="202"/>
      <c r="N1220" s="202"/>
      <c r="O1220" s="202"/>
      <c r="P1220" s="202"/>
    </row>
    <row r="1221" spans="1:16" x14ac:dyDescent="0.25">
      <c r="A1221" s="13"/>
      <c r="B1221" s="23"/>
      <c r="C1221" s="202"/>
    </row>
    <row r="1222" spans="1:16" x14ac:dyDescent="0.25">
      <c r="A1222" s="13"/>
      <c r="B1222" s="23"/>
      <c r="C1222" s="23"/>
    </row>
    <row r="1223" spans="1:16" x14ac:dyDescent="0.25">
      <c r="A1223" s="13"/>
      <c r="B1223" s="23"/>
      <c r="C1223" s="23"/>
    </row>
    <row r="1224" spans="1:16" x14ac:dyDescent="0.25">
      <c r="A1224" s="13"/>
      <c r="B1224" s="23"/>
      <c r="C1224" s="202"/>
    </row>
    <row r="1225" spans="1:16" x14ac:dyDescent="0.25">
      <c r="A1225" s="13"/>
      <c r="B1225" s="23"/>
      <c r="C1225" s="202"/>
      <c r="E1225" s="203"/>
      <c r="F1225" s="203"/>
      <c r="G1225" s="203"/>
      <c r="H1225" s="203"/>
      <c r="I1225" s="203"/>
      <c r="J1225" s="203"/>
      <c r="K1225" s="203"/>
      <c r="L1225" s="203"/>
      <c r="M1225" s="203"/>
      <c r="N1225" s="203"/>
      <c r="O1225" s="203"/>
      <c r="P1225" s="203"/>
    </row>
    <row r="1226" spans="1:16" x14ac:dyDescent="0.25">
      <c r="A1226" s="13"/>
      <c r="B1226" s="23"/>
      <c r="C1226" s="202"/>
      <c r="E1226" s="203"/>
      <c r="F1226" s="203"/>
      <c r="G1226" s="203"/>
      <c r="H1226" s="203"/>
      <c r="I1226" s="203"/>
      <c r="J1226" s="203"/>
      <c r="K1226" s="203"/>
      <c r="L1226" s="203"/>
      <c r="M1226" s="203"/>
      <c r="N1226" s="203"/>
      <c r="O1226" s="203"/>
      <c r="P1226" s="203"/>
    </row>
    <row r="1227" spans="1:16" x14ac:dyDescent="0.25">
      <c r="A1227" s="200"/>
      <c r="B1227" s="20"/>
      <c r="C1227" s="202"/>
      <c r="E1227" s="203"/>
      <c r="F1227" s="203"/>
      <c r="G1227" s="203"/>
      <c r="H1227" s="203"/>
      <c r="I1227" s="203"/>
      <c r="J1227" s="203"/>
      <c r="K1227" s="203"/>
      <c r="L1227" s="203"/>
      <c r="M1227" s="203"/>
      <c r="N1227" s="203"/>
      <c r="O1227" s="203"/>
      <c r="P1227" s="203"/>
    </row>
    <row r="1228" spans="1:16" x14ac:dyDescent="0.25">
      <c r="A1228" s="13"/>
      <c r="B1228" s="23"/>
    </row>
    <row r="1229" spans="1:16" x14ac:dyDescent="0.25">
      <c r="A1229" s="13"/>
      <c r="B1229" s="23"/>
    </row>
    <row r="1230" spans="1:16" x14ac:dyDescent="0.25">
      <c r="A1230" s="13"/>
      <c r="B1230" s="23"/>
    </row>
    <row r="1231" spans="1:16" x14ac:dyDescent="0.25">
      <c r="B1231" s="23"/>
    </row>
    <row r="1232" spans="1:16" x14ac:dyDescent="0.25">
      <c r="B1232" s="23"/>
    </row>
    <row r="1233" spans="2:9" x14ac:dyDescent="0.25">
      <c r="B1233" s="23"/>
      <c r="C1233" s="10"/>
    </row>
    <row r="1234" spans="2:9" x14ac:dyDescent="0.25">
      <c r="B1234" s="23"/>
    </row>
    <row r="1235" spans="2:9" x14ac:dyDescent="0.25">
      <c r="B1235" s="23"/>
    </row>
    <row r="1236" spans="2:9" x14ac:dyDescent="0.25">
      <c r="B1236" s="23"/>
    </row>
    <row r="1237" spans="2:9" x14ac:dyDescent="0.25">
      <c r="B1237" s="23"/>
    </row>
    <row r="1238" spans="2:9" x14ac:dyDescent="0.25">
      <c r="B1238" s="23"/>
    </row>
    <row r="1239" spans="2:9" x14ac:dyDescent="0.25">
      <c r="B1239" s="23"/>
    </row>
    <row r="1244" spans="2:9" ht="13" x14ac:dyDescent="0.3">
      <c r="B1244" s="187"/>
      <c r="C1244" s="188"/>
      <c r="D1244" s="188"/>
      <c r="E1244" s="188"/>
      <c r="F1244" s="188"/>
      <c r="G1244" s="188"/>
      <c r="H1244" s="187"/>
      <c r="I1244" s="188"/>
    </row>
    <row r="1245" spans="2:9" x14ac:dyDescent="0.25">
      <c r="B1245" s="188"/>
      <c r="C1245" s="188"/>
      <c r="D1245" s="188"/>
      <c r="E1245" s="188"/>
      <c r="F1245" s="188"/>
      <c r="G1245" s="188"/>
      <c r="H1245" s="188"/>
      <c r="I1245" s="188"/>
    </row>
    <row r="1246" spans="2:9" x14ac:dyDescent="0.25">
      <c r="B1246" s="188"/>
      <c r="C1246" s="188"/>
      <c r="D1246" s="188"/>
      <c r="E1246" s="188"/>
      <c r="F1246" s="188"/>
      <c r="G1246" s="188"/>
      <c r="H1246" s="188"/>
      <c r="I1246" s="188"/>
    </row>
    <row r="1247" spans="2:9" ht="13" x14ac:dyDescent="0.3">
      <c r="B1247" s="186"/>
      <c r="C1247" s="188"/>
      <c r="D1247" s="188"/>
      <c r="E1247" s="188"/>
      <c r="F1247" s="188"/>
      <c r="G1247" s="188"/>
      <c r="H1247" s="186"/>
      <c r="I1247" s="188"/>
    </row>
    <row r="1248" spans="2:9" x14ac:dyDescent="0.25">
      <c r="B1248" s="188"/>
      <c r="C1248" s="188"/>
      <c r="D1248" s="188"/>
      <c r="E1248" s="188"/>
      <c r="F1248" s="188"/>
      <c r="G1248" s="188"/>
      <c r="H1248" s="188"/>
      <c r="I1248" s="188"/>
    </row>
    <row r="1249" spans="1:17" x14ac:dyDescent="0.25">
      <c r="B1249" s="188"/>
      <c r="C1249" s="188"/>
      <c r="D1249" s="188"/>
      <c r="E1249" s="188"/>
      <c r="F1249" s="188"/>
      <c r="G1249" s="188"/>
      <c r="H1249" s="188"/>
      <c r="I1249" s="188"/>
    </row>
    <row r="1250" spans="1:17" x14ac:dyDescent="0.25">
      <c r="B1250" s="188"/>
      <c r="C1250" s="188"/>
      <c r="F1250" s="188"/>
      <c r="G1250" s="188"/>
      <c r="H1250" s="188"/>
      <c r="I1250" s="11"/>
    </row>
    <row r="1251" spans="1:17" x14ac:dyDescent="0.25">
      <c r="B1251" s="206"/>
      <c r="C1251" s="188"/>
      <c r="D1251" s="188"/>
      <c r="E1251" s="188"/>
      <c r="F1251" s="188"/>
      <c r="G1251" s="188"/>
      <c r="H1251" s="206"/>
      <c r="I1251" s="188"/>
    </row>
    <row r="1252" spans="1:17" x14ac:dyDescent="0.25">
      <c r="B1252" s="188"/>
      <c r="C1252" s="188"/>
      <c r="D1252" s="188"/>
      <c r="E1252" s="188"/>
      <c r="F1252" s="188"/>
      <c r="G1252" s="188"/>
      <c r="H1252" s="188"/>
      <c r="I1252" s="188"/>
    </row>
    <row r="1253" spans="1:17" x14ac:dyDescent="0.25">
      <c r="A1253" s="206"/>
      <c r="B1253" s="206"/>
      <c r="C1253" s="188"/>
      <c r="D1253" s="188"/>
      <c r="E1253" s="188"/>
      <c r="F1253" s="188"/>
      <c r="G1253" s="188"/>
      <c r="H1253" s="188"/>
      <c r="I1253" s="188"/>
    </row>
    <row r="1254" spans="1:17" x14ac:dyDescent="0.25">
      <c r="B1254" s="2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</row>
    <row r="1255" spans="1:17" x14ac:dyDescent="0.25">
      <c r="A1255" s="5"/>
      <c r="B1255" s="210"/>
      <c r="C1255" s="5"/>
      <c r="D1255" s="13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x14ac:dyDescent="0.25">
      <c r="A1256" s="13"/>
      <c r="B1256" s="23"/>
      <c r="C1256" s="13"/>
    </row>
    <row r="1257" spans="1:17" x14ac:dyDescent="0.25">
      <c r="A1257" s="13"/>
      <c r="B1257" s="23"/>
      <c r="C1257" s="23"/>
    </row>
    <row r="1258" spans="1:17" x14ac:dyDescent="0.25">
      <c r="A1258" s="13"/>
      <c r="B1258" s="23"/>
      <c r="C1258" s="23"/>
    </row>
    <row r="1259" spans="1:17" x14ac:dyDescent="0.25">
      <c r="A1259" s="13"/>
      <c r="B1259" s="23"/>
      <c r="C1259" s="23"/>
    </row>
    <row r="1260" spans="1:17" x14ac:dyDescent="0.25">
      <c r="A1260" s="13"/>
      <c r="B1260" s="23"/>
      <c r="C1260" s="23"/>
    </row>
    <row r="1261" spans="1:17" x14ac:dyDescent="0.25">
      <c r="A1261" s="13"/>
      <c r="B1261" s="23"/>
      <c r="C1261" s="23"/>
    </row>
    <row r="1262" spans="1:17" x14ac:dyDescent="0.25">
      <c r="A1262" s="13"/>
      <c r="B1262" s="23"/>
      <c r="C1262" s="13"/>
    </row>
    <row r="1263" spans="1:17" x14ac:dyDescent="0.25">
      <c r="A1263" s="13"/>
      <c r="B1263" s="23"/>
      <c r="C1263" s="13"/>
    </row>
    <row r="1264" spans="1:17" x14ac:dyDescent="0.25">
      <c r="A1264" s="13"/>
      <c r="B1264" s="23"/>
      <c r="C1264" s="13"/>
    </row>
    <row r="1265" spans="1:16" x14ac:dyDescent="0.25">
      <c r="A1265" s="13"/>
      <c r="B1265" s="23"/>
      <c r="C1265" s="13"/>
    </row>
    <row r="1266" spans="1:16" x14ac:dyDescent="0.25">
      <c r="A1266" s="13"/>
      <c r="B1266" s="23"/>
    </row>
    <row r="1267" spans="1:16" x14ac:dyDescent="0.25">
      <c r="A1267" s="13"/>
      <c r="B1267" s="23"/>
      <c r="C1267" s="23"/>
    </row>
    <row r="1268" spans="1:16" x14ac:dyDescent="0.25">
      <c r="A1268" s="200"/>
      <c r="B1268" s="20"/>
    </row>
    <row r="1269" spans="1:16" x14ac:dyDescent="0.25">
      <c r="A1269" s="13"/>
      <c r="B1269" s="23"/>
      <c r="E1269" s="201"/>
      <c r="F1269" s="201"/>
      <c r="G1269" s="201"/>
      <c r="H1269" s="201"/>
      <c r="I1269" s="201"/>
      <c r="J1269" s="201"/>
      <c r="K1269" s="201"/>
      <c r="L1269" s="201"/>
      <c r="M1269" s="201"/>
      <c r="N1269" s="201"/>
      <c r="O1269" s="201"/>
      <c r="P1269" s="201"/>
    </row>
    <row r="1270" spans="1:16" x14ac:dyDescent="0.25">
      <c r="A1270" s="200"/>
      <c r="B1270" s="23"/>
      <c r="C1270" s="23"/>
    </row>
    <row r="1271" spans="1:16" x14ac:dyDescent="0.25">
      <c r="A1271" s="200"/>
      <c r="B1271" s="23"/>
      <c r="C1271" s="23"/>
    </row>
    <row r="1272" spans="1:16" x14ac:dyDescent="0.25">
      <c r="A1272" s="200"/>
      <c r="B1272" s="20"/>
      <c r="F1272" s="201"/>
      <c r="G1272" s="201"/>
      <c r="H1272" s="201"/>
      <c r="I1272" s="201"/>
      <c r="J1272" s="201"/>
      <c r="K1272" s="201"/>
      <c r="L1272" s="201"/>
      <c r="M1272" s="201"/>
      <c r="N1272" s="201"/>
      <c r="O1272" s="201"/>
      <c r="P1272" s="201"/>
    </row>
    <row r="1273" spans="1:16" x14ac:dyDescent="0.25">
      <c r="A1273" s="13"/>
      <c r="B1273" s="23"/>
    </row>
    <row r="1274" spans="1:16" x14ac:dyDescent="0.25">
      <c r="A1274" s="200"/>
      <c r="B1274" s="23"/>
      <c r="C1274" s="23"/>
    </row>
    <row r="1275" spans="1:16" x14ac:dyDescent="0.25">
      <c r="A1275" s="200"/>
      <c r="B1275" s="23"/>
      <c r="C1275" s="23"/>
    </row>
    <row r="1276" spans="1:16" x14ac:dyDescent="0.25">
      <c r="A1276" s="200"/>
      <c r="B1276" s="23"/>
      <c r="C1276" s="23"/>
    </row>
    <row r="1277" spans="1:16" x14ac:dyDescent="0.25">
      <c r="A1277" s="200"/>
      <c r="B1277" s="23"/>
      <c r="C1277" s="23"/>
    </row>
    <row r="1278" spans="1:16" x14ac:dyDescent="0.25">
      <c r="A1278" s="200"/>
      <c r="B1278" s="23"/>
      <c r="C1278" s="23"/>
      <c r="E1278" s="202"/>
      <c r="F1278" s="202"/>
      <c r="G1278" s="202"/>
      <c r="H1278" s="202"/>
      <c r="I1278" s="202"/>
      <c r="J1278" s="202"/>
      <c r="K1278" s="202"/>
      <c r="L1278" s="202"/>
      <c r="M1278" s="202"/>
      <c r="N1278" s="202"/>
      <c r="O1278" s="202"/>
      <c r="P1278" s="202"/>
    </row>
    <row r="1279" spans="1:16" x14ac:dyDescent="0.25">
      <c r="A1279" s="200"/>
      <c r="B1279" s="20"/>
      <c r="C1279" s="202"/>
      <c r="E1279" s="202"/>
      <c r="F1279" s="202"/>
      <c r="G1279" s="202"/>
      <c r="H1279" s="202"/>
      <c r="I1279" s="202"/>
      <c r="J1279" s="202"/>
      <c r="K1279" s="202"/>
      <c r="L1279" s="202"/>
      <c r="M1279" s="202"/>
      <c r="N1279" s="202"/>
      <c r="O1279" s="202"/>
      <c r="P1279" s="202"/>
    </row>
    <row r="1280" spans="1:16" x14ac:dyDescent="0.25">
      <c r="A1280" s="13"/>
      <c r="B1280" s="23"/>
      <c r="C1280" s="202"/>
    </row>
    <row r="1281" spans="1:16" x14ac:dyDescent="0.25">
      <c r="A1281" s="13"/>
      <c r="B1281" s="23"/>
      <c r="C1281" s="23"/>
    </row>
    <row r="1282" spans="1:16" x14ac:dyDescent="0.25">
      <c r="A1282" s="13"/>
      <c r="B1282" s="23"/>
      <c r="C1282" s="23"/>
    </row>
    <row r="1283" spans="1:16" x14ac:dyDescent="0.25">
      <c r="A1283" s="13"/>
      <c r="B1283" s="23"/>
      <c r="C1283" s="202"/>
    </row>
    <row r="1284" spans="1:16" x14ac:dyDescent="0.25">
      <c r="A1284" s="13"/>
      <c r="B1284" s="23"/>
      <c r="C1284" s="202"/>
      <c r="E1284" s="203"/>
      <c r="F1284" s="203"/>
      <c r="G1284" s="203"/>
      <c r="H1284" s="203"/>
      <c r="I1284" s="203"/>
      <c r="J1284" s="203"/>
      <c r="K1284" s="203"/>
      <c r="L1284" s="203"/>
      <c r="M1284" s="203"/>
      <c r="N1284" s="203"/>
      <c r="O1284" s="203"/>
      <c r="P1284" s="203"/>
    </row>
    <row r="1285" spans="1:16" x14ac:dyDescent="0.25">
      <c r="A1285" s="13"/>
      <c r="B1285" s="23"/>
      <c r="C1285" s="202"/>
      <c r="E1285" s="203"/>
      <c r="F1285" s="203"/>
      <c r="G1285" s="203"/>
      <c r="H1285" s="203"/>
      <c r="I1285" s="203"/>
      <c r="J1285" s="203"/>
      <c r="K1285" s="203"/>
      <c r="L1285" s="203"/>
      <c r="M1285" s="203"/>
      <c r="N1285" s="203"/>
      <c r="O1285" s="203"/>
      <c r="P1285" s="203"/>
    </row>
    <row r="1286" spans="1:16" x14ac:dyDescent="0.25">
      <c r="A1286" s="200"/>
      <c r="B1286" s="20"/>
      <c r="C1286" s="202"/>
      <c r="E1286" s="203"/>
      <c r="F1286" s="203"/>
      <c r="G1286" s="203"/>
      <c r="H1286" s="203"/>
      <c r="I1286" s="203"/>
      <c r="J1286" s="203"/>
      <c r="K1286" s="203"/>
      <c r="L1286" s="203"/>
      <c r="M1286" s="203"/>
      <c r="N1286" s="203"/>
      <c r="O1286" s="203"/>
      <c r="P1286" s="203"/>
    </row>
    <row r="1287" spans="1:16" x14ac:dyDescent="0.25">
      <c r="A1287" s="13"/>
      <c r="B1287" s="23"/>
    </row>
    <row r="1288" spans="1:16" x14ac:dyDescent="0.25">
      <c r="A1288" s="13"/>
      <c r="B1288" s="23"/>
    </row>
    <row r="1289" spans="1:16" x14ac:dyDescent="0.25">
      <c r="A1289" s="13"/>
      <c r="B1289" s="23"/>
    </row>
    <row r="1304" spans="2:9" ht="13" x14ac:dyDescent="0.3">
      <c r="B1304" s="187"/>
      <c r="C1304" s="188"/>
      <c r="D1304" s="188"/>
      <c r="E1304" s="188"/>
      <c r="F1304" s="188"/>
      <c r="G1304" s="188"/>
      <c r="H1304" s="187"/>
      <c r="I1304" s="188"/>
    </row>
    <row r="1305" spans="2:9" x14ac:dyDescent="0.25">
      <c r="B1305" s="188"/>
      <c r="C1305" s="188"/>
      <c r="D1305" s="188"/>
      <c r="E1305" s="188"/>
      <c r="F1305" s="188"/>
      <c r="G1305" s="188"/>
      <c r="H1305" s="188"/>
      <c r="I1305" s="188"/>
    </row>
    <row r="1306" spans="2:9" x14ac:dyDescent="0.25">
      <c r="B1306" s="188"/>
      <c r="C1306" s="188"/>
      <c r="D1306" s="188"/>
      <c r="E1306" s="188"/>
      <c r="F1306" s="188"/>
      <c r="G1306" s="188"/>
      <c r="H1306" s="188"/>
      <c r="I1306" s="188"/>
    </row>
    <row r="1307" spans="2:9" ht="13" x14ac:dyDescent="0.3">
      <c r="B1307" s="186"/>
      <c r="C1307" s="188"/>
      <c r="D1307" s="188"/>
      <c r="E1307" s="188"/>
      <c r="F1307" s="188"/>
      <c r="G1307" s="188"/>
      <c r="H1307" s="186"/>
      <c r="I1307" s="188"/>
    </row>
    <row r="1308" spans="2:9" x14ac:dyDescent="0.25">
      <c r="B1308" s="188"/>
      <c r="C1308" s="188"/>
      <c r="D1308" s="188"/>
      <c r="E1308" s="188"/>
      <c r="F1308" s="188"/>
      <c r="G1308" s="188"/>
      <c r="H1308" s="188"/>
      <c r="I1308" s="188"/>
    </row>
    <row r="1309" spans="2:9" x14ac:dyDescent="0.25">
      <c r="B1309" s="188"/>
      <c r="C1309" s="188"/>
      <c r="D1309" s="188"/>
      <c r="E1309" s="188"/>
      <c r="F1309" s="188"/>
      <c r="G1309" s="188"/>
      <c r="H1309" s="188"/>
      <c r="I1309" s="188"/>
    </row>
    <row r="1310" spans="2:9" x14ac:dyDescent="0.25">
      <c r="B1310" s="188"/>
      <c r="C1310" s="188"/>
      <c r="F1310" s="188"/>
      <c r="G1310" s="188"/>
      <c r="H1310" s="188"/>
    </row>
    <row r="1311" spans="2:9" x14ac:dyDescent="0.25">
      <c r="B1311" s="206"/>
      <c r="C1311" s="188"/>
      <c r="D1311" s="188"/>
      <c r="E1311" s="188"/>
      <c r="F1311" s="188"/>
      <c r="G1311" s="188"/>
      <c r="H1311" s="206"/>
      <c r="I1311" s="188"/>
    </row>
    <row r="1312" spans="2:9" x14ac:dyDescent="0.25">
      <c r="B1312" s="188"/>
      <c r="C1312" s="188"/>
      <c r="D1312" s="188"/>
      <c r="E1312" s="188"/>
      <c r="F1312" s="188"/>
      <c r="G1312" s="188"/>
      <c r="H1312" s="188"/>
      <c r="I1312" s="188"/>
    </row>
    <row r="1313" spans="1:18" x14ac:dyDescent="0.25">
      <c r="A1313" s="206"/>
      <c r="B1313" s="206"/>
      <c r="C1313" s="188"/>
      <c r="D1313" s="188"/>
      <c r="E1313" s="188"/>
      <c r="F1313" s="188"/>
      <c r="G1313" s="188"/>
      <c r="H1313" s="188"/>
      <c r="I1313" s="188"/>
    </row>
    <row r="1314" spans="1:18" x14ac:dyDescent="0.25">
      <c r="B1314" s="2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5"/>
    </row>
    <row r="1315" spans="1:18" x14ac:dyDescent="0.25">
      <c r="A1315" s="5"/>
      <c r="B1315" s="210"/>
      <c r="C1315" s="5"/>
      <c r="D1315" s="13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</row>
    <row r="1316" spans="1:18" x14ac:dyDescent="0.25">
      <c r="A1316" s="13"/>
      <c r="B1316" s="23"/>
      <c r="C1316" s="13"/>
    </row>
    <row r="1317" spans="1:18" x14ac:dyDescent="0.25">
      <c r="A1317" s="13"/>
      <c r="B1317" s="23"/>
      <c r="C1317" s="23"/>
    </row>
    <row r="1318" spans="1:18" x14ac:dyDescent="0.25">
      <c r="A1318" s="13"/>
      <c r="B1318" s="23"/>
      <c r="C1318" s="23"/>
    </row>
    <row r="1319" spans="1:18" x14ac:dyDescent="0.25">
      <c r="A1319" s="13"/>
      <c r="B1319" s="23"/>
      <c r="C1319" s="23"/>
    </row>
    <row r="1320" spans="1:18" x14ac:dyDescent="0.25">
      <c r="A1320" s="13"/>
      <c r="B1320" s="23"/>
      <c r="C1320" s="23"/>
    </row>
    <row r="1321" spans="1:18" x14ac:dyDescent="0.25">
      <c r="A1321" s="13"/>
      <c r="B1321" s="23"/>
      <c r="C1321" s="23"/>
    </row>
    <row r="1322" spans="1:18" x14ac:dyDescent="0.25">
      <c r="A1322" s="13"/>
      <c r="B1322" s="23"/>
      <c r="C1322" s="13"/>
    </row>
    <row r="1323" spans="1:18" x14ac:dyDescent="0.25">
      <c r="A1323" s="13"/>
      <c r="B1323" s="23"/>
      <c r="C1323" s="13"/>
      <c r="M1323" s="24"/>
    </row>
    <row r="1324" spans="1:18" x14ac:dyDescent="0.25">
      <c r="A1324" s="13"/>
      <c r="B1324" s="23"/>
      <c r="C1324" s="13"/>
    </row>
    <row r="1325" spans="1:18" x14ac:dyDescent="0.25">
      <c r="A1325" s="13"/>
      <c r="B1325" s="23"/>
      <c r="C1325" s="13"/>
    </row>
    <row r="1326" spans="1:18" x14ac:dyDescent="0.25">
      <c r="A1326" s="5"/>
      <c r="B1326" s="23"/>
      <c r="C1326" s="13"/>
    </row>
    <row r="1327" spans="1:18" x14ac:dyDescent="0.25">
      <c r="A1327" s="13"/>
      <c r="B1327" s="23"/>
      <c r="C1327" s="13"/>
    </row>
    <row r="1328" spans="1:18" x14ac:dyDescent="0.25">
      <c r="A1328" s="5"/>
      <c r="B1328" s="210"/>
      <c r="C1328" s="13"/>
    </row>
    <row r="1329" spans="1:25" x14ac:dyDescent="0.25">
      <c r="A1329" s="13"/>
      <c r="B1329" s="23"/>
      <c r="C1329" s="13"/>
      <c r="E1329" s="201"/>
      <c r="F1329" s="201"/>
      <c r="G1329" s="201"/>
      <c r="H1329" s="201"/>
      <c r="I1329" s="201"/>
      <c r="J1329" s="201"/>
      <c r="K1329" s="201"/>
      <c r="L1329" s="201"/>
      <c r="M1329" s="201"/>
      <c r="N1329" s="201"/>
      <c r="O1329" s="201"/>
      <c r="P1329" s="201"/>
    </row>
    <row r="1330" spans="1:25" x14ac:dyDescent="0.25">
      <c r="A1330" s="13"/>
      <c r="B1330" s="23"/>
      <c r="C1330" s="23"/>
    </row>
    <row r="1331" spans="1:25" x14ac:dyDescent="0.25">
      <c r="A1331" s="13"/>
      <c r="B1331" s="23"/>
      <c r="C1331" s="23"/>
    </row>
    <row r="1332" spans="1:25" x14ac:dyDescent="0.25">
      <c r="A1332" s="13"/>
      <c r="B1332" s="23"/>
      <c r="C1332" s="13"/>
      <c r="F1332" s="201"/>
      <c r="G1332" s="201"/>
      <c r="H1332" s="201"/>
      <c r="I1332" s="201"/>
      <c r="J1332" s="201"/>
      <c r="K1332" s="201"/>
      <c r="L1332" s="201"/>
      <c r="M1332" s="201"/>
      <c r="N1332" s="201"/>
      <c r="O1332" s="201"/>
      <c r="P1332" s="201"/>
    </row>
    <row r="1333" spans="1:25" x14ac:dyDescent="0.25">
      <c r="A1333" s="13"/>
      <c r="B1333" s="23"/>
      <c r="C1333" s="13"/>
    </row>
    <row r="1334" spans="1:25" x14ac:dyDescent="0.25">
      <c r="A1334" s="13"/>
      <c r="B1334" s="23"/>
      <c r="C1334" s="23"/>
    </row>
    <row r="1335" spans="1:25" x14ac:dyDescent="0.25">
      <c r="A1335" s="13"/>
      <c r="B1335" s="23"/>
      <c r="C1335" s="23"/>
      <c r="S1335" s="5"/>
      <c r="T1335" s="5"/>
      <c r="U1335" s="5"/>
      <c r="V1335" s="5"/>
      <c r="W1335" s="5"/>
      <c r="X1335" s="5"/>
      <c r="Y1335" s="5"/>
    </row>
    <row r="1336" spans="1:25" x14ac:dyDescent="0.25">
      <c r="A1336" s="13"/>
      <c r="B1336" s="23"/>
      <c r="C1336" s="23"/>
    </row>
    <row r="1337" spans="1:25" x14ac:dyDescent="0.25">
      <c r="A1337" s="13"/>
      <c r="B1337" s="23"/>
      <c r="C1337" s="23"/>
    </row>
    <row r="1338" spans="1:25" x14ac:dyDescent="0.25">
      <c r="A1338" s="13"/>
      <c r="B1338" s="23"/>
      <c r="C1338" s="23"/>
      <c r="E1338" s="202"/>
      <c r="F1338" s="202"/>
      <c r="G1338" s="202"/>
      <c r="H1338" s="202"/>
      <c r="I1338" s="202"/>
      <c r="J1338" s="202"/>
      <c r="K1338" s="202"/>
      <c r="L1338" s="202"/>
      <c r="M1338" s="202"/>
      <c r="N1338" s="202"/>
      <c r="O1338" s="202"/>
      <c r="P1338" s="202"/>
    </row>
    <row r="1339" spans="1:25" x14ac:dyDescent="0.25">
      <c r="A1339" s="13"/>
      <c r="B1339" s="23"/>
      <c r="C1339" s="13"/>
      <c r="E1339" s="202"/>
      <c r="F1339" s="202"/>
      <c r="G1339" s="202"/>
      <c r="H1339" s="202"/>
      <c r="I1339" s="202"/>
      <c r="J1339" s="202"/>
      <c r="K1339" s="202"/>
      <c r="L1339" s="202"/>
      <c r="M1339" s="202"/>
      <c r="N1339" s="202"/>
      <c r="O1339" s="202"/>
      <c r="P1339" s="202"/>
    </row>
    <row r="1340" spans="1:25" x14ac:dyDescent="0.25">
      <c r="A1340" s="13"/>
      <c r="B1340" s="23"/>
      <c r="C1340" s="13"/>
    </row>
    <row r="1341" spans="1:25" x14ac:dyDescent="0.25">
      <c r="A1341" s="13"/>
      <c r="B1341" s="23"/>
      <c r="C1341" s="23"/>
    </row>
    <row r="1342" spans="1:25" x14ac:dyDescent="0.25">
      <c r="A1342" s="13"/>
      <c r="B1342" s="23"/>
      <c r="C1342" s="23"/>
    </row>
    <row r="1343" spans="1:25" x14ac:dyDescent="0.25">
      <c r="A1343" s="13"/>
      <c r="B1343" s="23"/>
      <c r="C1343" s="202"/>
    </row>
    <row r="1344" spans="1:25" x14ac:dyDescent="0.25">
      <c r="A1344" s="13"/>
      <c r="B1344" s="23"/>
      <c r="C1344" s="23"/>
      <c r="E1344" s="203"/>
      <c r="F1344" s="203"/>
      <c r="G1344" s="203"/>
      <c r="H1344" s="203"/>
      <c r="I1344" s="203"/>
      <c r="J1344" s="203"/>
      <c r="K1344" s="203"/>
      <c r="L1344" s="203"/>
      <c r="M1344" s="203"/>
      <c r="N1344" s="203"/>
      <c r="O1344" s="203"/>
      <c r="P1344" s="203"/>
    </row>
    <row r="1345" spans="1:16" x14ac:dyDescent="0.25">
      <c r="A1345" s="13"/>
      <c r="B1345" s="23"/>
      <c r="C1345" s="23"/>
      <c r="E1345" s="203"/>
      <c r="F1345" s="203"/>
      <c r="G1345" s="203"/>
      <c r="H1345" s="203"/>
      <c r="I1345" s="203"/>
      <c r="J1345" s="203"/>
      <c r="K1345" s="203"/>
      <c r="L1345" s="203"/>
      <c r="M1345" s="203"/>
      <c r="N1345" s="203"/>
      <c r="O1345" s="203"/>
      <c r="P1345" s="203"/>
    </row>
    <row r="1346" spans="1:16" x14ac:dyDescent="0.25">
      <c r="A1346" s="200"/>
      <c r="B1346" s="20"/>
      <c r="C1346" s="202"/>
      <c r="E1346" s="203"/>
      <c r="F1346" s="203"/>
      <c r="G1346" s="203"/>
      <c r="H1346" s="203"/>
      <c r="I1346" s="203"/>
      <c r="J1346" s="203"/>
      <c r="K1346" s="203"/>
      <c r="L1346" s="203"/>
      <c r="M1346" s="203"/>
      <c r="N1346" s="203"/>
      <c r="O1346" s="203"/>
      <c r="P1346" s="203"/>
    </row>
    <row r="1347" spans="1:16" x14ac:dyDescent="0.25">
      <c r="A1347" s="13"/>
      <c r="B1347" s="23"/>
    </row>
    <row r="1348" spans="1:16" x14ac:dyDescent="0.25">
      <c r="A1348" s="13"/>
      <c r="B1348" s="23"/>
    </row>
    <row r="1349" spans="1:16" x14ac:dyDescent="0.25">
      <c r="A1349" s="13"/>
      <c r="B1349" s="23"/>
    </row>
    <row r="1350" spans="1:16" x14ac:dyDescent="0.25">
      <c r="B1350" s="23"/>
    </row>
    <row r="1351" spans="1:16" x14ac:dyDescent="0.25">
      <c r="B1351" s="23"/>
    </row>
    <row r="1352" spans="1:16" x14ac:dyDescent="0.25">
      <c r="B1352" s="23"/>
      <c r="C1352" s="10"/>
    </row>
    <row r="1353" spans="1:16" x14ac:dyDescent="0.25">
      <c r="B1353" s="23"/>
    </row>
    <row r="1364" spans="1:17" ht="13" x14ac:dyDescent="0.3">
      <c r="B1364" s="187"/>
      <c r="C1364" s="188"/>
      <c r="D1364" s="188"/>
      <c r="E1364" s="188"/>
      <c r="F1364" s="188"/>
      <c r="G1364" s="188"/>
      <c r="H1364" s="187"/>
      <c r="I1364" s="188"/>
    </row>
    <row r="1365" spans="1:17" x14ac:dyDescent="0.25">
      <c r="B1365" s="188"/>
      <c r="C1365" s="188"/>
      <c r="D1365" s="188"/>
      <c r="E1365" s="188"/>
      <c r="F1365" s="188"/>
      <c r="G1365" s="188"/>
      <c r="H1365" s="188"/>
      <c r="I1365" s="188"/>
    </row>
    <row r="1366" spans="1:17" x14ac:dyDescent="0.25">
      <c r="B1366" s="188"/>
      <c r="C1366" s="188"/>
      <c r="D1366" s="188"/>
      <c r="E1366" s="188"/>
      <c r="F1366" s="188"/>
      <c r="G1366" s="188"/>
      <c r="H1366" s="188"/>
      <c r="I1366" s="188"/>
    </row>
    <row r="1367" spans="1:17" ht="13" x14ac:dyDescent="0.3">
      <c r="B1367" s="186"/>
      <c r="C1367" s="188"/>
      <c r="D1367" s="188"/>
      <c r="E1367" s="188"/>
      <c r="F1367" s="188"/>
      <c r="G1367" s="188"/>
      <c r="H1367" s="186"/>
      <c r="I1367" s="188"/>
    </row>
    <row r="1368" spans="1:17" x14ac:dyDescent="0.25">
      <c r="B1368" s="188"/>
      <c r="C1368" s="188"/>
      <c r="D1368" s="188"/>
      <c r="E1368" s="188"/>
      <c r="F1368" s="188"/>
      <c r="G1368" s="188"/>
      <c r="H1368" s="188"/>
      <c r="I1368" s="188"/>
    </row>
    <row r="1369" spans="1:17" x14ac:dyDescent="0.25">
      <c r="B1369" s="188"/>
      <c r="C1369" s="188"/>
      <c r="D1369" s="188"/>
      <c r="E1369" s="188"/>
      <c r="F1369" s="188"/>
      <c r="G1369" s="188"/>
      <c r="H1369" s="188"/>
      <c r="I1369" s="188"/>
    </row>
    <row r="1370" spans="1:17" x14ac:dyDescent="0.25">
      <c r="B1370" s="188"/>
      <c r="C1370" s="188"/>
      <c r="F1370" s="188"/>
      <c r="G1370" s="188"/>
      <c r="H1370" s="188"/>
      <c r="I1370" s="11"/>
    </row>
    <row r="1371" spans="1:17" x14ac:dyDescent="0.25">
      <c r="B1371" s="206"/>
      <c r="C1371" s="188"/>
      <c r="D1371" s="188"/>
      <c r="E1371" s="188"/>
      <c r="F1371" s="188"/>
      <c r="G1371" s="188"/>
      <c r="H1371" s="206"/>
      <c r="I1371" s="188"/>
    </row>
    <row r="1372" spans="1:17" x14ac:dyDescent="0.25">
      <c r="B1372" s="188"/>
      <c r="C1372" s="188"/>
      <c r="D1372" s="188"/>
      <c r="E1372" s="188"/>
      <c r="F1372" s="188"/>
      <c r="G1372" s="188"/>
      <c r="H1372" s="188"/>
      <c r="I1372" s="188"/>
    </row>
    <row r="1373" spans="1:17" x14ac:dyDescent="0.25">
      <c r="A1373" s="206"/>
      <c r="B1373" s="206"/>
      <c r="C1373" s="188"/>
      <c r="D1373" s="188"/>
      <c r="E1373" s="188"/>
      <c r="F1373" s="188"/>
      <c r="G1373" s="188"/>
      <c r="H1373" s="188"/>
      <c r="I1373" s="188"/>
    </row>
    <row r="1374" spans="1:17" x14ac:dyDescent="0.25">
      <c r="B1374" s="2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</row>
    <row r="1375" spans="1:17" x14ac:dyDescent="0.25">
      <c r="A1375" s="5"/>
      <c r="B1375" s="210"/>
      <c r="C1375" s="5"/>
      <c r="D1375" s="13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x14ac:dyDescent="0.25">
      <c r="A1376" s="13"/>
      <c r="B1376" s="23"/>
      <c r="C1376" s="23"/>
    </row>
    <row r="1377" spans="1:16" x14ac:dyDescent="0.25">
      <c r="A1377" s="13"/>
      <c r="B1377" s="23"/>
      <c r="C1377" s="23"/>
    </row>
    <row r="1378" spans="1:16" x14ac:dyDescent="0.25">
      <c r="A1378" s="13"/>
      <c r="B1378" s="23"/>
      <c r="C1378" s="23"/>
    </row>
    <row r="1379" spans="1:16" x14ac:dyDescent="0.25">
      <c r="A1379" s="13"/>
      <c r="B1379" s="23"/>
      <c r="C1379" s="23"/>
    </row>
    <row r="1380" spans="1:16" x14ac:dyDescent="0.25">
      <c r="A1380" s="13"/>
      <c r="B1380" s="23"/>
      <c r="C1380" s="23"/>
    </row>
    <row r="1381" spans="1:16" x14ac:dyDescent="0.25">
      <c r="A1381" s="13"/>
      <c r="B1381" s="23"/>
      <c r="C1381" s="23"/>
    </row>
    <row r="1382" spans="1:16" x14ac:dyDescent="0.25">
      <c r="A1382" s="13"/>
      <c r="B1382" s="23"/>
      <c r="C1382" s="23"/>
    </row>
    <row r="1383" spans="1:16" x14ac:dyDescent="0.25">
      <c r="A1383" s="13"/>
      <c r="B1383" s="23"/>
      <c r="C1383" s="23"/>
    </row>
    <row r="1384" spans="1:16" x14ac:dyDescent="0.25">
      <c r="A1384" s="13"/>
      <c r="B1384" s="23"/>
      <c r="C1384" s="23"/>
    </row>
    <row r="1385" spans="1:16" x14ac:dyDescent="0.25">
      <c r="A1385" s="13"/>
      <c r="B1385" s="23"/>
      <c r="C1385" s="23"/>
    </row>
    <row r="1386" spans="1:16" x14ac:dyDescent="0.25">
      <c r="A1386" s="13"/>
      <c r="B1386" s="23"/>
      <c r="C1386" s="23"/>
    </row>
    <row r="1387" spans="1:16" x14ac:dyDescent="0.25">
      <c r="A1387" s="13"/>
      <c r="B1387" s="23"/>
      <c r="C1387" s="23"/>
    </row>
    <row r="1388" spans="1:16" x14ac:dyDescent="0.25">
      <c r="A1388" s="13"/>
      <c r="B1388" s="23"/>
      <c r="C1388" s="23"/>
    </row>
    <row r="1389" spans="1:16" x14ac:dyDescent="0.25">
      <c r="A1389" s="13"/>
      <c r="B1389" s="23"/>
      <c r="C1389" s="23"/>
      <c r="E1389" s="201"/>
      <c r="F1389" s="201"/>
      <c r="G1389" s="201"/>
      <c r="H1389" s="201"/>
      <c r="I1389" s="201"/>
      <c r="J1389" s="201"/>
      <c r="K1389" s="201"/>
      <c r="L1389" s="201"/>
      <c r="M1389" s="201"/>
      <c r="N1389" s="201"/>
      <c r="O1389" s="201"/>
      <c r="P1389" s="201"/>
    </row>
    <row r="1390" spans="1:16" x14ac:dyDescent="0.25">
      <c r="A1390" s="13"/>
      <c r="B1390" s="23"/>
      <c r="C1390" s="23"/>
    </row>
    <row r="1391" spans="1:16" x14ac:dyDescent="0.25">
      <c r="A1391" s="13"/>
      <c r="B1391" s="23"/>
      <c r="C1391" s="23"/>
    </row>
    <row r="1392" spans="1:16" x14ac:dyDescent="0.25">
      <c r="A1392" s="13"/>
      <c r="B1392" s="23"/>
      <c r="C1392" s="23"/>
      <c r="F1392" s="201"/>
      <c r="G1392" s="201"/>
      <c r="H1392" s="201"/>
      <c r="I1392" s="201"/>
      <c r="J1392" s="201"/>
      <c r="K1392" s="201"/>
      <c r="L1392" s="201"/>
      <c r="M1392" s="201"/>
      <c r="N1392" s="201"/>
      <c r="O1392" s="201"/>
      <c r="P1392" s="201"/>
    </row>
    <row r="1393" spans="1:16" x14ac:dyDescent="0.25">
      <c r="A1393" s="13"/>
      <c r="B1393" s="23"/>
      <c r="C1393" s="23"/>
    </row>
    <row r="1394" spans="1:16" x14ac:dyDescent="0.25">
      <c r="A1394" s="13"/>
      <c r="B1394" s="23"/>
      <c r="C1394" s="23"/>
    </row>
    <row r="1395" spans="1:16" x14ac:dyDescent="0.25">
      <c r="A1395" s="13"/>
      <c r="B1395" s="23"/>
      <c r="C1395" s="23"/>
    </row>
    <row r="1396" spans="1:16" x14ac:dyDescent="0.25">
      <c r="A1396" s="13"/>
      <c r="B1396" s="23"/>
      <c r="C1396" s="23"/>
    </row>
    <row r="1397" spans="1:16" x14ac:dyDescent="0.25">
      <c r="A1397" s="13"/>
      <c r="B1397" s="23"/>
      <c r="C1397" s="23"/>
    </row>
    <row r="1398" spans="1:16" x14ac:dyDescent="0.25">
      <c r="A1398" s="13"/>
      <c r="B1398" s="23"/>
      <c r="C1398" s="23"/>
      <c r="E1398" s="202"/>
      <c r="F1398" s="202"/>
      <c r="G1398" s="202"/>
      <c r="H1398" s="202"/>
      <c r="I1398" s="202"/>
      <c r="J1398" s="202"/>
      <c r="K1398" s="202"/>
      <c r="L1398" s="202"/>
      <c r="M1398" s="202"/>
      <c r="N1398" s="202"/>
      <c r="O1398" s="202"/>
      <c r="P1398" s="202"/>
    </row>
    <row r="1399" spans="1:16" x14ac:dyDescent="0.25">
      <c r="A1399" s="13"/>
      <c r="B1399" s="23"/>
      <c r="C1399" s="23"/>
      <c r="E1399" s="202"/>
      <c r="F1399" s="202"/>
      <c r="G1399" s="202"/>
      <c r="H1399" s="202"/>
      <c r="I1399" s="202"/>
      <c r="J1399" s="202"/>
      <c r="K1399" s="202"/>
      <c r="L1399" s="202"/>
      <c r="M1399" s="202"/>
      <c r="N1399" s="202"/>
      <c r="O1399" s="202"/>
      <c r="P1399" s="202"/>
    </row>
    <row r="1400" spans="1:16" x14ac:dyDescent="0.25">
      <c r="A1400" s="13"/>
      <c r="B1400" s="23"/>
      <c r="C1400" s="23"/>
    </row>
    <row r="1401" spans="1:16" x14ac:dyDescent="0.25">
      <c r="A1401" s="13"/>
      <c r="B1401" s="23"/>
      <c r="C1401" s="23"/>
    </row>
    <row r="1402" spans="1:16" x14ac:dyDescent="0.25">
      <c r="A1402" s="13"/>
      <c r="B1402" s="23"/>
      <c r="C1402" s="23"/>
    </row>
    <row r="1403" spans="1:16" x14ac:dyDescent="0.25">
      <c r="A1403" s="13"/>
      <c r="B1403" s="23"/>
      <c r="C1403" s="23"/>
    </row>
    <row r="1404" spans="1:16" x14ac:dyDescent="0.25">
      <c r="A1404" s="13"/>
      <c r="B1404" s="23"/>
      <c r="C1404" s="23"/>
      <c r="E1404" s="203"/>
      <c r="F1404" s="203"/>
      <c r="G1404" s="203"/>
      <c r="H1404" s="203"/>
      <c r="I1404" s="203"/>
      <c r="J1404" s="203"/>
      <c r="K1404" s="203"/>
      <c r="L1404" s="203"/>
      <c r="M1404" s="203"/>
      <c r="N1404" s="203"/>
      <c r="O1404" s="203"/>
      <c r="P1404" s="203"/>
    </row>
    <row r="1405" spans="1:16" x14ac:dyDescent="0.25">
      <c r="A1405" s="13"/>
      <c r="B1405" s="23"/>
      <c r="C1405" s="23"/>
      <c r="E1405" s="203"/>
      <c r="F1405" s="203"/>
      <c r="G1405" s="203"/>
      <c r="H1405" s="203"/>
      <c r="I1405" s="203"/>
      <c r="J1405" s="203"/>
      <c r="K1405" s="203"/>
      <c r="L1405" s="203"/>
      <c r="M1405" s="203"/>
      <c r="N1405" s="203"/>
      <c r="O1405" s="203"/>
      <c r="P1405" s="203"/>
    </row>
    <row r="1406" spans="1:16" x14ac:dyDescent="0.25">
      <c r="A1406" s="13"/>
      <c r="B1406" s="23"/>
      <c r="C1406" s="23"/>
      <c r="E1406" s="203"/>
      <c r="F1406" s="203"/>
      <c r="G1406" s="203"/>
      <c r="H1406" s="203"/>
      <c r="I1406" s="203"/>
      <c r="J1406" s="203"/>
      <c r="K1406" s="203"/>
      <c r="L1406" s="203"/>
      <c r="M1406" s="203"/>
      <c r="N1406" s="203"/>
      <c r="O1406" s="203"/>
      <c r="P1406" s="203"/>
    </row>
    <row r="1407" spans="1:16" x14ac:dyDescent="0.25">
      <c r="A1407" s="13"/>
      <c r="B1407" s="23"/>
      <c r="C1407" s="23"/>
    </row>
    <row r="1408" spans="1:16" x14ac:dyDescent="0.25">
      <c r="A1408" s="13"/>
      <c r="B1408" s="23"/>
      <c r="C1408" s="23"/>
    </row>
    <row r="1409" spans="1:9" x14ac:dyDescent="0.25">
      <c r="A1409" s="13"/>
      <c r="B1409" s="23"/>
      <c r="C1409" s="23"/>
    </row>
    <row r="1415" spans="1:9" ht="13" x14ac:dyDescent="0.3">
      <c r="B1415" s="187"/>
      <c r="C1415" s="188"/>
      <c r="D1415" s="188"/>
      <c r="E1415" s="188"/>
      <c r="F1415" s="188"/>
      <c r="G1415" s="188"/>
      <c r="H1415" s="187"/>
      <c r="I1415" s="188"/>
    </row>
    <row r="1416" spans="1:9" x14ac:dyDescent="0.25">
      <c r="B1416" s="188"/>
      <c r="C1416" s="188"/>
      <c r="D1416" s="188"/>
      <c r="E1416" s="188"/>
      <c r="F1416" s="188"/>
      <c r="G1416" s="188"/>
      <c r="H1416" s="188"/>
      <c r="I1416" s="188"/>
    </row>
    <row r="1417" spans="1:9" x14ac:dyDescent="0.25">
      <c r="B1417" s="188"/>
      <c r="C1417" s="188"/>
      <c r="D1417" s="188"/>
      <c r="E1417" s="188"/>
      <c r="F1417" s="188"/>
      <c r="G1417" s="188"/>
      <c r="H1417" s="188"/>
      <c r="I1417" s="188"/>
    </row>
    <row r="1418" spans="1:9" ht="13" x14ac:dyDescent="0.3">
      <c r="B1418" s="186"/>
      <c r="C1418" s="188"/>
      <c r="D1418" s="188"/>
      <c r="E1418" s="188"/>
      <c r="F1418" s="188"/>
      <c r="G1418" s="188"/>
      <c r="H1418" s="186"/>
      <c r="I1418" s="188"/>
    </row>
    <row r="1419" spans="1:9" x14ac:dyDescent="0.25">
      <c r="B1419" s="188"/>
      <c r="C1419" s="188"/>
      <c r="D1419" s="188"/>
      <c r="E1419" s="188"/>
      <c r="F1419" s="188"/>
      <c r="G1419" s="188"/>
      <c r="H1419" s="188"/>
      <c r="I1419" s="188"/>
    </row>
    <row r="1420" spans="1:9" x14ac:dyDescent="0.25">
      <c r="B1420" s="188"/>
      <c r="C1420" s="188"/>
      <c r="D1420" s="188"/>
      <c r="E1420" s="188"/>
      <c r="F1420" s="188"/>
      <c r="G1420" s="188"/>
      <c r="H1420" s="188"/>
      <c r="I1420" s="188"/>
    </row>
    <row r="1421" spans="1:9" x14ac:dyDescent="0.25">
      <c r="B1421" s="188"/>
      <c r="C1421" s="188"/>
      <c r="F1421" s="188"/>
      <c r="G1421" s="188"/>
      <c r="H1421" s="188"/>
    </row>
    <row r="1422" spans="1:9" x14ac:dyDescent="0.25">
      <c r="B1422" s="206"/>
      <c r="C1422" s="188"/>
      <c r="D1422" s="188"/>
      <c r="E1422" s="188"/>
      <c r="F1422" s="188"/>
      <c r="G1422" s="188"/>
      <c r="H1422" s="206"/>
      <c r="I1422" s="188"/>
    </row>
    <row r="1423" spans="1:9" x14ac:dyDescent="0.25">
      <c r="B1423" s="188"/>
      <c r="C1423" s="188"/>
      <c r="D1423" s="188"/>
      <c r="E1423" s="188"/>
      <c r="F1423" s="188"/>
      <c r="G1423" s="188"/>
      <c r="H1423" s="188"/>
      <c r="I1423" s="188"/>
    </row>
    <row r="1424" spans="1:9" x14ac:dyDescent="0.25">
      <c r="A1424" s="206"/>
      <c r="B1424" s="206"/>
      <c r="C1424" s="188"/>
      <c r="D1424" s="188"/>
      <c r="E1424" s="188"/>
      <c r="F1424" s="188"/>
      <c r="G1424" s="188"/>
      <c r="H1424" s="188"/>
      <c r="I1424" s="188"/>
    </row>
    <row r="1425" spans="1:17" x14ac:dyDescent="0.25">
      <c r="B1425" s="2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5"/>
    </row>
    <row r="1426" spans="1:17" x14ac:dyDescent="0.25">
      <c r="A1426" s="5"/>
      <c r="B1426" s="210"/>
      <c r="C1426" s="5"/>
      <c r="D1426" s="13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x14ac:dyDescent="0.25">
      <c r="A1427" s="13"/>
      <c r="B1427" s="23"/>
      <c r="C1427" s="13"/>
    </row>
    <row r="1428" spans="1:17" x14ac:dyDescent="0.25">
      <c r="A1428" s="13"/>
      <c r="B1428" s="23"/>
      <c r="C1428" s="23"/>
    </row>
    <row r="1429" spans="1:17" x14ac:dyDescent="0.25">
      <c r="A1429" s="13"/>
      <c r="B1429" s="23"/>
      <c r="C1429" s="23"/>
    </row>
    <row r="1430" spans="1:17" x14ac:dyDescent="0.25">
      <c r="A1430" s="13"/>
      <c r="B1430" s="23"/>
      <c r="C1430" s="23"/>
    </row>
    <row r="1431" spans="1:17" x14ac:dyDescent="0.25">
      <c r="A1431" s="13"/>
      <c r="B1431" s="23"/>
      <c r="C1431" s="23"/>
    </row>
    <row r="1432" spans="1:17" x14ac:dyDescent="0.25">
      <c r="A1432" s="13"/>
      <c r="B1432" s="23"/>
      <c r="C1432" s="23"/>
    </row>
    <row r="1433" spans="1:17" x14ac:dyDescent="0.25">
      <c r="A1433" s="13"/>
      <c r="B1433" s="23"/>
      <c r="C1433" s="13"/>
    </row>
    <row r="1434" spans="1:17" x14ac:dyDescent="0.25">
      <c r="A1434" s="13"/>
      <c r="B1434" s="23"/>
      <c r="C1434" s="13"/>
    </row>
    <row r="1435" spans="1:17" x14ac:dyDescent="0.25">
      <c r="A1435" s="13"/>
      <c r="B1435" s="23"/>
      <c r="C1435" s="13"/>
    </row>
    <row r="1436" spans="1:17" x14ac:dyDescent="0.25">
      <c r="A1436" s="13"/>
      <c r="B1436" s="23"/>
      <c r="C1436" s="13"/>
    </row>
    <row r="1437" spans="1:17" x14ac:dyDescent="0.25">
      <c r="A1437" s="5"/>
      <c r="B1437" s="23"/>
      <c r="C1437" s="13"/>
    </row>
    <row r="1438" spans="1:17" x14ac:dyDescent="0.25">
      <c r="A1438" s="13"/>
      <c r="B1438" s="23"/>
      <c r="C1438" s="13"/>
    </row>
    <row r="1439" spans="1:17" x14ac:dyDescent="0.25">
      <c r="A1439" s="5"/>
      <c r="B1439" s="210"/>
      <c r="C1439" s="13"/>
    </row>
    <row r="1440" spans="1:17" x14ac:dyDescent="0.25">
      <c r="A1440" s="13"/>
      <c r="B1440" s="23"/>
      <c r="C1440" s="13"/>
      <c r="E1440" s="201"/>
      <c r="F1440" s="201"/>
      <c r="G1440" s="201"/>
      <c r="H1440" s="201"/>
      <c r="I1440" s="201"/>
      <c r="J1440" s="201"/>
      <c r="K1440" s="201"/>
      <c r="L1440" s="201"/>
      <c r="M1440" s="201"/>
      <c r="N1440" s="201"/>
      <c r="O1440" s="201"/>
      <c r="P1440" s="201"/>
    </row>
    <row r="1441" spans="1:16" x14ac:dyDescent="0.25">
      <c r="A1441" s="13"/>
      <c r="B1441" s="23"/>
      <c r="C1441" s="23"/>
    </row>
    <row r="1442" spans="1:16" x14ac:dyDescent="0.25">
      <c r="A1442" s="13"/>
      <c r="B1442" s="23"/>
      <c r="C1442" s="23"/>
    </row>
    <row r="1443" spans="1:16" x14ac:dyDescent="0.25">
      <c r="A1443" s="13"/>
      <c r="B1443" s="23"/>
      <c r="C1443" s="13"/>
      <c r="F1443" s="201"/>
      <c r="G1443" s="201"/>
      <c r="H1443" s="201"/>
      <c r="I1443" s="201"/>
      <c r="J1443" s="201"/>
      <c r="K1443" s="201"/>
      <c r="L1443" s="201"/>
      <c r="M1443" s="201"/>
      <c r="N1443" s="201"/>
      <c r="O1443" s="201"/>
      <c r="P1443" s="201"/>
    </row>
    <row r="1444" spans="1:16" x14ac:dyDescent="0.25">
      <c r="A1444" s="13"/>
      <c r="B1444" s="23"/>
      <c r="C1444" s="13"/>
    </row>
    <row r="1445" spans="1:16" x14ac:dyDescent="0.25">
      <c r="A1445" s="13"/>
      <c r="B1445" s="23"/>
      <c r="C1445" s="23"/>
    </row>
    <row r="1446" spans="1:16" x14ac:dyDescent="0.25">
      <c r="A1446" s="13"/>
      <c r="B1446" s="23"/>
      <c r="C1446" s="23"/>
    </row>
    <row r="1447" spans="1:16" x14ac:dyDescent="0.25">
      <c r="A1447" s="13"/>
      <c r="B1447" s="23"/>
      <c r="C1447" s="23"/>
    </row>
    <row r="1448" spans="1:16" x14ac:dyDescent="0.25">
      <c r="A1448" s="13"/>
      <c r="B1448" s="23"/>
      <c r="C1448" s="23"/>
    </row>
    <row r="1449" spans="1:16" x14ac:dyDescent="0.25">
      <c r="A1449" s="13"/>
      <c r="B1449" s="23"/>
      <c r="C1449" s="23"/>
      <c r="E1449" s="202"/>
      <c r="F1449" s="202"/>
      <c r="G1449" s="202"/>
      <c r="H1449" s="202"/>
      <c r="I1449" s="202"/>
      <c r="J1449" s="202"/>
      <c r="K1449" s="202"/>
      <c r="L1449" s="202"/>
      <c r="M1449" s="202"/>
      <c r="N1449" s="202"/>
      <c r="O1449" s="202"/>
      <c r="P1449" s="202"/>
    </row>
    <row r="1450" spans="1:16" x14ac:dyDescent="0.25">
      <c r="A1450" s="13"/>
      <c r="B1450" s="23"/>
      <c r="C1450" s="13"/>
      <c r="E1450" s="202"/>
      <c r="F1450" s="202"/>
      <c r="G1450" s="202"/>
      <c r="H1450" s="202"/>
      <c r="I1450" s="202"/>
      <c r="J1450" s="202"/>
      <c r="K1450" s="202"/>
      <c r="L1450" s="202"/>
      <c r="M1450" s="202"/>
      <c r="N1450" s="202"/>
      <c r="O1450" s="202"/>
      <c r="P1450" s="202"/>
    </row>
    <row r="1451" spans="1:16" x14ac:dyDescent="0.25">
      <c r="A1451" s="13"/>
      <c r="B1451" s="23"/>
      <c r="C1451" s="13"/>
    </row>
    <row r="1452" spans="1:16" x14ac:dyDescent="0.25">
      <c r="A1452" s="13"/>
      <c r="B1452" s="23"/>
      <c r="C1452" s="23"/>
    </row>
    <row r="1453" spans="1:16" x14ac:dyDescent="0.25">
      <c r="A1453" s="13"/>
      <c r="B1453" s="23"/>
      <c r="C1453" s="23"/>
    </row>
    <row r="1454" spans="1:16" x14ac:dyDescent="0.25">
      <c r="A1454" s="13"/>
      <c r="B1454" s="23"/>
      <c r="C1454" s="202"/>
    </row>
    <row r="1455" spans="1:16" x14ac:dyDescent="0.25">
      <c r="A1455" s="13"/>
      <c r="B1455" s="23"/>
      <c r="C1455" s="23"/>
      <c r="E1455" s="203"/>
      <c r="F1455" s="203"/>
      <c r="G1455" s="203"/>
      <c r="H1455" s="203"/>
      <c r="I1455" s="203"/>
      <c r="J1455" s="203"/>
      <c r="K1455" s="203"/>
      <c r="L1455" s="203"/>
      <c r="M1455" s="203"/>
      <c r="N1455" s="203"/>
      <c r="O1455" s="203"/>
      <c r="P1455" s="203"/>
    </row>
    <row r="1456" spans="1:16" x14ac:dyDescent="0.25">
      <c r="A1456" s="13"/>
      <c r="B1456" s="23"/>
      <c r="C1456" s="23"/>
      <c r="E1456" s="203"/>
      <c r="F1456" s="203"/>
      <c r="G1456" s="203"/>
      <c r="H1456" s="203"/>
      <c r="I1456" s="203"/>
      <c r="J1456" s="203"/>
      <c r="K1456" s="203"/>
      <c r="L1456" s="203"/>
      <c r="M1456" s="203"/>
      <c r="N1456" s="203"/>
      <c r="O1456" s="203"/>
      <c r="P1456" s="203"/>
    </row>
    <row r="1457" spans="1:16" x14ac:dyDescent="0.25">
      <c r="A1457" s="200"/>
      <c r="B1457" s="20"/>
      <c r="C1457" s="202"/>
      <c r="E1457" s="203"/>
      <c r="F1457" s="203"/>
      <c r="G1457" s="203"/>
      <c r="H1457" s="203"/>
      <c r="I1457" s="203"/>
      <c r="J1457" s="203"/>
      <c r="K1457" s="203"/>
      <c r="L1457" s="203"/>
      <c r="M1457" s="203"/>
      <c r="N1457" s="203"/>
      <c r="O1457" s="203"/>
      <c r="P1457" s="203"/>
    </row>
    <row r="1458" spans="1:16" x14ac:dyDescent="0.25">
      <c r="A1458" s="13"/>
      <c r="B1458" s="23"/>
    </row>
    <row r="1459" spans="1:16" x14ac:dyDescent="0.25">
      <c r="A1459" s="13"/>
      <c r="B1459" s="23"/>
    </row>
    <row r="1460" spans="1:16" x14ac:dyDescent="0.25">
      <c r="A1460" s="13"/>
      <c r="B1460" s="23"/>
    </row>
    <row r="1461" spans="1:16" x14ac:dyDescent="0.25">
      <c r="B1461" s="23"/>
    </row>
    <row r="1462" spans="1:16" x14ac:dyDescent="0.25">
      <c r="B1462" s="23"/>
    </row>
    <row r="1463" spans="1:16" x14ac:dyDescent="0.25">
      <c r="B1463" s="23"/>
      <c r="C1463" s="10"/>
    </row>
    <row r="1464" spans="1:16" x14ac:dyDescent="0.25">
      <c r="B1464" s="23"/>
    </row>
    <row r="1475" spans="1:17" ht="13" x14ac:dyDescent="0.3">
      <c r="B1475" s="187"/>
      <c r="C1475" s="188"/>
      <c r="D1475" s="188"/>
      <c r="E1475" s="188"/>
      <c r="F1475" s="188"/>
      <c r="G1475" s="188"/>
      <c r="H1475" s="187"/>
      <c r="I1475" s="188"/>
    </row>
    <row r="1476" spans="1:17" x14ac:dyDescent="0.25">
      <c r="B1476" s="188"/>
      <c r="C1476" s="188"/>
      <c r="D1476" s="188"/>
      <c r="E1476" s="188"/>
      <c r="F1476" s="188"/>
      <c r="G1476" s="188"/>
      <c r="H1476" s="188"/>
      <c r="I1476" s="188"/>
    </row>
    <row r="1477" spans="1:17" x14ac:dyDescent="0.25">
      <c r="B1477" s="188"/>
      <c r="C1477" s="188"/>
      <c r="D1477" s="188"/>
      <c r="E1477" s="188"/>
      <c r="F1477" s="188"/>
      <c r="G1477" s="188"/>
      <c r="H1477" s="188"/>
      <c r="I1477" s="188"/>
    </row>
    <row r="1478" spans="1:17" ht="13" x14ac:dyDescent="0.3">
      <c r="B1478" s="186"/>
      <c r="C1478" s="188"/>
      <c r="D1478" s="188"/>
      <c r="E1478" s="188"/>
      <c r="F1478" s="188"/>
      <c r="G1478" s="188"/>
      <c r="H1478" s="186"/>
      <c r="I1478" s="188"/>
    </row>
    <row r="1479" spans="1:17" x14ac:dyDescent="0.25">
      <c r="B1479" s="188"/>
      <c r="C1479" s="188"/>
      <c r="D1479" s="188"/>
      <c r="E1479" s="188"/>
      <c r="F1479" s="188"/>
      <c r="G1479" s="188"/>
      <c r="H1479" s="188"/>
      <c r="I1479" s="188"/>
    </row>
    <row r="1480" spans="1:17" x14ac:dyDescent="0.25">
      <c r="B1480" s="188"/>
      <c r="C1480" s="188"/>
      <c r="D1480" s="188"/>
      <c r="E1480" s="188"/>
      <c r="F1480" s="188"/>
      <c r="G1480" s="188"/>
      <c r="H1480" s="188"/>
      <c r="I1480" s="188"/>
    </row>
    <row r="1481" spans="1:17" x14ac:dyDescent="0.25">
      <c r="B1481" s="188"/>
      <c r="C1481" s="188"/>
      <c r="F1481" s="188"/>
      <c r="G1481" s="188"/>
      <c r="H1481" s="188"/>
    </row>
    <row r="1482" spans="1:17" x14ac:dyDescent="0.25">
      <c r="B1482" s="206"/>
      <c r="C1482" s="188"/>
      <c r="D1482" s="188"/>
      <c r="E1482" s="188"/>
      <c r="F1482" s="188"/>
      <c r="G1482" s="188"/>
      <c r="H1482" s="206"/>
      <c r="I1482" s="188"/>
    </row>
    <row r="1483" spans="1:17" x14ac:dyDescent="0.25">
      <c r="B1483" s="188"/>
      <c r="C1483" s="188"/>
      <c r="D1483" s="188"/>
      <c r="E1483" s="188"/>
      <c r="F1483" s="188"/>
      <c r="G1483" s="188"/>
      <c r="H1483" s="188"/>
      <c r="I1483" s="188"/>
    </row>
    <row r="1484" spans="1:17" x14ac:dyDescent="0.25">
      <c r="A1484" s="206"/>
      <c r="B1484" s="206"/>
      <c r="C1484" s="188"/>
      <c r="D1484" s="188"/>
      <c r="E1484" s="188"/>
      <c r="F1484" s="188"/>
      <c r="G1484" s="188"/>
      <c r="H1484" s="188"/>
      <c r="I1484" s="188"/>
    </row>
    <row r="1485" spans="1:17" x14ac:dyDescent="0.25">
      <c r="B1485" s="2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5"/>
    </row>
    <row r="1486" spans="1:17" x14ac:dyDescent="0.25">
      <c r="A1486" s="5"/>
      <c r="B1486" s="210"/>
      <c r="C1486" s="5"/>
      <c r="D1486" s="13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</row>
    <row r="1487" spans="1:17" x14ac:dyDescent="0.25">
      <c r="A1487" s="13"/>
      <c r="B1487" s="23"/>
      <c r="C1487" s="13"/>
    </row>
    <row r="1488" spans="1:17" x14ac:dyDescent="0.25">
      <c r="A1488" s="13"/>
      <c r="B1488" s="23"/>
      <c r="C1488" s="23"/>
    </row>
    <row r="1489" spans="1:16" x14ac:dyDescent="0.25">
      <c r="A1489" s="13"/>
      <c r="B1489" s="23"/>
      <c r="C1489" s="23"/>
    </row>
    <row r="1490" spans="1:16" x14ac:dyDescent="0.25">
      <c r="A1490" s="13"/>
      <c r="B1490" s="23"/>
      <c r="C1490" s="23"/>
    </row>
    <row r="1491" spans="1:16" x14ac:dyDescent="0.25">
      <c r="A1491" s="13"/>
      <c r="B1491" s="23"/>
      <c r="C1491" s="23"/>
    </row>
    <row r="1492" spans="1:16" x14ac:dyDescent="0.25">
      <c r="A1492" s="13"/>
      <c r="B1492" s="23"/>
      <c r="C1492" s="23"/>
    </row>
    <row r="1493" spans="1:16" x14ac:dyDescent="0.25">
      <c r="A1493" s="13"/>
      <c r="B1493" s="23"/>
      <c r="C1493" s="13"/>
    </row>
    <row r="1494" spans="1:16" x14ac:dyDescent="0.25">
      <c r="A1494" s="13"/>
      <c r="B1494" s="23"/>
      <c r="C1494" s="13"/>
    </row>
    <row r="1495" spans="1:16" x14ac:dyDescent="0.25">
      <c r="A1495" s="13"/>
      <c r="B1495" s="23"/>
      <c r="C1495" s="13"/>
    </row>
    <row r="1496" spans="1:16" x14ac:dyDescent="0.25">
      <c r="A1496" s="13"/>
      <c r="B1496" s="23"/>
      <c r="C1496" s="13"/>
    </row>
    <row r="1497" spans="1:16" x14ac:dyDescent="0.25">
      <c r="A1497" s="5"/>
      <c r="B1497" s="23"/>
      <c r="C1497" s="13"/>
    </row>
    <row r="1498" spans="1:16" x14ac:dyDescent="0.25">
      <c r="A1498" s="13"/>
      <c r="B1498" s="23"/>
      <c r="C1498" s="13"/>
    </row>
    <row r="1499" spans="1:16" x14ac:dyDescent="0.25">
      <c r="A1499" s="5"/>
      <c r="B1499" s="210"/>
      <c r="C1499" s="13"/>
    </row>
    <row r="1500" spans="1:16" x14ac:dyDescent="0.25">
      <c r="A1500" s="13"/>
      <c r="B1500" s="23"/>
      <c r="C1500" s="13"/>
      <c r="E1500" s="201"/>
      <c r="F1500" s="201"/>
      <c r="G1500" s="201"/>
      <c r="H1500" s="201"/>
      <c r="I1500" s="201"/>
      <c r="J1500" s="201"/>
      <c r="K1500" s="201"/>
      <c r="L1500" s="201"/>
      <c r="M1500" s="201"/>
      <c r="N1500" s="201"/>
      <c r="O1500" s="201"/>
      <c r="P1500" s="201"/>
    </row>
    <row r="1501" spans="1:16" x14ac:dyDescent="0.25">
      <c r="A1501" s="13"/>
      <c r="B1501" s="23"/>
      <c r="C1501" s="23"/>
    </row>
    <row r="1502" spans="1:16" x14ac:dyDescent="0.25">
      <c r="A1502" s="13"/>
      <c r="B1502" s="23"/>
      <c r="C1502" s="23"/>
    </row>
    <row r="1503" spans="1:16" x14ac:dyDescent="0.25">
      <c r="A1503" s="13"/>
      <c r="B1503" s="23"/>
      <c r="C1503" s="13"/>
      <c r="F1503" s="201"/>
      <c r="G1503" s="201"/>
      <c r="H1503" s="201"/>
      <c r="I1503" s="201"/>
      <c r="J1503" s="201"/>
      <c r="K1503" s="201"/>
      <c r="L1503" s="201"/>
      <c r="M1503" s="201"/>
      <c r="N1503" s="201"/>
      <c r="O1503" s="201"/>
      <c r="P1503" s="201"/>
    </row>
    <row r="1504" spans="1:16" x14ac:dyDescent="0.25">
      <c r="A1504" s="13"/>
      <c r="B1504" s="23"/>
      <c r="C1504" s="13"/>
    </row>
    <row r="1505" spans="1:16" x14ac:dyDescent="0.25">
      <c r="A1505" s="13"/>
      <c r="B1505" s="23"/>
      <c r="C1505" s="23"/>
    </row>
    <row r="1506" spans="1:16" x14ac:dyDescent="0.25">
      <c r="A1506" s="13"/>
      <c r="B1506" s="23"/>
      <c r="C1506" s="23"/>
    </row>
    <row r="1507" spans="1:16" x14ac:dyDescent="0.25">
      <c r="A1507" s="13"/>
      <c r="B1507" s="23"/>
      <c r="C1507" s="23"/>
    </row>
    <row r="1508" spans="1:16" x14ac:dyDescent="0.25">
      <c r="A1508" s="13"/>
      <c r="B1508" s="23"/>
      <c r="C1508" s="23"/>
    </row>
    <row r="1509" spans="1:16" x14ac:dyDescent="0.25">
      <c r="A1509" s="13"/>
      <c r="B1509" s="23"/>
      <c r="C1509" s="23"/>
      <c r="E1509" s="202"/>
      <c r="F1509" s="202"/>
      <c r="G1509" s="202"/>
      <c r="H1509" s="202"/>
      <c r="I1509" s="202"/>
      <c r="J1509" s="202"/>
      <c r="K1509" s="202"/>
      <c r="L1509" s="202"/>
      <c r="M1509" s="202"/>
      <c r="N1509" s="202"/>
      <c r="O1509" s="202"/>
      <c r="P1509" s="202"/>
    </row>
    <row r="1510" spans="1:16" x14ac:dyDescent="0.25">
      <c r="A1510" s="13"/>
      <c r="B1510" s="23"/>
      <c r="C1510" s="13"/>
      <c r="E1510" s="202"/>
      <c r="F1510" s="202"/>
      <c r="G1510" s="202"/>
      <c r="H1510" s="202"/>
      <c r="I1510" s="202"/>
      <c r="J1510" s="202"/>
      <c r="K1510" s="202"/>
      <c r="L1510" s="202"/>
      <c r="M1510" s="202"/>
      <c r="N1510" s="202"/>
      <c r="O1510" s="202"/>
      <c r="P1510" s="202"/>
    </row>
    <row r="1511" spans="1:16" x14ac:dyDescent="0.25">
      <c r="A1511" s="13"/>
      <c r="B1511" s="23"/>
      <c r="C1511" s="13"/>
    </row>
    <row r="1512" spans="1:16" x14ac:dyDescent="0.25">
      <c r="A1512" s="13"/>
      <c r="B1512" s="23"/>
      <c r="C1512" s="23"/>
    </row>
    <row r="1513" spans="1:16" x14ac:dyDescent="0.25">
      <c r="A1513" s="13"/>
      <c r="B1513" s="23"/>
      <c r="C1513" s="23"/>
    </row>
    <row r="1514" spans="1:16" x14ac:dyDescent="0.25">
      <c r="A1514" s="13"/>
      <c r="B1514" s="23"/>
      <c r="C1514" s="202"/>
    </row>
    <row r="1515" spans="1:16" x14ac:dyDescent="0.25">
      <c r="A1515" s="13"/>
      <c r="B1515" s="23"/>
      <c r="C1515" s="23"/>
      <c r="E1515" s="203"/>
      <c r="F1515" s="203"/>
      <c r="G1515" s="203"/>
      <c r="H1515" s="203"/>
      <c r="I1515" s="203"/>
      <c r="J1515" s="203"/>
      <c r="K1515" s="203"/>
      <c r="L1515" s="203"/>
      <c r="M1515" s="203"/>
      <c r="N1515" s="203"/>
      <c r="O1515" s="203"/>
      <c r="P1515" s="203"/>
    </row>
    <row r="1516" spans="1:16" x14ac:dyDescent="0.25">
      <c r="A1516" s="13"/>
      <c r="B1516" s="23"/>
      <c r="C1516" s="23"/>
      <c r="E1516" s="203"/>
      <c r="F1516" s="203"/>
      <c r="G1516" s="203"/>
      <c r="H1516" s="203"/>
      <c r="I1516" s="203"/>
      <c r="J1516" s="203"/>
      <c r="K1516" s="203"/>
      <c r="L1516" s="203"/>
      <c r="M1516" s="203"/>
      <c r="N1516" s="203"/>
      <c r="O1516" s="203"/>
      <c r="P1516" s="203"/>
    </row>
    <row r="1517" spans="1:16" x14ac:dyDescent="0.25">
      <c r="A1517" s="200"/>
      <c r="B1517" s="20"/>
      <c r="C1517" s="202"/>
      <c r="E1517" s="203"/>
      <c r="F1517" s="203"/>
      <c r="G1517" s="203"/>
      <c r="H1517" s="203"/>
      <c r="I1517" s="203"/>
      <c r="J1517" s="203"/>
      <c r="K1517" s="203"/>
      <c r="L1517" s="203"/>
      <c r="M1517" s="203"/>
      <c r="N1517" s="203"/>
      <c r="O1517" s="203"/>
      <c r="P1517" s="203"/>
    </row>
    <row r="1518" spans="1:16" x14ac:dyDescent="0.25">
      <c r="A1518" s="13"/>
      <c r="B1518" s="23"/>
    </row>
    <row r="1519" spans="1:16" x14ac:dyDescent="0.25">
      <c r="A1519" s="13"/>
      <c r="B1519" s="23"/>
    </row>
    <row r="1520" spans="1:16" x14ac:dyDescent="0.25">
      <c r="A1520" s="13"/>
      <c r="B1520" s="23"/>
    </row>
    <row r="1521" spans="2:9" x14ac:dyDescent="0.25">
      <c r="B1521" s="23"/>
    </row>
    <row r="1522" spans="2:9" x14ac:dyDescent="0.25">
      <c r="B1522" s="23"/>
    </row>
    <row r="1523" spans="2:9" x14ac:dyDescent="0.25">
      <c r="B1523" s="23"/>
      <c r="C1523" s="10"/>
    </row>
    <row r="1524" spans="2:9" x14ac:dyDescent="0.25">
      <c r="B1524" s="23"/>
    </row>
    <row r="1535" spans="2:9" ht="13" x14ac:dyDescent="0.3">
      <c r="B1535" s="187"/>
      <c r="C1535" s="188"/>
      <c r="D1535" s="188"/>
      <c r="E1535" s="188"/>
      <c r="F1535" s="188"/>
      <c r="G1535" s="188"/>
      <c r="H1535" s="187"/>
      <c r="I1535" s="188"/>
    </row>
    <row r="1536" spans="2:9" x14ac:dyDescent="0.25">
      <c r="B1536" s="188"/>
      <c r="C1536" s="188"/>
      <c r="D1536" s="188"/>
      <c r="E1536" s="188"/>
      <c r="F1536" s="188"/>
      <c r="G1536" s="188"/>
      <c r="H1536" s="188"/>
      <c r="I1536" s="188"/>
    </row>
    <row r="1537" spans="1:17" x14ac:dyDescent="0.25">
      <c r="B1537" s="188"/>
      <c r="C1537" s="188"/>
      <c r="D1537" s="188"/>
      <c r="E1537" s="188"/>
      <c r="F1537" s="188"/>
      <c r="G1537" s="188"/>
      <c r="H1537" s="188"/>
      <c r="I1537" s="188"/>
    </row>
    <row r="1538" spans="1:17" ht="13" x14ac:dyDescent="0.3">
      <c r="B1538" s="186"/>
      <c r="C1538" s="188"/>
      <c r="D1538" s="188"/>
      <c r="E1538" s="188"/>
      <c r="F1538" s="188"/>
      <c r="G1538" s="188"/>
      <c r="H1538" s="186"/>
      <c r="I1538" s="188"/>
    </row>
    <row r="1539" spans="1:17" x14ac:dyDescent="0.25">
      <c r="B1539" s="188"/>
      <c r="C1539" s="188"/>
      <c r="D1539" s="188"/>
      <c r="E1539" s="188"/>
      <c r="F1539" s="188"/>
      <c r="G1539" s="188"/>
      <c r="H1539" s="188"/>
      <c r="I1539" s="188"/>
    </row>
    <row r="1540" spans="1:17" x14ac:dyDescent="0.25">
      <c r="B1540" s="188"/>
      <c r="C1540" s="188"/>
      <c r="D1540" s="188"/>
      <c r="E1540" s="188"/>
      <c r="F1540" s="188"/>
      <c r="G1540" s="188"/>
      <c r="H1540" s="188"/>
      <c r="I1540" s="188"/>
    </row>
    <row r="1541" spans="1:17" x14ac:dyDescent="0.25">
      <c r="B1541" s="188"/>
      <c r="C1541" s="188"/>
      <c r="F1541" s="188"/>
      <c r="G1541" s="188"/>
      <c r="H1541" s="188"/>
    </row>
    <row r="1542" spans="1:17" x14ac:dyDescent="0.25">
      <c r="B1542" s="206"/>
      <c r="C1542" s="188"/>
      <c r="D1542" s="188"/>
      <c r="E1542" s="188"/>
      <c r="F1542" s="188"/>
      <c r="G1542" s="188"/>
      <c r="H1542" s="206"/>
      <c r="I1542" s="188"/>
    </row>
    <row r="1543" spans="1:17" x14ac:dyDescent="0.25">
      <c r="B1543" s="188"/>
      <c r="C1543" s="188"/>
      <c r="D1543" s="188"/>
      <c r="E1543" s="188"/>
      <c r="F1543" s="188"/>
      <c r="G1543" s="188"/>
      <c r="H1543" s="188"/>
      <c r="I1543" s="188"/>
    </row>
    <row r="1544" spans="1:17" x14ac:dyDescent="0.25">
      <c r="A1544" s="206"/>
      <c r="B1544" s="206"/>
      <c r="C1544" s="188"/>
      <c r="D1544" s="188"/>
      <c r="E1544" s="188"/>
      <c r="F1544" s="188"/>
      <c r="G1544" s="188"/>
      <c r="H1544" s="188"/>
      <c r="I1544" s="188"/>
    </row>
    <row r="1545" spans="1:17" x14ac:dyDescent="0.25">
      <c r="B1545" s="2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</row>
    <row r="1546" spans="1:17" x14ac:dyDescent="0.25">
      <c r="A1546" s="5"/>
      <c r="B1546" s="210"/>
      <c r="C1546" s="5"/>
      <c r="D1546" s="13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</row>
    <row r="1547" spans="1:17" x14ac:dyDescent="0.25">
      <c r="A1547" s="13"/>
      <c r="B1547" s="23"/>
      <c r="C1547" s="13"/>
    </row>
    <row r="1548" spans="1:17" x14ac:dyDescent="0.25">
      <c r="A1548" s="13"/>
      <c r="B1548" s="23"/>
      <c r="C1548" s="23"/>
    </row>
    <row r="1549" spans="1:17" x14ac:dyDescent="0.25">
      <c r="A1549" s="13"/>
      <c r="B1549" s="23"/>
      <c r="C1549" s="23"/>
    </row>
    <row r="1550" spans="1:17" x14ac:dyDescent="0.25">
      <c r="A1550" s="13"/>
      <c r="B1550" s="23"/>
      <c r="C1550" s="23"/>
    </row>
    <row r="1551" spans="1:17" x14ac:dyDescent="0.25">
      <c r="A1551" s="13"/>
      <c r="B1551" s="23"/>
      <c r="C1551" s="23"/>
    </row>
    <row r="1552" spans="1:17" x14ac:dyDescent="0.25">
      <c r="A1552" s="13"/>
      <c r="B1552" s="23"/>
      <c r="C1552" s="23"/>
    </row>
    <row r="1553" spans="1:16" x14ac:dyDescent="0.25">
      <c r="A1553" s="13"/>
      <c r="B1553" s="23"/>
      <c r="C1553" s="13"/>
    </row>
    <row r="1554" spans="1:16" x14ac:dyDescent="0.25">
      <c r="A1554" s="13"/>
      <c r="B1554" s="23"/>
      <c r="C1554" s="13"/>
    </row>
    <row r="1555" spans="1:16" x14ac:dyDescent="0.25">
      <c r="A1555" s="13"/>
      <c r="B1555" s="23"/>
      <c r="C1555" s="13"/>
    </row>
    <row r="1556" spans="1:16" x14ac:dyDescent="0.25">
      <c r="A1556" s="13"/>
      <c r="B1556" s="23"/>
      <c r="C1556" s="13"/>
    </row>
    <row r="1557" spans="1:16" x14ac:dyDescent="0.25">
      <c r="A1557" s="13"/>
      <c r="B1557" s="23"/>
    </row>
    <row r="1558" spans="1:16" x14ac:dyDescent="0.25">
      <c r="A1558" s="13"/>
      <c r="B1558" s="23"/>
      <c r="C1558" s="23"/>
    </row>
    <row r="1559" spans="1:16" x14ac:dyDescent="0.25">
      <c r="A1559" s="200"/>
      <c r="B1559" s="20"/>
    </row>
    <row r="1560" spans="1:16" x14ac:dyDescent="0.25">
      <c r="A1560" s="13"/>
      <c r="B1560" s="23"/>
      <c r="E1560" s="201"/>
      <c r="F1560" s="201"/>
      <c r="G1560" s="201"/>
      <c r="H1560" s="201"/>
      <c r="I1560" s="201"/>
      <c r="J1560" s="201"/>
      <c r="K1560" s="201"/>
      <c r="L1560" s="201"/>
      <c r="M1560" s="201"/>
      <c r="N1560" s="201"/>
      <c r="O1560" s="201"/>
      <c r="P1560" s="201"/>
    </row>
    <row r="1561" spans="1:16" x14ac:dyDescent="0.25">
      <c r="A1561" s="200"/>
      <c r="B1561" s="23"/>
      <c r="C1561" s="23"/>
    </row>
    <row r="1562" spans="1:16" x14ac:dyDescent="0.25">
      <c r="A1562" s="200"/>
      <c r="B1562" s="23"/>
      <c r="C1562" s="23"/>
    </row>
    <row r="1563" spans="1:16" x14ac:dyDescent="0.25">
      <c r="A1563" s="200"/>
      <c r="B1563" s="20"/>
      <c r="F1563" s="201"/>
      <c r="G1563" s="201"/>
      <c r="H1563" s="201"/>
      <c r="I1563" s="201"/>
      <c r="J1563" s="201"/>
      <c r="K1563" s="201"/>
      <c r="L1563" s="201"/>
      <c r="M1563" s="201"/>
      <c r="N1563" s="201"/>
      <c r="O1563" s="201"/>
      <c r="P1563" s="201"/>
    </row>
    <row r="1564" spans="1:16" x14ac:dyDescent="0.25">
      <c r="A1564" s="13"/>
      <c r="B1564" s="23"/>
    </row>
    <row r="1565" spans="1:16" x14ac:dyDescent="0.25">
      <c r="A1565" s="200"/>
      <c r="B1565" s="23"/>
      <c r="C1565" s="23"/>
    </row>
    <row r="1566" spans="1:16" x14ac:dyDescent="0.25">
      <c r="A1566" s="200"/>
      <c r="B1566" s="23"/>
      <c r="C1566" s="23"/>
    </row>
    <row r="1567" spans="1:16" x14ac:dyDescent="0.25">
      <c r="A1567" s="200"/>
      <c r="B1567" s="23"/>
      <c r="C1567" s="23"/>
    </row>
    <row r="1568" spans="1:16" x14ac:dyDescent="0.25">
      <c r="A1568" s="200"/>
      <c r="B1568" s="23"/>
      <c r="C1568" s="23"/>
    </row>
    <row r="1569" spans="1:17" x14ac:dyDescent="0.25">
      <c r="A1569" s="200"/>
      <c r="B1569" s="23"/>
      <c r="C1569" s="23"/>
      <c r="E1569" s="202"/>
      <c r="F1569" s="202"/>
      <c r="G1569" s="202"/>
      <c r="H1569" s="202"/>
      <c r="I1569" s="202"/>
      <c r="J1569" s="202"/>
      <c r="K1569" s="202"/>
      <c r="L1569" s="202"/>
      <c r="M1569" s="202"/>
      <c r="N1569" s="202"/>
      <c r="O1569" s="202"/>
      <c r="P1569" s="202"/>
    </row>
    <row r="1570" spans="1:17" x14ac:dyDescent="0.25">
      <c r="A1570" s="200"/>
      <c r="B1570" s="20"/>
      <c r="C1570" s="202"/>
      <c r="E1570" s="202"/>
      <c r="F1570" s="202"/>
      <c r="G1570" s="202"/>
      <c r="H1570" s="202"/>
      <c r="I1570" s="202"/>
      <c r="J1570" s="202"/>
      <c r="K1570" s="202"/>
      <c r="L1570" s="202"/>
      <c r="M1570" s="202"/>
      <c r="N1570" s="202"/>
      <c r="O1570" s="202"/>
      <c r="P1570" s="202"/>
    </row>
    <row r="1571" spans="1:17" x14ac:dyDescent="0.25">
      <c r="A1571" s="13"/>
      <c r="B1571" s="23"/>
      <c r="C1571" s="202"/>
    </row>
    <row r="1572" spans="1:17" x14ac:dyDescent="0.25">
      <c r="A1572" s="13"/>
      <c r="B1572" s="23"/>
      <c r="C1572" s="23"/>
    </row>
    <row r="1573" spans="1:17" x14ac:dyDescent="0.25">
      <c r="A1573" s="13"/>
      <c r="B1573" s="23"/>
      <c r="C1573" s="23"/>
    </row>
    <row r="1574" spans="1:17" x14ac:dyDescent="0.25">
      <c r="A1574" s="13"/>
      <c r="B1574" s="23"/>
      <c r="C1574" s="202"/>
    </row>
    <row r="1575" spans="1:17" x14ac:dyDescent="0.25">
      <c r="A1575" s="13"/>
      <c r="B1575" s="23"/>
      <c r="C1575" s="202"/>
      <c r="E1575" s="203"/>
      <c r="F1575" s="203"/>
      <c r="G1575" s="203"/>
      <c r="H1575" s="203"/>
      <c r="I1575" s="203"/>
      <c r="J1575" s="203"/>
      <c r="K1575" s="203"/>
      <c r="L1575" s="203"/>
      <c r="M1575" s="203"/>
      <c r="N1575" s="203"/>
      <c r="O1575" s="203"/>
      <c r="P1575" s="203"/>
    </row>
    <row r="1576" spans="1:17" x14ac:dyDescent="0.25">
      <c r="A1576" s="13"/>
      <c r="B1576" s="23"/>
      <c r="C1576" s="202"/>
      <c r="E1576" s="203"/>
      <c r="F1576" s="203"/>
      <c r="G1576" s="203"/>
      <c r="H1576" s="203"/>
      <c r="I1576" s="203"/>
      <c r="J1576" s="203"/>
      <c r="K1576" s="203"/>
      <c r="L1576" s="203"/>
      <c r="M1576" s="203"/>
      <c r="N1576" s="203"/>
      <c r="O1576" s="203"/>
      <c r="P1576" s="203"/>
    </row>
    <row r="1577" spans="1:17" x14ac:dyDescent="0.25">
      <c r="A1577" s="200"/>
      <c r="B1577" s="20"/>
      <c r="C1577" s="202"/>
      <c r="E1577" s="203"/>
      <c r="F1577" s="203"/>
      <c r="G1577" s="203"/>
      <c r="H1577" s="203"/>
      <c r="I1577" s="203"/>
      <c r="J1577" s="203"/>
      <c r="K1577" s="203"/>
      <c r="L1577" s="203"/>
      <c r="M1577" s="203"/>
      <c r="N1577" s="203"/>
      <c r="O1577" s="203"/>
      <c r="P1577" s="203"/>
    </row>
    <row r="1578" spans="1:17" x14ac:dyDescent="0.25">
      <c r="A1578" s="13"/>
      <c r="B1578" s="23"/>
    </row>
    <row r="1579" spans="1:17" x14ac:dyDescent="0.25">
      <c r="A1579" s="13"/>
      <c r="B1579" s="23"/>
    </row>
    <row r="1580" spans="1:17" x14ac:dyDescent="0.25">
      <c r="A1580" s="13"/>
      <c r="B1580" s="23"/>
    </row>
    <row r="1581" spans="1:17" x14ac:dyDescent="0.25">
      <c r="B1581" s="23"/>
    </row>
    <row r="1582" spans="1:17" x14ac:dyDescent="0.25">
      <c r="B1582" s="23"/>
    </row>
    <row r="1583" spans="1:17" x14ac:dyDescent="0.25">
      <c r="B1583" s="23"/>
    </row>
    <row r="1584" spans="1:17" x14ac:dyDescent="0.25">
      <c r="A1584" s="211"/>
      <c r="B1584" s="211"/>
      <c r="C1584" s="211"/>
      <c r="D1584" s="211"/>
      <c r="E1584" s="211"/>
      <c r="F1584" s="211"/>
      <c r="G1584" s="211"/>
      <c r="H1584" s="211"/>
      <c r="I1584" s="211"/>
      <c r="J1584" s="211"/>
      <c r="K1584" s="211"/>
      <c r="L1584" s="211"/>
      <c r="M1584" s="211"/>
      <c r="N1584" s="211"/>
      <c r="O1584" s="211"/>
      <c r="P1584" s="211"/>
      <c r="Q1584" s="211"/>
    </row>
    <row r="1585" spans="1:17" x14ac:dyDescent="0.25">
      <c r="A1585" s="211"/>
      <c r="B1585" s="211"/>
      <c r="C1585" s="211"/>
      <c r="D1585" s="211"/>
      <c r="E1585" s="211"/>
      <c r="F1585" s="211"/>
      <c r="G1585" s="211"/>
      <c r="H1585" s="211"/>
      <c r="I1585" s="211"/>
      <c r="J1585" s="211"/>
      <c r="K1585" s="211"/>
      <c r="L1585" s="211"/>
      <c r="M1585" s="211"/>
      <c r="N1585" s="211"/>
      <c r="O1585" s="211"/>
      <c r="P1585" s="211"/>
      <c r="Q1585" s="211"/>
    </row>
    <row r="1586" spans="1:17" x14ac:dyDescent="0.25">
      <c r="A1586" s="211"/>
      <c r="B1586" s="211"/>
      <c r="C1586" s="211"/>
      <c r="D1586" s="211"/>
      <c r="E1586" s="211"/>
      <c r="F1586" s="211"/>
      <c r="G1586" s="211"/>
      <c r="H1586" s="211"/>
      <c r="I1586" s="211"/>
      <c r="J1586" s="211"/>
      <c r="K1586" s="211"/>
      <c r="L1586" s="211"/>
      <c r="M1586" s="211"/>
      <c r="N1586" s="211"/>
      <c r="O1586" s="211"/>
      <c r="P1586" s="211"/>
      <c r="Q1586" s="211"/>
    </row>
    <row r="1587" spans="1:17" x14ac:dyDescent="0.25">
      <c r="A1587" s="211"/>
      <c r="B1587" s="211"/>
      <c r="C1587" s="211"/>
      <c r="D1587" s="211"/>
      <c r="E1587" s="211"/>
      <c r="F1587" s="211"/>
      <c r="G1587" s="211"/>
      <c r="H1587" s="211"/>
      <c r="I1587" s="211"/>
      <c r="J1587" s="211"/>
      <c r="K1587" s="211"/>
      <c r="L1587" s="211"/>
      <c r="M1587" s="211"/>
      <c r="N1587" s="211"/>
      <c r="O1587" s="211"/>
      <c r="P1587" s="211"/>
      <c r="Q1587" s="211"/>
    </row>
    <row r="1588" spans="1:17" x14ac:dyDescent="0.25">
      <c r="A1588" s="211"/>
      <c r="B1588" s="211"/>
      <c r="C1588" s="211"/>
      <c r="D1588" s="211"/>
      <c r="E1588" s="211"/>
      <c r="F1588" s="211"/>
      <c r="G1588" s="211"/>
      <c r="H1588" s="211"/>
      <c r="I1588" s="211"/>
      <c r="J1588" s="211"/>
      <c r="K1588" s="211"/>
      <c r="L1588" s="211"/>
      <c r="M1588" s="211"/>
      <c r="N1588" s="211"/>
      <c r="O1588" s="211"/>
      <c r="P1588" s="211"/>
      <c r="Q1588" s="211"/>
    </row>
    <row r="1590" spans="1:17" x14ac:dyDescent="0.25">
      <c r="A1590" s="211"/>
      <c r="B1590" s="211"/>
      <c r="C1590" s="211"/>
      <c r="D1590" s="211"/>
      <c r="E1590" s="211"/>
      <c r="F1590" s="211"/>
      <c r="G1590" s="211"/>
      <c r="H1590" s="211"/>
      <c r="I1590" s="211"/>
      <c r="J1590" s="211"/>
      <c r="K1590" s="211"/>
      <c r="L1590" s="211"/>
      <c r="M1590" s="211"/>
      <c r="N1590" s="211"/>
      <c r="O1590" s="211"/>
      <c r="P1590" s="211"/>
      <c r="Q1590" s="211"/>
    </row>
    <row r="1592" spans="1:17" x14ac:dyDescent="0.25"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</row>
    <row r="1593" spans="1:17" x14ac:dyDescent="0.25">
      <c r="D1593" s="13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13"/>
    </row>
    <row r="1607" spans="5:16" x14ac:dyDescent="0.25">
      <c r="E1607" s="201"/>
      <c r="F1607" s="201"/>
      <c r="G1607" s="201"/>
      <c r="H1607" s="201"/>
      <c r="I1607" s="201"/>
      <c r="J1607" s="201"/>
      <c r="K1607" s="201"/>
      <c r="L1607" s="201"/>
      <c r="M1607" s="201"/>
      <c r="N1607" s="201"/>
      <c r="O1607" s="201"/>
      <c r="P1607" s="201"/>
    </row>
    <row r="1610" spans="5:16" x14ac:dyDescent="0.25">
      <c r="F1610" s="201"/>
      <c r="G1610" s="201"/>
      <c r="H1610" s="201"/>
      <c r="I1610" s="201"/>
      <c r="J1610" s="201"/>
      <c r="K1610" s="201"/>
      <c r="L1610" s="201"/>
      <c r="M1610" s="201"/>
      <c r="N1610" s="201"/>
      <c r="O1610" s="201"/>
      <c r="P1610" s="201"/>
    </row>
    <row r="1616" spans="5:16" x14ac:dyDescent="0.25">
      <c r="E1616" s="202"/>
      <c r="F1616" s="202"/>
      <c r="G1616" s="202"/>
      <c r="H1616" s="202"/>
      <c r="I1616" s="202"/>
      <c r="J1616" s="202"/>
      <c r="K1616" s="202"/>
      <c r="L1616" s="202"/>
      <c r="M1616" s="202"/>
      <c r="N1616" s="202"/>
      <c r="O1616" s="202"/>
      <c r="P1616" s="202"/>
    </row>
    <row r="1617" spans="5:16" x14ac:dyDescent="0.25">
      <c r="E1617" s="202"/>
      <c r="F1617" s="202"/>
      <c r="G1617" s="202"/>
      <c r="H1617" s="202"/>
      <c r="I1617" s="202"/>
      <c r="J1617" s="202"/>
      <c r="K1617" s="202"/>
      <c r="L1617" s="202"/>
      <c r="M1617" s="202"/>
      <c r="N1617" s="202"/>
      <c r="O1617" s="202"/>
      <c r="P1617" s="202"/>
    </row>
    <row r="1622" spans="5:16" x14ac:dyDescent="0.25">
      <c r="E1622" s="203"/>
      <c r="F1622" s="203"/>
      <c r="G1622" s="203"/>
      <c r="H1622" s="203"/>
      <c r="I1622" s="203"/>
      <c r="J1622" s="203"/>
      <c r="K1622" s="203"/>
      <c r="L1622" s="203"/>
      <c r="M1622" s="203"/>
      <c r="N1622" s="203"/>
      <c r="O1622" s="203"/>
      <c r="P1622" s="203"/>
    </row>
    <row r="1623" spans="5:16" x14ac:dyDescent="0.25">
      <c r="E1623" s="203"/>
      <c r="F1623" s="203"/>
      <c r="G1623" s="203"/>
      <c r="H1623" s="203"/>
      <c r="I1623" s="203"/>
      <c r="J1623" s="203"/>
      <c r="K1623" s="203"/>
      <c r="L1623" s="203"/>
      <c r="M1623" s="203"/>
      <c r="N1623" s="203"/>
      <c r="O1623" s="203"/>
      <c r="P1623" s="203"/>
    </row>
    <row r="1624" spans="5:16" x14ac:dyDescent="0.25">
      <c r="E1624" s="203"/>
      <c r="F1624" s="203"/>
      <c r="G1624" s="203"/>
      <c r="H1624" s="203"/>
      <c r="I1624" s="203"/>
      <c r="J1624" s="203"/>
      <c r="K1624" s="203"/>
      <c r="L1624" s="203"/>
      <c r="M1624" s="203"/>
      <c r="N1624" s="203"/>
      <c r="O1624" s="203"/>
      <c r="P1624" s="203"/>
    </row>
    <row r="1633" spans="1:17" x14ac:dyDescent="0.25">
      <c r="A1633" s="211"/>
      <c r="B1633" s="211"/>
      <c r="C1633" s="211"/>
      <c r="D1633" s="211"/>
      <c r="E1633" s="211"/>
      <c r="F1633" s="211"/>
      <c r="G1633" s="211"/>
      <c r="H1633" s="211"/>
      <c r="I1633" s="211"/>
      <c r="J1633" s="211"/>
      <c r="K1633" s="211"/>
      <c r="L1633" s="211"/>
      <c r="M1633" s="211"/>
      <c r="N1633" s="211"/>
      <c r="O1633" s="211"/>
      <c r="P1633" s="211"/>
      <c r="Q1633" s="211"/>
    </row>
    <row r="1634" spans="1:17" x14ac:dyDescent="0.25">
      <c r="A1634" s="211"/>
      <c r="B1634" s="211"/>
      <c r="C1634" s="211"/>
      <c r="D1634" s="211"/>
      <c r="E1634" s="211"/>
      <c r="F1634" s="211"/>
      <c r="G1634" s="211"/>
      <c r="H1634" s="211"/>
      <c r="I1634" s="211"/>
      <c r="J1634" s="211"/>
      <c r="K1634" s="211"/>
      <c r="L1634" s="211"/>
      <c r="M1634" s="211"/>
      <c r="N1634" s="211"/>
      <c r="O1634" s="211"/>
      <c r="P1634" s="211"/>
      <c r="Q1634" s="211"/>
    </row>
    <row r="1635" spans="1:17" x14ac:dyDescent="0.25">
      <c r="A1635" s="211"/>
      <c r="B1635" s="211"/>
      <c r="C1635" s="211"/>
      <c r="D1635" s="211"/>
      <c r="E1635" s="211"/>
      <c r="F1635" s="211"/>
      <c r="G1635" s="211"/>
      <c r="H1635" s="211"/>
      <c r="I1635" s="211"/>
      <c r="J1635" s="211"/>
      <c r="K1635" s="211"/>
      <c r="L1635" s="211"/>
      <c r="M1635" s="211"/>
      <c r="N1635" s="211"/>
      <c r="O1635" s="211"/>
      <c r="P1635" s="211"/>
      <c r="Q1635" s="211"/>
    </row>
    <row r="1636" spans="1:17" ht="13" x14ac:dyDescent="0.3">
      <c r="A1636" s="223"/>
      <c r="B1636" s="223"/>
      <c r="C1636" s="223"/>
      <c r="D1636" s="223"/>
      <c r="E1636" s="223"/>
      <c r="F1636" s="223"/>
      <c r="G1636" s="223"/>
      <c r="H1636" s="223"/>
      <c r="I1636" s="223"/>
      <c r="J1636" s="223"/>
      <c r="K1636" s="223"/>
      <c r="L1636" s="223"/>
      <c r="M1636" s="223"/>
      <c r="N1636" s="223"/>
      <c r="O1636" s="223"/>
      <c r="P1636" s="223"/>
      <c r="Q1636" s="223"/>
    </row>
    <row r="1637" spans="1:17" x14ac:dyDescent="0.25">
      <c r="A1637" s="211"/>
      <c r="B1637" s="211"/>
      <c r="C1637" s="211"/>
      <c r="D1637" s="211"/>
      <c r="E1637" s="211"/>
      <c r="F1637" s="211"/>
      <c r="G1637" s="211"/>
      <c r="H1637" s="211"/>
      <c r="I1637" s="211"/>
      <c r="J1637" s="211"/>
      <c r="K1637" s="211"/>
      <c r="L1637" s="211"/>
      <c r="M1637" s="211"/>
      <c r="N1637" s="211"/>
      <c r="O1637" s="211"/>
      <c r="P1637" s="211"/>
      <c r="Q1637" s="211"/>
    </row>
    <row r="1639" spans="1:17" x14ac:dyDescent="0.25">
      <c r="A1639" s="211"/>
      <c r="B1639" s="211"/>
      <c r="C1639" s="211"/>
      <c r="D1639" s="211"/>
      <c r="E1639" s="211"/>
      <c r="F1639" s="211"/>
      <c r="G1639" s="211"/>
      <c r="H1639" s="211"/>
      <c r="I1639" s="211"/>
      <c r="J1639" s="211"/>
      <c r="K1639" s="211"/>
      <c r="L1639" s="211"/>
      <c r="M1639" s="211"/>
      <c r="N1639" s="211"/>
      <c r="O1639" s="211"/>
      <c r="P1639" s="211"/>
      <c r="Q1639" s="211"/>
    </row>
    <row r="1641" spans="1:17" x14ac:dyDescent="0.25"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</row>
    <row r="1642" spans="1:17" x14ac:dyDescent="0.25">
      <c r="D1642" s="13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13"/>
    </row>
    <row r="1656" spans="5:16" x14ac:dyDescent="0.25">
      <c r="E1656" s="201"/>
      <c r="F1656" s="201"/>
      <c r="G1656" s="201"/>
      <c r="H1656" s="201"/>
      <c r="I1656" s="201"/>
      <c r="J1656" s="201"/>
      <c r="K1656" s="201"/>
      <c r="L1656" s="201"/>
      <c r="M1656" s="201"/>
      <c r="N1656" s="201"/>
      <c r="O1656" s="201"/>
      <c r="P1656" s="201"/>
    </row>
    <row r="1659" spans="5:16" x14ac:dyDescent="0.25">
      <c r="F1659" s="201"/>
      <c r="G1659" s="201"/>
      <c r="H1659" s="201"/>
      <c r="I1659" s="201"/>
      <c r="J1659" s="201"/>
      <c r="K1659" s="201"/>
      <c r="L1659" s="201"/>
      <c r="M1659" s="201"/>
      <c r="N1659" s="201"/>
      <c r="O1659" s="201"/>
      <c r="P1659" s="201"/>
    </row>
    <row r="1665" spans="5:16" x14ac:dyDescent="0.25">
      <c r="E1665" s="202"/>
      <c r="F1665" s="202"/>
      <c r="G1665" s="202"/>
      <c r="H1665" s="202"/>
      <c r="I1665" s="202"/>
      <c r="J1665" s="202"/>
      <c r="K1665" s="202"/>
      <c r="L1665" s="202"/>
      <c r="M1665" s="202"/>
      <c r="N1665" s="202"/>
      <c r="O1665" s="202"/>
      <c r="P1665" s="202"/>
    </row>
    <row r="1666" spans="5:16" x14ac:dyDescent="0.25">
      <c r="E1666" s="202"/>
      <c r="F1666" s="202"/>
      <c r="G1666" s="202"/>
      <c r="H1666" s="202"/>
      <c r="I1666" s="202"/>
      <c r="J1666" s="202"/>
      <c r="K1666" s="202"/>
      <c r="L1666" s="202"/>
      <c r="M1666" s="202"/>
      <c r="N1666" s="202"/>
      <c r="O1666" s="202"/>
      <c r="P1666" s="202"/>
    </row>
    <row r="1671" spans="5:16" x14ac:dyDescent="0.25">
      <c r="E1671" s="203"/>
      <c r="F1671" s="203"/>
      <c r="G1671" s="203"/>
      <c r="H1671" s="203"/>
      <c r="I1671" s="203"/>
      <c r="J1671" s="203"/>
      <c r="K1671" s="203"/>
      <c r="L1671" s="203"/>
      <c r="M1671" s="203"/>
      <c r="N1671" s="203"/>
      <c r="O1671" s="203"/>
      <c r="P1671" s="203"/>
    </row>
    <row r="1672" spans="5:16" x14ac:dyDescent="0.25">
      <c r="E1672" s="203"/>
      <c r="F1672" s="203"/>
      <c r="G1672" s="203"/>
      <c r="H1672" s="203"/>
      <c r="I1672" s="203"/>
      <c r="J1672" s="203"/>
      <c r="K1672" s="203"/>
      <c r="L1672" s="203"/>
      <c r="M1672" s="203"/>
      <c r="N1672" s="203"/>
      <c r="O1672" s="203"/>
      <c r="P1672" s="203"/>
    </row>
    <row r="1673" spans="5:16" x14ac:dyDescent="0.25">
      <c r="E1673" s="203"/>
      <c r="F1673" s="203"/>
      <c r="G1673" s="203"/>
      <c r="H1673" s="203"/>
      <c r="I1673" s="203"/>
      <c r="J1673" s="203"/>
      <c r="K1673" s="203"/>
      <c r="L1673" s="203"/>
      <c r="M1673" s="203"/>
      <c r="N1673" s="203"/>
      <c r="O1673" s="203"/>
      <c r="P1673" s="203"/>
    </row>
    <row r="1685" spans="1:18" ht="13" x14ac:dyDescent="0.3">
      <c r="B1685" s="187"/>
      <c r="C1685" s="188"/>
      <c r="D1685" s="188"/>
      <c r="E1685" s="188"/>
      <c r="F1685" s="188"/>
      <c r="G1685" s="188"/>
      <c r="H1685" s="187"/>
      <c r="I1685" s="188"/>
    </row>
    <row r="1686" spans="1:18" x14ac:dyDescent="0.25">
      <c r="B1686" s="188"/>
      <c r="C1686" s="188"/>
      <c r="D1686" s="188"/>
      <c r="E1686" s="188"/>
      <c r="F1686" s="188"/>
      <c r="G1686" s="188"/>
      <c r="H1686" s="188"/>
      <c r="I1686" s="188"/>
    </row>
    <row r="1687" spans="1:18" x14ac:dyDescent="0.25">
      <c r="B1687" s="188"/>
      <c r="C1687" s="188"/>
      <c r="D1687" s="188"/>
      <c r="E1687" s="188"/>
      <c r="F1687" s="188"/>
      <c r="G1687" s="188"/>
      <c r="H1687" s="188"/>
      <c r="I1687" s="188"/>
    </row>
    <row r="1688" spans="1:18" ht="13" x14ac:dyDescent="0.3">
      <c r="B1688" s="186"/>
      <c r="C1688" s="188"/>
      <c r="D1688" s="188"/>
      <c r="E1688" s="188"/>
      <c r="F1688" s="188"/>
      <c r="G1688" s="188"/>
      <c r="H1688" s="186"/>
      <c r="I1688" s="188"/>
    </row>
    <row r="1689" spans="1:18" x14ac:dyDescent="0.25">
      <c r="B1689" s="188"/>
      <c r="C1689" s="188"/>
      <c r="D1689" s="188"/>
      <c r="E1689" s="188"/>
      <c r="F1689" s="188"/>
      <c r="G1689" s="188"/>
      <c r="H1689" s="188"/>
      <c r="I1689" s="188"/>
    </row>
    <row r="1690" spans="1:18" x14ac:dyDescent="0.25">
      <c r="B1690" s="188"/>
      <c r="C1690" s="188"/>
      <c r="D1690" s="188"/>
      <c r="E1690" s="188"/>
      <c r="F1690" s="188"/>
      <c r="G1690" s="188"/>
      <c r="H1690" s="188"/>
      <c r="I1690" s="188"/>
    </row>
    <row r="1691" spans="1:18" x14ac:dyDescent="0.25">
      <c r="B1691" s="188"/>
      <c r="C1691" s="188"/>
      <c r="F1691" s="188"/>
      <c r="G1691" s="188"/>
      <c r="H1691" s="188"/>
    </row>
    <row r="1692" spans="1:18" x14ac:dyDescent="0.25">
      <c r="B1692" s="206"/>
      <c r="C1692" s="188"/>
      <c r="D1692" s="188"/>
      <c r="E1692" s="188"/>
      <c r="F1692" s="188"/>
      <c r="G1692" s="188"/>
      <c r="H1692" s="206"/>
      <c r="I1692" s="188"/>
    </row>
    <row r="1693" spans="1:18" x14ac:dyDescent="0.25">
      <c r="B1693" s="188"/>
      <c r="C1693" s="188"/>
      <c r="D1693" s="188"/>
      <c r="E1693" s="188"/>
      <c r="F1693" s="188"/>
      <c r="G1693" s="188"/>
      <c r="H1693" s="188"/>
      <c r="I1693" s="188"/>
    </row>
    <row r="1694" spans="1:18" x14ac:dyDescent="0.25">
      <c r="A1694" s="206"/>
      <c r="B1694" s="206"/>
      <c r="C1694" s="188"/>
      <c r="D1694" s="188"/>
      <c r="E1694" s="188"/>
      <c r="F1694" s="188"/>
      <c r="G1694" s="188"/>
      <c r="H1694" s="188"/>
      <c r="I1694" s="188"/>
    </row>
    <row r="1695" spans="1:18" x14ac:dyDescent="0.25">
      <c r="A1695" s="5"/>
      <c r="B1695" s="5"/>
      <c r="C1695" s="5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5"/>
    </row>
    <row r="1696" spans="1:18" x14ac:dyDescent="0.25">
      <c r="A1696" s="23"/>
      <c r="B1696" s="23"/>
      <c r="C1696" s="23"/>
      <c r="D1696" s="13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</row>
    <row r="1697" spans="1:16" x14ac:dyDescent="0.25">
      <c r="A1697" s="23"/>
      <c r="B1697" s="23"/>
      <c r="C1697" s="23"/>
    </row>
    <row r="1698" spans="1:16" x14ac:dyDescent="0.25">
      <c r="A1698" s="23"/>
      <c r="B1698" s="23"/>
      <c r="C1698" s="23"/>
    </row>
    <row r="1699" spans="1:16" x14ac:dyDescent="0.25">
      <c r="A1699" s="23"/>
      <c r="B1699" s="23"/>
      <c r="C1699" s="23"/>
    </row>
    <row r="1700" spans="1:16" x14ac:dyDescent="0.25">
      <c r="A1700" s="23"/>
      <c r="B1700" s="23"/>
      <c r="C1700" s="23"/>
    </row>
    <row r="1701" spans="1:16" x14ac:dyDescent="0.25">
      <c r="A1701" s="23"/>
      <c r="B1701" s="23"/>
      <c r="C1701" s="23"/>
    </row>
    <row r="1702" spans="1:16" x14ac:dyDescent="0.25">
      <c r="A1702" s="23"/>
      <c r="B1702" s="23"/>
      <c r="C1702" s="23"/>
    </row>
    <row r="1703" spans="1:16" x14ac:dyDescent="0.25">
      <c r="A1703" s="23"/>
      <c r="B1703" s="23"/>
      <c r="C1703" s="23"/>
    </row>
    <row r="1704" spans="1:16" x14ac:dyDescent="0.25">
      <c r="A1704" s="23"/>
      <c r="B1704" s="23"/>
      <c r="C1704" s="23"/>
    </row>
    <row r="1705" spans="1:16" x14ac:dyDescent="0.25">
      <c r="A1705" s="23"/>
      <c r="B1705" s="23"/>
      <c r="C1705" s="23"/>
    </row>
    <row r="1706" spans="1:16" x14ac:dyDescent="0.25">
      <c r="A1706" s="23"/>
      <c r="B1706" s="23"/>
      <c r="C1706" s="23"/>
    </row>
    <row r="1707" spans="1:16" x14ac:dyDescent="0.25">
      <c r="A1707" s="23"/>
      <c r="B1707" s="23"/>
      <c r="C1707" s="23"/>
    </row>
    <row r="1708" spans="1:16" x14ac:dyDescent="0.25">
      <c r="A1708" s="23"/>
      <c r="B1708" s="23"/>
      <c r="C1708" s="23"/>
    </row>
    <row r="1709" spans="1:16" x14ac:dyDescent="0.25">
      <c r="A1709" s="23"/>
      <c r="B1709" s="23"/>
      <c r="C1709" s="23"/>
    </row>
    <row r="1710" spans="1:16" x14ac:dyDescent="0.25">
      <c r="A1710" s="23"/>
      <c r="B1710" s="23"/>
      <c r="C1710" s="23"/>
      <c r="E1710" s="201"/>
      <c r="F1710" s="201"/>
      <c r="G1710" s="201"/>
      <c r="H1710" s="201"/>
      <c r="I1710" s="201"/>
      <c r="J1710" s="201"/>
      <c r="K1710" s="201"/>
      <c r="L1710" s="201"/>
      <c r="M1710" s="201"/>
      <c r="N1710" s="201"/>
      <c r="O1710" s="201"/>
      <c r="P1710" s="201"/>
    </row>
    <row r="1711" spans="1:16" x14ac:dyDescent="0.25">
      <c r="A1711" s="23"/>
      <c r="B1711" s="23"/>
      <c r="C1711" s="23"/>
    </row>
    <row r="1712" spans="1:16" x14ac:dyDescent="0.25">
      <c r="A1712" s="23"/>
      <c r="B1712" s="23"/>
      <c r="C1712" s="23"/>
    </row>
    <row r="1713" spans="1:25" x14ac:dyDescent="0.25">
      <c r="A1713" s="23"/>
      <c r="B1713" s="23"/>
      <c r="C1713" s="23"/>
      <c r="F1713" s="201"/>
      <c r="G1713" s="201"/>
      <c r="H1713" s="201"/>
      <c r="I1713" s="201"/>
      <c r="J1713" s="201"/>
      <c r="K1713" s="201"/>
      <c r="L1713" s="201"/>
      <c r="M1713" s="201"/>
      <c r="N1713" s="201"/>
      <c r="O1713" s="201"/>
      <c r="P1713" s="201"/>
    </row>
    <row r="1714" spans="1:25" x14ac:dyDescent="0.25">
      <c r="A1714" s="23"/>
      <c r="B1714" s="23"/>
      <c r="C1714" s="23"/>
    </row>
    <row r="1715" spans="1:25" x14ac:dyDescent="0.25">
      <c r="A1715" s="23"/>
      <c r="B1715" s="23"/>
      <c r="C1715" s="23"/>
    </row>
    <row r="1716" spans="1:25" x14ac:dyDescent="0.25">
      <c r="A1716" s="23"/>
      <c r="B1716" s="23"/>
      <c r="C1716" s="23"/>
      <c r="S1716" s="5"/>
      <c r="T1716" s="5"/>
      <c r="U1716" s="5"/>
      <c r="V1716" s="5"/>
      <c r="W1716" s="5"/>
      <c r="X1716" s="5"/>
      <c r="Y1716" s="5"/>
    </row>
    <row r="1717" spans="1:25" x14ac:dyDescent="0.25">
      <c r="A1717" s="23"/>
      <c r="B1717" s="23"/>
      <c r="C1717" s="23"/>
    </row>
    <row r="1718" spans="1:25" x14ac:dyDescent="0.25">
      <c r="A1718" s="23"/>
      <c r="B1718" s="23"/>
      <c r="C1718" s="23"/>
    </row>
    <row r="1719" spans="1:25" x14ac:dyDescent="0.25">
      <c r="A1719" s="23"/>
      <c r="B1719" s="23"/>
      <c r="C1719" s="23"/>
      <c r="E1719" s="202"/>
      <c r="F1719" s="202"/>
      <c r="G1719" s="202"/>
      <c r="H1719" s="202"/>
      <c r="I1719" s="202"/>
      <c r="J1719" s="202"/>
      <c r="K1719" s="202"/>
      <c r="L1719" s="202"/>
      <c r="M1719" s="202"/>
      <c r="N1719" s="202"/>
      <c r="O1719" s="202"/>
      <c r="P1719" s="202"/>
    </row>
    <row r="1720" spans="1:25" x14ac:dyDescent="0.25">
      <c r="A1720" s="23"/>
      <c r="B1720" s="23"/>
      <c r="C1720" s="23"/>
      <c r="E1720" s="202"/>
      <c r="F1720" s="202"/>
      <c r="G1720" s="202"/>
      <c r="H1720" s="202"/>
      <c r="I1720" s="202"/>
      <c r="J1720" s="202"/>
      <c r="K1720" s="202"/>
      <c r="L1720" s="202"/>
      <c r="M1720" s="202"/>
      <c r="N1720" s="202"/>
      <c r="O1720" s="202"/>
      <c r="P1720" s="202"/>
    </row>
    <row r="1721" spans="1:25" x14ac:dyDescent="0.25">
      <c r="A1721" s="23"/>
      <c r="B1721" s="23"/>
      <c r="C1721" s="23"/>
    </row>
    <row r="1722" spans="1:25" x14ac:dyDescent="0.25">
      <c r="A1722" s="23"/>
      <c r="B1722" s="23"/>
      <c r="C1722" s="23"/>
    </row>
    <row r="1723" spans="1:25" x14ac:dyDescent="0.25">
      <c r="A1723" s="23"/>
      <c r="B1723" s="23"/>
      <c r="C1723" s="23"/>
    </row>
    <row r="1724" spans="1:25" x14ac:dyDescent="0.25">
      <c r="A1724" s="23"/>
      <c r="B1724" s="23"/>
      <c r="C1724" s="23"/>
    </row>
    <row r="1725" spans="1:25" x14ac:dyDescent="0.25">
      <c r="A1725" s="23"/>
      <c r="B1725" s="23"/>
      <c r="C1725" s="23"/>
      <c r="E1725" s="203"/>
      <c r="F1725" s="203"/>
      <c r="G1725" s="203"/>
      <c r="H1725" s="203"/>
      <c r="I1725" s="203"/>
      <c r="J1725" s="203"/>
      <c r="K1725" s="203"/>
      <c r="L1725" s="203"/>
      <c r="M1725" s="203"/>
      <c r="N1725" s="203"/>
      <c r="O1725" s="203"/>
      <c r="P1725" s="203"/>
    </row>
    <row r="1726" spans="1:25" x14ac:dyDescent="0.25">
      <c r="A1726" s="23"/>
      <c r="B1726" s="23"/>
      <c r="C1726" s="23"/>
      <c r="E1726" s="203"/>
      <c r="F1726" s="203"/>
      <c r="G1726" s="203"/>
      <c r="H1726" s="203"/>
      <c r="I1726" s="203"/>
      <c r="J1726" s="203"/>
      <c r="K1726" s="203"/>
      <c r="L1726" s="203"/>
      <c r="M1726" s="203"/>
      <c r="N1726" s="203"/>
      <c r="O1726" s="203"/>
      <c r="P1726" s="203"/>
    </row>
    <row r="1727" spans="1:25" x14ac:dyDescent="0.25">
      <c r="A1727" s="23"/>
      <c r="B1727" s="23"/>
      <c r="C1727" s="23"/>
      <c r="E1727" s="203"/>
      <c r="F1727" s="203"/>
      <c r="G1727" s="203"/>
      <c r="H1727" s="203"/>
      <c r="I1727" s="203"/>
      <c r="J1727" s="203"/>
      <c r="K1727" s="203"/>
      <c r="L1727" s="203"/>
      <c r="M1727" s="203"/>
      <c r="N1727" s="203"/>
      <c r="O1727" s="203"/>
      <c r="P1727" s="203"/>
    </row>
    <row r="1728" spans="1:25" x14ac:dyDescent="0.25">
      <c r="A1728" s="23"/>
      <c r="B1728" s="23"/>
      <c r="C1728" s="23"/>
    </row>
    <row r="1729" spans="1:9" x14ac:dyDescent="0.25">
      <c r="A1729" s="23"/>
      <c r="B1729" s="23"/>
      <c r="C1729" s="23"/>
    </row>
    <row r="1730" spans="1:9" x14ac:dyDescent="0.25">
      <c r="A1730" s="23"/>
      <c r="B1730" s="23"/>
      <c r="C1730" s="23"/>
    </row>
    <row r="1735" spans="1:9" ht="13" x14ac:dyDescent="0.3">
      <c r="B1735" s="187"/>
      <c r="C1735" s="188"/>
      <c r="D1735" s="188"/>
      <c r="E1735" s="188"/>
      <c r="F1735" s="188"/>
      <c r="G1735" s="188"/>
      <c r="H1735" s="187"/>
      <c r="I1735" s="188"/>
    </row>
    <row r="1736" spans="1:9" x14ac:dyDescent="0.25">
      <c r="B1736" s="188"/>
      <c r="C1736" s="188"/>
      <c r="D1736" s="188"/>
      <c r="E1736" s="188"/>
      <c r="F1736" s="188"/>
      <c r="G1736" s="188"/>
      <c r="H1736" s="188"/>
      <c r="I1736" s="188"/>
    </row>
    <row r="1737" spans="1:9" x14ac:dyDescent="0.25">
      <c r="B1737" s="188"/>
      <c r="C1737" s="188"/>
      <c r="D1737" s="188"/>
      <c r="E1737" s="188"/>
      <c r="F1737" s="188"/>
      <c r="G1737" s="188"/>
      <c r="H1737" s="188"/>
      <c r="I1737" s="188"/>
    </row>
    <row r="1738" spans="1:9" ht="13" x14ac:dyDescent="0.3">
      <c r="B1738" s="186"/>
      <c r="C1738" s="188"/>
      <c r="D1738" s="188"/>
      <c r="E1738" s="188"/>
      <c r="F1738" s="188"/>
      <c r="G1738" s="188"/>
      <c r="H1738" s="186"/>
      <c r="I1738" s="188"/>
    </row>
    <row r="1739" spans="1:9" x14ac:dyDescent="0.25">
      <c r="B1739" s="188"/>
      <c r="C1739" s="188"/>
      <c r="D1739" s="188"/>
      <c r="E1739" s="188"/>
      <c r="F1739" s="188"/>
      <c r="G1739" s="188"/>
      <c r="H1739" s="188"/>
      <c r="I1739" s="188"/>
    </row>
    <row r="1740" spans="1:9" x14ac:dyDescent="0.25">
      <c r="B1740" s="188"/>
      <c r="C1740" s="188"/>
      <c r="D1740" s="188"/>
      <c r="E1740" s="188"/>
      <c r="F1740" s="188"/>
      <c r="G1740" s="188"/>
      <c r="H1740" s="188"/>
      <c r="I1740" s="188"/>
    </row>
    <row r="1741" spans="1:9" x14ac:dyDescent="0.25">
      <c r="B1741" s="188"/>
      <c r="C1741" s="188"/>
      <c r="F1741" s="188"/>
      <c r="G1741" s="188"/>
      <c r="H1741" s="188"/>
    </row>
    <row r="1742" spans="1:9" x14ac:dyDescent="0.25">
      <c r="B1742" s="206"/>
      <c r="C1742" s="188"/>
      <c r="D1742" s="188"/>
      <c r="E1742" s="188"/>
      <c r="F1742" s="188"/>
      <c r="G1742" s="188"/>
      <c r="H1742" s="206"/>
      <c r="I1742" s="188"/>
    </row>
    <row r="1743" spans="1:9" x14ac:dyDescent="0.25">
      <c r="B1743" s="188"/>
      <c r="C1743" s="188"/>
      <c r="D1743" s="188"/>
      <c r="E1743" s="188"/>
      <c r="F1743" s="188"/>
      <c r="G1743" s="188"/>
      <c r="H1743" s="188"/>
      <c r="I1743" s="188"/>
    </row>
    <row r="1744" spans="1:9" x14ac:dyDescent="0.25">
      <c r="A1744" s="206"/>
      <c r="B1744" s="206"/>
      <c r="C1744" s="188"/>
      <c r="D1744" s="188"/>
      <c r="E1744" s="188"/>
      <c r="F1744" s="188"/>
      <c r="G1744" s="188"/>
      <c r="H1744" s="188"/>
      <c r="I1744" s="188"/>
    </row>
    <row r="1745" spans="1:18" x14ac:dyDescent="0.25">
      <c r="A1745" s="5"/>
      <c r="B1745" s="5"/>
      <c r="C1745" s="5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5"/>
    </row>
    <row r="1746" spans="1:18" x14ac:dyDescent="0.25">
      <c r="A1746" s="23"/>
      <c r="B1746" s="23"/>
      <c r="C1746" s="23"/>
      <c r="D1746" s="13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</row>
    <row r="1747" spans="1:18" x14ac:dyDescent="0.25">
      <c r="A1747" s="23"/>
      <c r="B1747" s="23"/>
      <c r="C1747" s="23"/>
    </row>
    <row r="1748" spans="1:18" x14ac:dyDescent="0.25">
      <c r="A1748" s="23"/>
      <c r="B1748" s="23"/>
      <c r="C1748" s="23"/>
    </row>
    <row r="1749" spans="1:18" x14ac:dyDescent="0.25">
      <c r="A1749" s="23"/>
      <c r="B1749" s="23"/>
      <c r="C1749" s="23"/>
    </row>
    <row r="1750" spans="1:18" x14ac:dyDescent="0.25">
      <c r="A1750" s="23"/>
      <c r="B1750" s="23"/>
      <c r="C1750" s="23"/>
    </row>
    <row r="1751" spans="1:18" x14ac:dyDescent="0.25">
      <c r="A1751" s="23"/>
      <c r="B1751" s="23"/>
      <c r="C1751" s="23"/>
    </row>
    <row r="1752" spans="1:18" x14ac:dyDescent="0.25">
      <c r="A1752" s="23"/>
      <c r="B1752" s="23"/>
      <c r="C1752" s="23"/>
    </row>
    <row r="1753" spans="1:18" x14ac:dyDescent="0.25">
      <c r="A1753" s="23"/>
      <c r="B1753" s="23"/>
      <c r="C1753" s="23"/>
    </row>
    <row r="1754" spans="1:18" x14ac:dyDescent="0.25">
      <c r="A1754" s="23"/>
      <c r="B1754" s="23"/>
      <c r="C1754" s="23"/>
    </row>
    <row r="1755" spans="1:18" x14ac:dyDescent="0.25">
      <c r="A1755" s="23"/>
      <c r="B1755" s="23"/>
      <c r="C1755" s="23"/>
    </row>
    <row r="1756" spans="1:18" x14ac:dyDescent="0.25">
      <c r="A1756" s="23"/>
      <c r="B1756" s="23"/>
      <c r="C1756" s="23"/>
    </row>
    <row r="1757" spans="1:18" x14ac:dyDescent="0.25">
      <c r="A1757" s="23"/>
      <c r="B1757" s="23"/>
      <c r="C1757" s="23"/>
    </row>
    <row r="1758" spans="1:18" x14ac:dyDescent="0.25">
      <c r="A1758" s="23"/>
      <c r="B1758" s="23"/>
      <c r="C1758" s="23"/>
    </row>
    <row r="1759" spans="1:18" x14ac:dyDescent="0.25">
      <c r="A1759" s="23"/>
      <c r="B1759" s="23"/>
      <c r="C1759" s="23"/>
    </row>
    <row r="1760" spans="1:18" x14ac:dyDescent="0.25">
      <c r="A1760" s="23"/>
      <c r="B1760" s="23"/>
      <c r="C1760" s="23"/>
      <c r="E1760" s="201"/>
      <c r="F1760" s="201"/>
      <c r="G1760" s="201"/>
      <c r="H1760" s="201"/>
      <c r="I1760" s="201"/>
      <c r="J1760" s="201"/>
      <c r="K1760" s="201"/>
      <c r="L1760" s="201"/>
      <c r="M1760" s="201"/>
      <c r="N1760" s="201"/>
      <c r="O1760" s="201"/>
      <c r="P1760" s="201"/>
    </row>
    <row r="1761" spans="1:25" x14ac:dyDescent="0.25">
      <c r="A1761" s="23"/>
      <c r="B1761" s="23"/>
      <c r="C1761" s="23"/>
    </row>
    <row r="1762" spans="1:25" x14ac:dyDescent="0.25">
      <c r="A1762" s="23"/>
      <c r="B1762" s="23"/>
      <c r="C1762" s="23"/>
    </row>
    <row r="1763" spans="1:25" x14ac:dyDescent="0.25">
      <c r="A1763" s="23"/>
      <c r="B1763" s="23"/>
      <c r="C1763" s="23"/>
      <c r="F1763" s="201"/>
      <c r="G1763" s="201"/>
      <c r="H1763" s="201"/>
      <c r="I1763" s="201"/>
      <c r="J1763" s="201"/>
      <c r="K1763" s="201"/>
      <c r="L1763" s="201"/>
      <c r="M1763" s="201"/>
      <c r="N1763" s="201"/>
      <c r="O1763" s="201"/>
      <c r="P1763" s="201"/>
    </row>
    <row r="1764" spans="1:25" x14ac:dyDescent="0.25">
      <c r="A1764" s="23"/>
      <c r="B1764" s="23"/>
      <c r="C1764" s="23"/>
    </row>
    <row r="1765" spans="1:25" x14ac:dyDescent="0.25">
      <c r="A1765" s="23"/>
      <c r="B1765" s="23"/>
      <c r="C1765" s="23"/>
    </row>
    <row r="1766" spans="1:25" x14ac:dyDescent="0.25">
      <c r="A1766" s="23"/>
      <c r="B1766" s="23"/>
      <c r="C1766" s="23"/>
      <c r="S1766" s="5"/>
      <c r="T1766" s="5"/>
      <c r="U1766" s="5"/>
      <c r="V1766" s="5"/>
      <c r="W1766" s="5"/>
      <c r="X1766" s="5"/>
      <c r="Y1766" s="5"/>
    </row>
    <row r="1767" spans="1:25" x14ac:dyDescent="0.25">
      <c r="A1767" s="23"/>
      <c r="B1767" s="23"/>
      <c r="C1767" s="23"/>
    </row>
    <row r="1768" spans="1:25" x14ac:dyDescent="0.25">
      <c r="A1768" s="23"/>
      <c r="B1768" s="23"/>
      <c r="C1768" s="23"/>
    </row>
    <row r="1769" spans="1:25" x14ac:dyDescent="0.25">
      <c r="A1769" s="23"/>
      <c r="B1769" s="23"/>
      <c r="C1769" s="23"/>
      <c r="E1769" s="202"/>
      <c r="F1769" s="202"/>
      <c r="G1769" s="202"/>
      <c r="H1769" s="202"/>
      <c r="I1769" s="202"/>
      <c r="J1769" s="202"/>
      <c r="K1769" s="202"/>
      <c r="L1769" s="202"/>
      <c r="M1769" s="202"/>
      <c r="N1769" s="202"/>
      <c r="O1769" s="202"/>
      <c r="P1769" s="202"/>
    </row>
    <row r="1770" spans="1:25" x14ac:dyDescent="0.25">
      <c r="A1770" s="23"/>
      <c r="B1770" s="23"/>
      <c r="C1770" s="23"/>
      <c r="E1770" s="202"/>
      <c r="F1770" s="202"/>
      <c r="G1770" s="202"/>
      <c r="H1770" s="202"/>
      <c r="I1770" s="202"/>
      <c r="J1770" s="202"/>
      <c r="K1770" s="202"/>
      <c r="L1770" s="202"/>
      <c r="M1770" s="202"/>
      <c r="N1770" s="202"/>
      <c r="O1770" s="202"/>
      <c r="P1770" s="202"/>
    </row>
    <row r="1771" spans="1:25" x14ac:dyDescent="0.25">
      <c r="A1771" s="23"/>
      <c r="B1771" s="23"/>
      <c r="C1771" s="23"/>
    </row>
    <row r="1772" spans="1:25" x14ac:dyDescent="0.25">
      <c r="A1772" s="23"/>
      <c r="B1772" s="23"/>
      <c r="C1772" s="23"/>
    </row>
    <row r="1773" spans="1:25" x14ac:dyDescent="0.25">
      <c r="A1773" s="23"/>
      <c r="B1773" s="23"/>
      <c r="C1773" s="23"/>
    </row>
    <row r="1774" spans="1:25" x14ac:dyDescent="0.25">
      <c r="A1774" s="23"/>
      <c r="B1774" s="23"/>
      <c r="C1774" s="23"/>
    </row>
    <row r="1775" spans="1:25" x14ac:dyDescent="0.25">
      <c r="A1775" s="23"/>
      <c r="B1775" s="23"/>
      <c r="C1775" s="23"/>
      <c r="E1775" s="203"/>
      <c r="F1775" s="203"/>
      <c r="G1775" s="203"/>
      <c r="H1775" s="203"/>
      <c r="I1775" s="203"/>
      <c r="J1775" s="203"/>
      <c r="K1775" s="203"/>
      <c r="L1775" s="203"/>
      <c r="M1775" s="203"/>
      <c r="N1775" s="203"/>
      <c r="O1775" s="203"/>
      <c r="P1775" s="203"/>
    </row>
    <row r="1776" spans="1:25" x14ac:dyDescent="0.25">
      <c r="A1776" s="23"/>
      <c r="B1776" s="23"/>
      <c r="C1776" s="23"/>
      <c r="E1776" s="203"/>
      <c r="F1776" s="203"/>
      <c r="G1776" s="203"/>
      <c r="H1776" s="203"/>
      <c r="I1776" s="203"/>
      <c r="J1776" s="203"/>
      <c r="K1776" s="203"/>
      <c r="L1776" s="203"/>
      <c r="M1776" s="203"/>
      <c r="N1776" s="203"/>
      <c r="O1776" s="203"/>
      <c r="P1776" s="203"/>
    </row>
    <row r="1777" spans="1:16" x14ac:dyDescent="0.25">
      <c r="A1777" s="23"/>
      <c r="B1777" s="23"/>
      <c r="C1777" s="23"/>
      <c r="E1777" s="203"/>
      <c r="F1777" s="203"/>
      <c r="G1777" s="203"/>
      <c r="H1777" s="203"/>
      <c r="I1777" s="203"/>
      <c r="J1777" s="203"/>
      <c r="K1777" s="203"/>
      <c r="L1777" s="203"/>
      <c r="M1777" s="203"/>
      <c r="N1777" s="203"/>
      <c r="O1777" s="203"/>
      <c r="P1777" s="203"/>
    </row>
    <row r="1778" spans="1:16" x14ac:dyDescent="0.25">
      <c r="A1778" s="23"/>
      <c r="B1778" s="23"/>
      <c r="C1778" s="23"/>
    </row>
    <row r="1779" spans="1:16" x14ac:dyDescent="0.25">
      <c r="A1779" s="23"/>
      <c r="B1779" s="23"/>
      <c r="C1779" s="23"/>
    </row>
    <row r="1780" spans="1:16" x14ac:dyDescent="0.25">
      <c r="A1780" s="23"/>
      <c r="B1780" s="23"/>
      <c r="C1780" s="23"/>
    </row>
    <row r="1784" spans="1:16" ht="13" x14ac:dyDescent="0.3">
      <c r="B1784" s="187"/>
      <c r="C1784" s="188"/>
      <c r="D1784" s="188"/>
      <c r="E1784" s="188"/>
      <c r="F1784" s="188"/>
      <c r="G1784" s="188"/>
      <c r="H1784" s="188"/>
      <c r="I1784" s="188"/>
    </row>
    <row r="1785" spans="1:16" x14ac:dyDescent="0.25">
      <c r="B1785" s="188"/>
      <c r="C1785" s="188"/>
      <c r="D1785" s="188"/>
      <c r="E1785" s="188"/>
      <c r="F1785" s="188"/>
      <c r="G1785" s="188"/>
      <c r="H1785" s="188"/>
      <c r="I1785" s="188"/>
    </row>
    <row r="1786" spans="1:16" x14ac:dyDescent="0.25">
      <c r="B1786" s="188"/>
      <c r="C1786" s="188"/>
      <c r="D1786" s="188"/>
      <c r="E1786" s="188"/>
      <c r="F1786" s="188"/>
      <c r="G1786" s="188"/>
      <c r="H1786" s="188"/>
      <c r="I1786" s="188"/>
    </row>
    <row r="1787" spans="1:16" ht="13" x14ac:dyDescent="0.3">
      <c r="B1787" s="186"/>
      <c r="C1787" s="188"/>
      <c r="D1787" s="188"/>
      <c r="E1787" s="188"/>
      <c r="F1787" s="188"/>
      <c r="G1787" s="188"/>
      <c r="H1787" s="186"/>
      <c r="I1787" s="188"/>
    </row>
    <row r="1788" spans="1:16" x14ac:dyDescent="0.25">
      <c r="B1788" s="188"/>
      <c r="C1788" s="188"/>
      <c r="D1788" s="188"/>
      <c r="E1788" s="188"/>
      <c r="F1788" s="188"/>
      <c r="G1788" s="188"/>
      <c r="H1788" s="188"/>
      <c r="I1788" s="188"/>
    </row>
    <row r="1789" spans="1:16" x14ac:dyDescent="0.25">
      <c r="B1789" s="188"/>
      <c r="C1789" s="188"/>
      <c r="D1789" s="188"/>
      <c r="E1789" s="188"/>
      <c r="F1789" s="188"/>
      <c r="G1789" s="188"/>
      <c r="H1789" s="188"/>
      <c r="I1789" s="188"/>
    </row>
    <row r="1790" spans="1:16" x14ac:dyDescent="0.25">
      <c r="B1790" s="188"/>
      <c r="C1790" s="188"/>
      <c r="F1790" s="188"/>
      <c r="G1790" s="188"/>
      <c r="H1790" s="188"/>
    </row>
    <row r="1791" spans="1:16" x14ac:dyDescent="0.25">
      <c r="B1791" s="206"/>
      <c r="C1791" s="188"/>
      <c r="D1791" s="188"/>
      <c r="E1791" s="188"/>
      <c r="F1791" s="188"/>
      <c r="G1791" s="188"/>
      <c r="H1791" s="206"/>
      <c r="I1791" s="188"/>
    </row>
    <row r="1792" spans="1:16" x14ac:dyDescent="0.25">
      <c r="B1792" s="188"/>
      <c r="C1792" s="188"/>
      <c r="D1792" s="188"/>
      <c r="E1792" s="188"/>
      <c r="F1792" s="188"/>
      <c r="G1792" s="188"/>
      <c r="H1792" s="188"/>
      <c r="I1792" s="188"/>
    </row>
    <row r="1793" spans="1:18" x14ac:dyDescent="0.25">
      <c r="A1793" s="206"/>
      <c r="B1793" s="206"/>
      <c r="C1793" s="188"/>
      <c r="D1793" s="188"/>
      <c r="E1793" s="188"/>
      <c r="F1793" s="188"/>
      <c r="G1793" s="188"/>
      <c r="H1793" s="188"/>
      <c r="I1793" s="188"/>
    </row>
    <row r="1794" spans="1:18" x14ac:dyDescent="0.25">
      <c r="A1794" s="5"/>
      <c r="B1794" s="5"/>
      <c r="C1794" s="5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5"/>
    </row>
    <row r="1795" spans="1:18" x14ac:dyDescent="0.25">
      <c r="A1795" s="23"/>
      <c r="B1795" s="23"/>
      <c r="C1795" s="23"/>
      <c r="D1795" s="13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</row>
    <row r="1796" spans="1:18" x14ac:dyDescent="0.25">
      <c r="A1796" s="23"/>
      <c r="B1796" s="23"/>
      <c r="C1796" s="23"/>
    </row>
    <row r="1797" spans="1:18" x14ac:dyDescent="0.25">
      <c r="A1797" s="23"/>
      <c r="B1797" s="23"/>
      <c r="C1797" s="23"/>
    </row>
    <row r="1798" spans="1:18" x14ac:dyDescent="0.25">
      <c r="A1798" s="23"/>
      <c r="B1798" s="23"/>
      <c r="C1798" s="23"/>
    </row>
    <row r="1799" spans="1:18" x14ac:dyDescent="0.25">
      <c r="A1799" s="23"/>
      <c r="B1799" s="23"/>
      <c r="C1799" s="23"/>
    </row>
    <row r="1800" spans="1:18" x14ac:dyDescent="0.25">
      <c r="A1800" s="23"/>
      <c r="B1800" s="23"/>
      <c r="C1800" s="23"/>
    </row>
    <row r="1801" spans="1:18" x14ac:dyDescent="0.25">
      <c r="A1801" s="23"/>
      <c r="B1801" s="23"/>
      <c r="C1801" s="23"/>
    </row>
    <row r="1802" spans="1:18" x14ac:dyDescent="0.25">
      <c r="A1802" s="23"/>
      <c r="B1802" s="23"/>
      <c r="C1802" s="23"/>
    </row>
    <row r="1803" spans="1:18" x14ac:dyDescent="0.25">
      <c r="A1803" s="23"/>
      <c r="B1803" s="23"/>
      <c r="C1803" s="23"/>
    </row>
    <row r="1804" spans="1:18" x14ac:dyDescent="0.25">
      <c r="A1804" s="23"/>
      <c r="B1804" s="23"/>
      <c r="C1804" s="23"/>
    </row>
    <row r="1805" spans="1:18" x14ac:dyDescent="0.25">
      <c r="A1805" s="23"/>
      <c r="B1805" s="23"/>
      <c r="C1805" s="23"/>
    </row>
    <row r="1806" spans="1:18" x14ac:dyDescent="0.25">
      <c r="A1806" s="23"/>
      <c r="B1806" s="23"/>
      <c r="C1806" s="23"/>
    </row>
    <row r="1807" spans="1:18" x14ac:dyDescent="0.25">
      <c r="A1807" s="23"/>
      <c r="B1807" s="23"/>
      <c r="C1807" s="23"/>
    </row>
    <row r="1808" spans="1:18" x14ac:dyDescent="0.25">
      <c r="A1808" s="23"/>
      <c r="B1808" s="23"/>
      <c r="C1808" s="23"/>
    </row>
    <row r="1809" spans="1:25" x14ac:dyDescent="0.25">
      <c r="A1809" s="23"/>
      <c r="B1809" s="23"/>
      <c r="C1809" s="23"/>
      <c r="E1809" s="201"/>
      <c r="F1809" s="201"/>
      <c r="G1809" s="201"/>
      <c r="H1809" s="201"/>
      <c r="I1809" s="201"/>
      <c r="J1809" s="201"/>
      <c r="K1809" s="201"/>
      <c r="L1809" s="201"/>
      <c r="M1809" s="201"/>
      <c r="N1809" s="201"/>
      <c r="O1809" s="201"/>
      <c r="P1809" s="201"/>
    </row>
    <row r="1810" spans="1:25" x14ac:dyDescent="0.25">
      <c r="A1810" s="23"/>
      <c r="B1810" s="23"/>
      <c r="C1810" s="23"/>
    </row>
    <row r="1811" spans="1:25" x14ac:dyDescent="0.25">
      <c r="A1811" s="23"/>
      <c r="B1811" s="23"/>
      <c r="C1811" s="23"/>
    </row>
    <row r="1812" spans="1:25" x14ac:dyDescent="0.25">
      <c r="A1812" s="23"/>
      <c r="B1812" s="23"/>
      <c r="C1812" s="23"/>
      <c r="F1812" s="201"/>
      <c r="G1812" s="201"/>
      <c r="H1812" s="201"/>
      <c r="I1812" s="201"/>
      <c r="J1812" s="201"/>
      <c r="K1812" s="201"/>
      <c r="L1812" s="201"/>
      <c r="M1812" s="201"/>
      <c r="N1812" s="201"/>
      <c r="O1812" s="201"/>
      <c r="P1812" s="201"/>
    </row>
    <row r="1813" spans="1:25" x14ac:dyDescent="0.25">
      <c r="A1813" s="23"/>
      <c r="B1813" s="23"/>
      <c r="C1813" s="23"/>
    </row>
    <row r="1814" spans="1:25" x14ac:dyDescent="0.25">
      <c r="A1814" s="23"/>
      <c r="B1814" s="23"/>
      <c r="C1814" s="23"/>
    </row>
    <row r="1815" spans="1:25" x14ac:dyDescent="0.25">
      <c r="A1815" s="23"/>
      <c r="B1815" s="23"/>
      <c r="C1815" s="23"/>
      <c r="S1815" s="5"/>
      <c r="T1815" s="5"/>
      <c r="U1815" s="5"/>
      <c r="V1815" s="5"/>
      <c r="W1815" s="5"/>
      <c r="X1815" s="5"/>
      <c r="Y1815" s="5"/>
    </row>
    <row r="1816" spans="1:25" x14ac:dyDescent="0.25">
      <c r="A1816" s="23"/>
      <c r="B1816" s="23"/>
      <c r="C1816" s="23"/>
    </row>
    <row r="1817" spans="1:25" x14ac:dyDescent="0.25">
      <c r="A1817" s="23"/>
      <c r="B1817" s="23"/>
      <c r="C1817" s="23"/>
    </row>
    <row r="1818" spans="1:25" x14ac:dyDescent="0.25">
      <c r="A1818" s="23"/>
      <c r="B1818" s="23"/>
      <c r="C1818" s="23"/>
      <c r="E1818" s="202"/>
      <c r="F1818" s="202"/>
      <c r="G1818" s="202"/>
      <c r="H1818" s="202"/>
      <c r="I1818" s="202"/>
      <c r="J1818" s="202"/>
      <c r="K1818" s="202"/>
      <c r="L1818" s="202"/>
      <c r="M1818" s="202"/>
      <c r="N1818" s="202"/>
      <c r="O1818" s="202"/>
      <c r="P1818" s="202"/>
    </row>
    <row r="1819" spans="1:25" x14ac:dyDescent="0.25">
      <c r="A1819" s="23"/>
      <c r="B1819" s="23"/>
      <c r="C1819" s="23"/>
      <c r="E1819" s="202"/>
      <c r="F1819" s="202"/>
      <c r="G1819" s="202"/>
      <c r="H1819" s="202"/>
      <c r="I1819" s="202"/>
      <c r="J1819" s="202"/>
      <c r="K1819" s="202"/>
      <c r="L1819" s="202"/>
      <c r="M1819" s="202"/>
      <c r="N1819" s="202"/>
      <c r="O1819" s="202"/>
      <c r="P1819" s="202"/>
    </row>
    <row r="1820" spans="1:25" x14ac:dyDescent="0.25">
      <c r="A1820" s="23"/>
      <c r="B1820" s="23"/>
      <c r="C1820" s="23"/>
    </row>
    <row r="1821" spans="1:25" x14ac:dyDescent="0.25">
      <c r="A1821" s="23"/>
      <c r="B1821" s="23"/>
      <c r="C1821" s="23"/>
    </row>
    <row r="1822" spans="1:25" x14ac:dyDescent="0.25">
      <c r="A1822" s="23"/>
      <c r="B1822" s="23"/>
      <c r="C1822" s="23"/>
    </row>
    <row r="1823" spans="1:25" x14ac:dyDescent="0.25">
      <c r="A1823" s="23"/>
      <c r="B1823" s="23"/>
      <c r="C1823" s="23"/>
    </row>
    <row r="1824" spans="1:25" x14ac:dyDescent="0.25">
      <c r="A1824" s="23"/>
      <c r="B1824" s="23"/>
      <c r="C1824" s="23"/>
      <c r="E1824" s="203"/>
      <c r="F1824" s="203"/>
      <c r="G1824" s="203"/>
      <c r="H1824" s="203"/>
      <c r="I1824" s="203"/>
      <c r="J1824" s="203"/>
      <c r="K1824" s="203"/>
      <c r="L1824" s="203"/>
      <c r="M1824" s="203"/>
      <c r="N1824" s="203"/>
      <c r="O1824" s="203"/>
      <c r="P1824" s="203"/>
    </row>
    <row r="1825" spans="1:16" x14ac:dyDescent="0.25">
      <c r="A1825" s="23"/>
      <c r="B1825" s="23"/>
      <c r="C1825" s="23"/>
      <c r="E1825" s="203"/>
      <c r="F1825" s="203"/>
      <c r="G1825" s="203"/>
      <c r="H1825" s="203"/>
      <c r="I1825" s="203"/>
      <c r="J1825" s="203"/>
      <c r="K1825" s="203"/>
      <c r="L1825" s="203"/>
      <c r="M1825" s="203"/>
      <c r="N1825" s="203"/>
      <c r="O1825" s="203"/>
      <c r="P1825" s="203"/>
    </row>
    <row r="1826" spans="1:16" x14ac:dyDescent="0.25">
      <c r="A1826" s="23"/>
      <c r="B1826" s="23"/>
      <c r="C1826" s="23"/>
      <c r="E1826" s="203"/>
      <c r="F1826" s="203"/>
      <c r="G1826" s="203"/>
      <c r="H1826" s="203"/>
      <c r="I1826" s="203"/>
      <c r="J1826" s="203"/>
      <c r="K1826" s="203"/>
      <c r="L1826" s="203"/>
      <c r="M1826" s="203"/>
      <c r="N1826" s="203"/>
      <c r="O1826" s="203"/>
      <c r="P1826" s="203"/>
    </row>
    <row r="1827" spans="1:16" x14ac:dyDescent="0.25">
      <c r="A1827" s="23"/>
      <c r="B1827" s="23"/>
      <c r="C1827" s="23"/>
    </row>
    <row r="1828" spans="1:16" x14ac:dyDescent="0.25">
      <c r="A1828" s="23"/>
      <c r="B1828" s="23"/>
      <c r="C1828" s="23"/>
    </row>
    <row r="1829" spans="1:16" x14ac:dyDescent="0.25">
      <c r="A1829" s="23"/>
      <c r="B1829" s="23"/>
      <c r="C1829" s="23"/>
    </row>
    <row r="1834" spans="1:16" ht="13" x14ac:dyDescent="0.3">
      <c r="B1834" s="187"/>
      <c r="C1834" s="188"/>
      <c r="D1834" s="188"/>
      <c r="E1834" s="188"/>
      <c r="F1834" s="188"/>
      <c r="G1834" s="188"/>
      <c r="H1834" s="187"/>
      <c r="I1834" s="188"/>
    </row>
    <row r="1835" spans="1:16" x14ac:dyDescent="0.25">
      <c r="B1835" s="188"/>
      <c r="C1835" s="188"/>
      <c r="D1835" s="188"/>
      <c r="E1835" s="188"/>
      <c r="F1835" s="188"/>
      <c r="G1835" s="188"/>
      <c r="H1835" s="188"/>
      <c r="I1835" s="188"/>
    </row>
    <row r="1836" spans="1:16" x14ac:dyDescent="0.25">
      <c r="B1836" s="188"/>
      <c r="C1836" s="188"/>
      <c r="D1836" s="188"/>
      <c r="E1836" s="188"/>
      <c r="F1836" s="188"/>
      <c r="G1836" s="188"/>
      <c r="H1836" s="188"/>
      <c r="I1836" s="188"/>
    </row>
    <row r="1837" spans="1:16" ht="13" x14ac:dyDescent="0.3">
      <c r="B1837" s="186"/>
      <c r="C1837" s="188"/>
      <c r="D1837" s="188"/>
      <c r="E1837" s="188"/>
      <c r="F1837" s="188"/>
      <c r="G1837" s="188"/>
      <c r="H1837" s="186"/>
      <c r="I1837" s="188"/>
    </row>
    <row r="1838" spans="1:16" x14ac:dyDescent="0.25">
      <c r="B1838" s="188"/>
      <c r="C1838" s="188"/>
      <c r="D1838" s="188"/>
      <c r="E1838" s="188"/>
      <c r="F1838" s="188"/>
      <c r="G1838" s="188"/>
      <c r="H1838" s="188"/>
      <c r="I1838" s="188"/>
    </row>
    <row r="1839" spans="1:16" x14ac:dyDescent="0.25">
      <c r="B1839" s="188"/>
      <c r="C1839" s="188"/>
      <c r="D1839" s="188"/>
      <c r="E1839" s="188"/>
      <c r="F1839" s="188"/>
      <c r="G1839" s="188"/>
      <c r="H1839" s="188"/>
      <c r="I1839" s="188"/>
    </row>
    <row r="1840" spans="1:16" x14ac:dyDescent="0.25">
      <c r="B1840" s="188"/>
      <c r="C1840" s="188"/>
      <c r="F1840" s="188"/>
      <c r="G1840" s="188"/>
      <c r="H1840" s="188"/>
    </row>
    <row r="1841" spans="1:18" x14ac:dyDescent="0.25">
      <c r="B1841" s="206"/>
      <c r="C1841" s="188"/>
      <c r="D1841" s="188"/>
      <c r="E1841" s="188"/>
      <c r="F1841" s="188"/>
      <c r="G1841" s="188"/>
      <c r="H1841" s="206"/>
      <c r="I1841" s="188"/>
    </row>
    <row r="1842" spans="1:18" x14ac:dyDescent="0.25">
      <c r="B1842" s="188"/>
      <c r="C1842" s="188"/>
      <c r="D1842" s="188"/>
      <c r="E1842" s="188"/>
      <c r="F1842" s="188"/>
      <c r="G1842" s="188"/>
      <c r="H1842" s="188"/>
      <c r="I1842" s="188"/>
    </row>
    <row r="1843" spans="1:18" x14ac:dyDescent="0.25">
      <c r="A1843" s="206"/>
      <c r="B1843" s="206"/>
      <c r="C1843" s="188"/>
      <c r="D1843" s="188"/>
      <c r="E1843" s="188"/>
      <c r="F1843" s="188"/>
      <c r="G1843" s="188"/>
      <c r="H1843" s="188"/>
      <c r="I1843" s="188"/>
    </row>
    <row r="1844" spans="1:18" x14ac:dyDescent="0.25">
      <c r="A1844" s="5"/>
      <c r="B1844" s="5"/>
      <c r="C1844" s="5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5"/>
    </row>
    <row r="1845" spans="1:18" x14ac:dyDescent="0.25">
      <c r="A1845" s="23"/>
      <c r="B1845" s="23"/>
      <c r="C1845" s="23"/>
      <c r="D1845" s="13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</row>
    <row r="1846" spans="1:18" x14ac:dyDescent="0.25">
      <c r="A1846" s="23"/>
      <c r="B1846" s="23"/>
      <c r="C1846" s="23"/>
    </row>
    <row r="1847" spans="1:18" x14ac:dyDescent="0.25">
      <c r="A1847" s="23"/>
      <c r="B1847" s="23"/>
      <c r="C1847" s="23"/>
    </row>
    <row r="1848" spans="1:18" x14ac:dyDescent="0.25">
      <c r="A1848" s="23"/>
      <c r="B1848" s="23"/>
      <c r="C1848" s="23"/>
    </row>
    <row r="1849" spans="1:18" x14ac:dyDescent="0.25">
      <c r="A1849" s="23"/>
      <c r="B1849" s="23"/>
      <c r="C1849" s="23"/>
    </row>
    <row r="1850" spans="1:18" x14ac:dyDescent="0.25">
      <c r="A1850" s="23"/>
      <c r="B1850" s="23"/>
      <c r="C1850" s="23"/>
    </row>
    <row r="1851" spans="1:18" x14ac:dyDescent="0.25">
      <c r="A1851" s="23"/>
      <c r="B1851" s="23"/>
      <c r="C1851" s="23"/>
    </row>
    <row r="1852" spans="1:18" x14ac:dyDescent="0.25">
      <c r="A1852" s="23"/>
      <c r="B1852" s="23"/>
      <c r="C1852" s="23"/>
    </row>
    <row r="1853" spans="1:18" x14ac:dyDescent="0.25">
      <c r="A1853" s="23"/>
      <c r="B1853" s="23"/>
      <c r="C1853" s="23"/>
    </row>
    <row r="1854" spans="1:18" x14ac:dyDescent="0.25">
      <c r="A1854" s="23"/>
      <c r="B1854" s="23"/>
      <c r="C1854" s="23"/>
    </row>
    <row r="1855" spans="1:18" x14ac:dyDescent="0.25">
      <c r="A1855" s="23"/>
      <c r="B1855" s="23"/>
      <c r="C1855" s="23"/>
    </row>
    <row r="1856" spans="1:18" x14ac:dyDescent="0.25">
      <c r="A1856" s="23"/>
      <c r="B1856" s="23"/>
      <c r="C1856" s="23"/>
    </row>
    <row r="1857" spans="1:25" x14ac:dyDescent="0.25">
      <c r="A1857" s="23"/>
      <c r="B1857" s="23"/>
      <c r="C1857" s="23"/>
    </row>
    <row r="1858" spans="1:25" x14ac:dyDescent="0.25">
      <c r="A1858" s="23"/>
      <c r="B1858" s="23"/>
      <c r="C1858" s="23"/>
    </row>
    <row r="1859" spans="1:25" x14ac:dyDescent="0.25">
      <c r="A1859" s="23"/>
      <c r="B1859" s="23"/>
      <c r="C1859" s="23"/>
      <c r="E1859" s="201"/>
      <c r="F1859" s="201"/>
      <c r="G1859" s="201"/>
      <c r="H1859" s="201"/>
      <c r="I1859" s="201"/>
      <c r="J1859" s="201"/>
      <c r="K1859" s="201"/>
      <c r="L1859" s="201"/>
      <c r="M1859" s="201"/>
      <c r="N1859" s="201"/>
      <c r="O1859" s="201"/>
      <c r="P1859" s="201"/>
    </row>
    <row r="1860" spans="1:25" x14ac:dyDescent="0.25">
      <c r="A1860" s="23"/>
      <c r="B1860" s="23"/>
      <c r="C1860" s="23"/>
    </row>
    <row r="1861" spans="1:25" x14ac:dyDescent="0.25">
      <c r="A1861" s="23"/>
      <c r="B1861" s="23"/>
      <c r="C1861" s="23"/>
    </row>
    <row r="1862" spans="1:25" x14ac:dyDescent="0.25">
      <c r="A1862" s="23"/>
      <c r="B1862" s="23"/>
      <c r="C1862" s="23"/>
      <c r="F1862" s="201"/>
      <c r="G1862" s="201"/>
      <c r="H1862" s="201"/>
      <c r="I1862" s="201"/>
      <c r="J1862" s="201"/>
      <c r="K1862" s="201"/>
      <c r="L1862" s="201"/>
      <c r="M1862" s="201"/>
      <c r="N1862" s="201"/>
      <c r="O1862" s="201"/>
      <c r="P1862" s="201"/>
    </row>
    <row r="1863" spans="1:25" x14ac:dyDescent="0.25">
      <c r="A1863" s="23"/>
      <c r="B1863" s="23"/>
      <c r="C1863" s="23"/>
    </row>
    <row r="1864" spans="1:25" x14ac:dyDescent="0.25">
      <c r="A1864" s="23"/>
      <c r="B1864" s="23"/>
      <c r="C1864" s="23"/>
    </row>
    <row r="1865" spans="1:25" x14ac:dyDescent="0.25">
      <c r="A1865" s="23"/>
      <c r="B1865" s="23"/>
      <c r="C1865" s="23"/>
      <c r="S1865" s="5"/>
      <c r="T1865" s="5"/>
      <c r="U1865" s="5"/>
      <c r="V1865" s="5"/>
      <c r="W1865" s="5"/>
      <c r="X1865" s="5"/>
      <c r="Y1865" s="5"/>
    </row>
    <row r="1866" spans="1:25" x14ac:dyDescent="0.25">
      <c r="A1866" s="23"/>
      <c r="B1866" s="23"/>
      <c r="C1866" s="23"/>
    </row>
    <row r="1867" spans="1:25" x14ac:dyDescent="0.25">
      <c r="A1867" s="23"/>
      <c r="B1867" s="23"/>
      <c r="C1867" s="23"/>
    </row>
    <row r="1868" spans="1:25" x14ac:dyDescent="0.25">
      <c r="A1868" s="23"/>
      <c r="B1868" s="23"/>
      <c r="C1868" s="23"/>
      <c r="E1868" s="202"/>
      <c r="F1868" s="202"/>
      <c r="G1868" s="202"/>
      <c r="H1868" s="202"/>
      <c r="I1868" s="202"/>
      <c r="J1868" s="202"/>
      <c r="K1868" s="202"/>
      <c r="L1868" s="202"/>
      <c r="M1868" s="202"/>
      <c r="N1868" s="202"/>
      <c r="O1868" s="202"/>
      <c r="P1868" s="202"/>
    </row>
    <row r="1869" spans="1:25" x14ac:dyDescent="0.25">
      <c r="A1869" s="23"/>
      <c r="B1869" s="23"/>
      <c r="C1869" s="23"/>
      <c r="E1869" s="202"/>
      <c r="F1869" s="202"/>
      <c r="G1869" s="202"/>
      <c r="H1869" s="202"/>
      <c r="I1869" s="202"/>
      <c r="J1869" s="202"/>
      <c r="K1869" s="202"/>
      <c r="L1869" s="202"/>
      <c r="M1869" s="202"/>
      <c r="N1869" s="202"/>
      <c r="O1869" s="202"/>
      <c r="P1869" s="202"/>
    </row>
    <row r="1870" spans="1:25" x14ac:dyDescent="0.25">
      <c r="A1870" s="23"/>
      <c r="B1870" s="23"/>
      <c r="C1870" s="23"/>
    </row>
    <row r="1871" spans="1:25" x14ac:dyDescent="0.25">
      <c r="A1871" s="23"/>
      <c r="B1871" s="23"/>
      <c r="C1871" s="23"/>
    </row>
    <row r="1872" spans="1:25" x14ac:dyDescent="0.25">
      <c r="A1872" s="23"/>
      <c r="B1872" s="23"/>
      <c r="C1872" s="23"/>
    </row>
    <row r="1873" spans="1:16" x14ac:dyDescent="0.25">
      <c r="A1873" s="23"/>
      <c r="B1873" s="23"/>
      <c r="C1873" s="23"/>
    </row>
    <row r="1874" spans="1:16" x14ac:dyDescent="0.25">
      <c r="A1874" s="23"/>
      <c r="B1874" s="23"/>
      <c r="C1874" s="23"/>
      <c r="E1874" s="203"/>
      <c r="F1874" s="203"/>
      <c r="G1874" s="203"/>
      <c r="H1874" s="203"/>
      <c r="I1874" s="203"/>
      <c r="J1874" s="203"/>
      <c r="K1874" s="203"/>
      <c r="L1874" s="203"/>
      <c r="M1874" s="203"/>
      <c r="N1874" s="203"/>
      <c r="O1874" s="203"/>
      <c r="P1874" s="203"/>
    </row>
    <row r="1875" spans="1:16" x14ac:dyDescent="0.25">
      <c r="A1875" s="23"/>
      <c r="B1875" s="23"/>
      <c r="C1875" s="23"/>
      <c r="E1875" s="203"/>
      <c r="F1875" s="203"/>
      <c r="G1875" s="203"/>
      <c r="H1875" s="203"/>
      <c r="I1875" s="203"/>
      <c r="J1875" s="203"/>
      <c r="K1875" s="203"/>
      <c r="L1875" s="203"/>
      <c r="M1875" s="203"/>
      <c r="N1875" s="203"/>
      <c r="O1875" s="203"/>
      <c r="P1875" s="203"/>
    </row>
    <row r="1876" spans="1:16" x14ac:dyDescent="0.25">
      <c r="A1876" s="23"/>
      <c r="B1876" s="23"/>
      <c r="C1876" s="23"/>
      <c r="E1876" s="203"/>
      <c r="F1876" s="203"/>
      <c r="G1876" s="203"/>
      <c r="H1876" s="203"/>
      <c r="I1876" s="203"/>
      <c r="J1876" s="203"/>
      <c r="K1876" s="203"/>
      <c r="L1876" s="203"/>
      <c r="M1876" s="203"/>
      <c r="N1876" s="203"/>
      <c r="O1876" s="203"/>
      <c r="P1876" s="203"/>
    </row>
    <row r="1877" spans="1:16" x14ac:dyDescent="0.25">
      <c r="A1877" s="23"/>
      <c r="B1877" s="23"/>
      <c r="C1877" s="23"/>
    </row>
    <row r="1878" spans="1:16" x14ac:dyDescent="0.25">
      <c r="A1878" s="23"/>
      <c r="B1878" s="23"/>
      <c r="C1878" s="23"/>
    </row>
    <row r="1879" spans="1:16" x14ac:dyDescent="0.25">
      <c r="A1879" s="23"/>
      <c r="B1879" s="23"/>
      <c r="C1879" s="23"/>
    </row>
    <row r="1885" spans="1:16" ht="13" x14ac:dyDescent="0.3">
      <c r="B1885" s="187"/>
      <c r="C1885" s="188"/>
      <c r="D1885" s="188"/>
      <c r="E1885" s="188"/>
      <c r="F1885" s="188"/>
      <c r="G1885" s="188"/>
      <c r="H1885" s="187"/>
      <c r="I1885" s="188"/>
    </row>
    <row r="1886" spans="1:16" x14ac:dyDescent="0.25">
      <c r="B1886" s="188"/>
      <c r="C1886" s="188"/>
      <c r="D1886" s="188"/>
      <c r="E1886" s="188"/>
      <c r="F1886" s="188"/>
      <c r="G1886" s="188"/>
      <c r="H1886" s="188"/>
      <c r="I1886" s="188"/>
    </row>
    <row r="1887" spans="1:16" x14ac:dyDescent="0.25">
      <c r="B1887" s="188"/>
      <c r="C1887" s="188"/>
      <c r="D1887" s="188"/>
      <c r="E1887" s="188"/>
      <c r="F1887" s="188"/>
      <c r="G1887" s="188"/>
      <c r="H1887" s="188"/>
      <c r="I1887" s="188"/>
    </row>
    <row r="1888" spans="1:16" ht="13" x14ac:dyDescent="0.3">
      <c r="B1888" s="186"/>
      <c r="C1888" s="188"/>
      <c r="D1888" s="188"/>
      <c r="E1888" s="188"/>
      <c r="F1888" s="188"/>
      <c r="G1888" s="188"/>
      <c r="H1888" s="186"/>
      <c r="I1888" s="188"/>
    </row>
    <row r="1889" spans="1:18" x14ac:dyDescent="0.25">
      <c r="B1889" s="188"/>
      <c r="C1889" s="188"/>
      <c r="D1889" s="188"/>
      <c r="E1889" s="188"/>
      <c r="F1889" s="188"/>
      <c r="G1889" s="188"/>
      <c r="H1889" s="188"/>
      <c r="I1889" s="188"/>
    </row>
    <row r="1890" spans="1:18" x14ac:dyDescent="0.25">
      <c r="B1890" s="188"/>
      <c r="C1890" s="188"/>
      <c r="D1890" s="188"/>
      <c r="E1890" s="188"/>
      <c r="F1890" s="188"/>
      <c r="G1890" s="188"/>
      <c r="H1890" s="188"/>
      <c r="I1890" s="188"/>
    </row>
    <row r="1891" spans="1:18" x14ac:dyDescent="0.25">
      <c r="B1891" s="188"/>
      <c r="C1891" s="188"/>
      <c r="F1891" s="188"/>
      <c r="G1891" s="188"/>
      <c r="H1891" s="188"/>
    </row>
    <row r="1892" spans="1:18" x14ac:dyDescent="0.25">
      <c r="B1892" s="206"/>
      <c r="C1892" s="188"/>
      <c r="D1892" s="188"/>
      <c r="E1892" s="188"/>
      <c r="F1892" s="188"/>
      <c r="G1892" s="188"/>
      <c r="H1892" s="206"/>
      <c r="I1892" s="188"/>
    </row>
    <row r="1893" spans="1:18" x14ac:dyDescent="0.25">
      <c r="B1893" s="188"/>
      <c r="C1893" s="188"/>
      <c r="D1893" s="188"/>
      <c r="E1893" s="188"/>
      <c r="F1893" s="188"/>
      <c r="G1893" s="188"/>
      <c r="H1893" s="188"/>
      <c r="I1893" s="188"/>
    </row>
    <row r="1894" spans="1:18" x14ac:dyDescent="0.25">
      <c r="A1894" s="206"/>
      <c r="B1894" s="206"/>
      <c r="C1894" s="188"/>
      <c r="D1894" s="188"/>
      <c r="E1894" s="188"/>
      <c r="F1894" s="188"/>
      <c r="G1894" s="188"/>
      <c r="H1894" s="188"/>
      <c r="I1894" s="188"/>
    </row>
    <row r="1895" spans="1:18" x14ac:dyDescent="0.25">
      <c r="A1895" s="5"/>
      <c r="B1895" s="5"/>
      <c r="C1895" s="5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5"/>
    </row>
    <row r="1896" spans="1:18" x14ac:dyDescent="0.25">
      <c r="A1896" s="23"/>
      <c r="B1896" s="23"/>
      <c r="C1896" s="23"/>
      <c r="D1896" s="13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</row>
    <row r="1897" spans="1:18" x14ac:dyDescent="0.25">
      <c r="A1897" s="23"/>
      <c r="B1897" s="23"/>
      <c r="C1897" s="23"/>
    </row>
    <row r="1898" spans="1:18" x14ac:dyDescent="0.25">
      <c r="A1898" s="23"/>
      <c r="B1898" s="23"/>
      <c r="C1898" s="23"/>
    </row>
    <row r="1899" spans="1:18" x14ac:dyDescent="0.25">
      <c r="A1899" s="23"/>
      <c r="B1899" s="23"/>
      <c r="C1899" s="23"/>
    </row>
    <row r="1900" spans="1:18" x14ac:dyDescent="0.25">
      <c r="A1900" s="23"/>
      <c r="B1900" s="23"/>
      <c r="C1900" s="23"/>
    </row>
    <row r="1901" spans="1:18" x14ac:dyDescent="0.25">
      <c r="A1901" s="23"/>
      <c r="B1901" s="23"/>
      <c r="C1901" s="23"/>
    </row>
    <row r="1902" spans="1:18" x14ac:dyDescent="0.25">
      <c r="A1902" s="23"/>
      <c r="B1902" s="23"/>
      <c r="C1902" s="23"/>
    </row>
    <row r="1903" spans="1:18" x14ac:dyDescent="0.25">
      <c r="A1903" s="23"/>
      <c r="B1903" s="23"/>
      <c r="C1903" s="23"/>
    </row>
    <row r="1904" spans="1:18" x14ac:dyDescent="0.25">
      <c r="A1904" s="23"/>
      <c r="B1904" s="23"/>
      <c r="C1904" s="23"/>
    </row>
    <row r="1905" spans="1:25" x14ac:dyDescent="0.25">
      <c r="A1905" s="23"/>
      <c r="B1905" s="23"/>
      <c r="C1905" s="23"/>
    </row>
    <row r="1906" spans="1:25" x14ac:dyDescent="0.25">
      <c r="A1906" s="23"/>
      <c r="B1906" s="23"/>
      <c r="C1906" s="23"/>
    </row>
    <row r="1907" spans="1:25" x14ac:dyDescent="0.25">
      <c r="A1907" s="23"/>
      <c r="B1907" s="23"/>
      <c r="C1907" s="23"/>
    </row>
    <row r="1908" spans="1:25" x14ac:dyDescent="0.25">
      <c r="A1908" s="23"/>
      <c r="B1908" s="23"/>
      <c r="C1908" s="23"/>
    </row>
    <row r="1909" spans="1:25" x14ac:dyDescent="0.25">
      <c r="A1909" s="23"/>
      <c r="B1909" s="23"/>
      <c r="C1909" s="23"/>
    </row>
    <row r="1910" spans="1:25" x14ac:dyDescent="0.25">
      <c r="A1910" s="23"/>
      <c r="B1910" s="23"/>
      <c r="C1910" s="23"/>
      <c r="E1910" s="201"/>
      <c r="F1910" s="201"/>
      <c r="G1910" s="201"/>
      <c r="H1910" s="201"/>
      <c r="I1910" s="201"/>
      <c r="J1910" s="201"/>
      <c r="K1910" s="201"/>
      <c r="L1910" s="201"/>
      <c r="M1910" s="201"/>
      <c r="N1910" s="201"/>
      <c r="O1910" s="201"/>
      <c r="P1910" s="201"/>
    </row>
    <row r="1911" spans="1:25" x14ac:dyDescent="0.25">
      <c r="A1911" s="23"/>
      <c r="B1911" s="23"/>
      <c r="C1911" s="23"/>
    </row>
    <row r="1912" spans="1:25" x14ac:dyDescent="0.25">
      <c r="A1912" s="23"/>
      <c r="B1912" s="23"/>
      <c r="C1912" s="23"/>
    </row>
    <row r="1913" spans="1:25" x14ac:dyDescent="0.25">
      <c r="A1913" s="23"/>
      <c r="B1913" s="23"/>
      <c r="C1913" s="23"/>
      <c r="F1913" s="201"/>
      <c r="G1913" s="201"/>
      <c r="H1913" s="201"/>
      <c r="I1913" s="201"/>
      <c r="J1913" s="201"/>
      <c r="K1913" s="201"/>
      <c r="L1913" s="201"/>
      <c r="M1913" s="201"/>
      <c r="N1913" s="201"/>
      <c r="O1913" s="201"/>
      <c r="P1913" s="201"/>
    </row>
    <row r="1914" spans="1:25" x14ac:dyDescent="0.25">
      <c r="A1914" s="23"/>
      <c r="B1914" s="23"/>
      <c r="C1914" s="23"/>
    </row>
    <row r="1915" spans="1:25" x14ac:dyDescent="0.25">
      <c r="A1915" s="23"/>
      <c r="B1915" s="23"/>
      <c r="C1915" s="23"/>
    </row>
    <row r="1916" spans="1:25" x14ac:dyDescent="0.25">
      <c r="A1916" s="23"/>
      <c r="B1916" s="23"/>
      <c r="C1916" s="23"/>
      <c r="S1916" s="5"/>
      <c r="T1916" s="5"/>
      <c r="U1916" s="5"/>
      <c r="V1916" s="5"/>
      <c r="W1916" s="5"/>
      <c r="X1916" s="5"/>
      <c r="Y1916" s="5"/>
    </row>
    <row r="1917" spans="1:25" x14ac:dyDescent="0.25">
      <c r="A1917" s="23"/>
      <c r="B1917" s="23"/>
      <c r="C1917" s="23"/>
    </row>
    <row r="1918" spans="1:25" x14ac:dyDescent="0.25">
      <c r="A1918" s="23"/>
      <c r="B1918" s="23"/>
      <c r="C1918" s="23"/>
    </row>
    <row r="1919" spans="1:25" x14ac:dyDescent="0.25">
      <c r="A1919" s="23"/>
      <c r="B1919" s="23"/>
      <c r="C1919" s="23"/>
      <c r="E1919" s="202"/>
      <c r="F1919" s="202"/>
      <c r="G1919" s="202"/>
      <c r="H1919" s="202"/>
      <c r="I1919" s="202"/>
      <c r="J1919" s="202"/>
      <c r="K1919" s="202"/>
      <c r="L1919" s="202"/>
      <c r="M1919" s="202"/>
      <c r="N1919" s="202"/>
      <c r="O1919" s="202"/>
      <c r="P1919" s="202"/>
    </row>
    <row r="1920" spans="1:25" x14ac:dyDescent="0.25">
      <c r="A1920" s="23"/>
      <c r="B1920" s="23"/>
      <c r="C1920" s="23"/>
      <c r="E1920" s="202"/>
      <c r="F1920" s="202"/>
      <c r="G1920" s="202"/>
      <c r="H1920" s="202"/>
      <c r="I1920" s="202"/>
      <c r="J1920" s="202"/>
      <c r="K1920" s="202"/>
      <c r="L1920" s="202"/>
      <c r="M1920" s="202"/>
      <c r="N1920" s="202"/>
      <c r="O1920" s="202"/>
      <c r="P1920" s="202"/>
    </row>
    <row r="1921" spans="1:16" x14ac:dyDescent="0.25">
      <c r="A1921" s="23"/>
      <c r="B1921" s="23"/>
      <c r="C1921" s="23"/>
    </row>
    <row r="1922" spans="1:16" x14ac:dyDescent="0.25">
      <c r="A1922" s="23"/>
      <c r="B1922" s="23"/>
      <c r="C1922" s="23"/>
    </row>
    <row r="1923" spans="1:16" x14ac:dyDescent="0.25">
      <c r="A1923" s="23"/>
      <c r="B1923" s="23"/>
      <c r="C1923" s="23"/>
    </row>
    <row r="1924" spans="1:16" x14ac:dyDescent="0.25">
      <c r="A1924" s="23"/>
      <c r="B1924" s="23"/>
      <c r="C1924" s="23"/>
    </row>
    <row r="1925" spans="1:16" x14ac:dyDescent="0.25">
      <c r="A1925" s="23"/>
      <c r="B1925" s="23"/>
      <c r="C1925" s="23"/>
      <c r="E1925" s="203"/>
      <c r="F1925" s="203"/>
      <c r="G1925" s="203"/>
      <c r="H1925" s="203"/>
      <c r="I1925" s="203"/>
      <c r="J1925" s="203"/>
      <c r="K1925" s="203"/>
      <c r="L1925" s="203"/>
      <c r="M1925" s="203"/>
      <c r="N1925" s="203"/>
      <c r="O1925" s="203"/>
      <c r="P1925" s="203"/>
    </row>
    <row r="1926" spans="1:16" x14ac:dyDescent="0.25">
      <c r="A1926" s="23"/>
      <c r="B1926" s="23"/>
      <c r="C1926" s="23"/>
      <c r="E1926" s="203"/>
      <c r="F1926" s="203"/>
      <c r="G1926" s="203"/>
      <c r="H1926" s="203"/>
      <c r="I1926" s="203"/>
      <c r="J1926" s="203"/>
      <c r="K1926" s="203"/>
      <c r="L1926" s="203"/>
      <c r="M1926" s="203"/>
      <c r="N1926" s="203"/>
      <c r="O1926" s="203"/>
      <c r="P1926" s="203"/>
    </row>
    <row r="1927" spans="1:16" x14ac:dyDescent="0.25">
      <c r="A1927" s="23"/>
      <c r="B1927" s="23"/>
      <c r="C1927" s="23"/>
      <c r="E1927" s="203"/>
      <c r="F1927" s="203"/>
      <c r="G1927" s="203"/>
      <c r="H1927" s="203"/>
      <c r="I1927" s="203"/>
      <c r="J1927" s="203"/>
      <c r="K1927" s="203"/>
      <c r="L1927" s="203"/>
      <c r="M1927" s="203"/>
      <c r="N1927" s="203"/>
      <c r="O1927" s="203"/>
      <c r="P1927" s="203"/>
    </row>
    <row r="1928" spans="1:16" x14ac:dyDescent="0.25">
      <c r="A1928" s="23"/>
      <c r="B1928" s="23"/>
      <c r="C1928" s="23"/>
    </row>
    <row r="1929" spans="1:16" x14ac:dyDescent="0.25">
      <c r="A1929" s="23"/>
      <c r="B1929" s="23"/>
      <c r="C1929" s="23"/>
    </row>
    <row r="1930" spans="1:16" x14ac:dyDescent="0.25">
      <c r="A1930" s="23"/>
      <c r="B1930" s="23"/>
      <c r="C1930" s="23"/>
    </row>
    <row r="1934" spans="1:16" ht="13" x14ac:dyDescent="0.3">
      <c r="B1934" s="187"/>
      <c r="C1934" s="188"/>
      <c r="D1934" s="188"/>
      <c r="E1934" s="188"/>
      <c r="F1934" s="188"/>
      <c r="G1934" s="188"/>
      <c r="H1934" s="187"/>
      <c r="I1934" s="188"/>
    </row>
    <row r="1935" spans="1:16" x14ac:dyDescent="0.25">
      <c r="B1935" s="188"/>
      <c r="C1935" s="188"/>
      <c r="D1935" s="188"/>
      <c r="E1935" s="188"/>
      <c r="F1935" s="188"/>
      <c r="G1935" s="188"/>
      <c r="H1935" s="188"/>
      <c r="I1935" s="188"/>
    </row>
    <row r="1936" spans="1:16" x14ac:dyDescent="0.25">
      <c r="B1936" s="188"/>
      <c r="C1936" s="188"/>
      <c r="D1936" s="188"/>
      <c r="E1936" s="188"/>
      <c r="F1936" s="188"/>
      <c r="G1936" s="188"/>
      <c r="H1936" s="188"/>
      <c r="I1936" s="188"/>
    </row>
    <row r="1937" spans="1:18" ht="13" x14ac:dyDescent="0.3">
      <c r="B1937" s="186"/>
      <c r="C1937" s="188"/>
      <c r="D1937" s="188"/>
      <c r="E1937" s="188"/>
      <c r="F1937" s="188"/>
      <c r="G1937" s="188"/>
      <c r="H1937" s="186"/>
      <c r="I1937" s="188"/>
    </row>
    <row r="1938" spans="1:18" x14ac:dyDescent="0.25">
      <c r="B1938" s="188"/>
      <c r="C1938" s="188"/>
      <c r="D1938" s="188"/>
      <c r="E1938" s="188"/>
      <c r="F1938" s="188"/>
      <c r="G1938" s="188"/>
      <c r="H1938" s="188"/>
      <c r="I1938" s="188"/>
    </row>
    <row r="1939" spans="1:18" x14ac:dyDescent="0.25">
      <c r="B1939" s="188"/>
      <c r="C1939" s="188"/>
      <c r="D1939" s="188"/>
      <c r="E1939" s="188"/>
      <c r="F1939" s="188"/>
      <c r="G1939" s="188"/>
      <c r="H1939" s="188"/>
      <c r="I1939" s="188"/>
    </row>
    <row r="1940" spans="1:18" x14ac:dyDescent="0.25">
      <c r="B1940" s="188"/>
      <c r="C1940" s="188"/>
      <c r="F1940" s="188"/>
      <c r="G1940" s="188"/>
      <c r="H1940" s="188"/>
    </row>
    <row r="1941" spans="1:18" x14ac:dyDescent="0.25">
      <c r="B1941" s="206"/>
      <c r="C1941" s="188"/>
      <c r="D1941" s="188"/>
      <c r="E1941" s="188"/>
      <c r="F1941" s="188"/>
      <c r="G1941" s="188"/>
      <c r="H1941" s="206"/>
      <c r="I1941" s="188"/>
    </row>
    <row r="1942" spans="1:18" x14ac:dyDescent="0.25">
      <c r="B1942" s="188"/>
      <c r="C1942" s="188"/>
      <c r="D1942" s="188"/>
      <c r="E1942" s="188"/>
      <c r="F1942" s="188"/>
      <c r="G1942" s="188"/>
      <c r="H1942" s="188"/>
      <c r="I1942" s="188"/>
    </row>
    <row r="1943" spans="1:18" x14ac:dyDescent="0.25">
      <c r="A1943" s="206"/>
      <c r="B1943" s="206"/>
      <c r="C1943" s="188"/>
      <c r="D1943" s="188"/>
      <c r="E1943" s="188"/>
      <c r="F1943" s="188"/>
      <c r="G1943" s="188"/>
      <c r="H1943" s="188"/>
      <c r="I1943" s="188"/>
    </row>
    <row r="1944" spans="1:18" x14ac:dyDescent="0.25">
      <c r="A1944" s="5"/>
      <c r="B1944" s="5"/>
      <c r="C1944" s="5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5"/>
    </row>
    <row r="1945" spans="1:18" x14ac:dyDescent="0.25">
      <c r="A1945" s="23"/>
      <c r="B1945" s="23"/>
      <c r="C1945" s="23"/>
      <c r="D1945" s="13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</row>
    <row r="1946" spans="1:18" x14ac:dyDescent="0.25">
      <c r="A1946" s="23"/>
      <c r="B1946" s="23"/>
      <c r="C1946" s="23"/>
    </row>
    <row r="1947" spans="1:18" x14ac:dyDescent="0.25">
      <c r="A1947" s="23"/>
      <c r="B1947" s="23"/>
      <c r="C1947" s="23"/>
    </row>
    <row r="1948" spans="1:18" x14ac:dyDescent="0.25">
      <c r="A1948" s="23"/>
      <c r="B1948" s="23"/>
      <c r="C1948" s="23"/>
    </row>
    <row r="1949" spans="1:18" x14ac:dyDescent="0.25">
      <c r="A1949" s="23"/>
      <c r="B1949" s="23"/>
      <c r="C1949" s="23"/>
    </row>
    <row r="1950" spans="1:18" x14ac:dyDescent="0.25">
      <c r="A1950" s="23"/>
      <c r="B1950" s="23"/>
      <c r="C1950" s="23"/>
    </row>
    <row r="1951" spans="1:18" x14ac:dyDescent="0.25">
      <c r="A1951" s="23"/>
      <c r="B1951" s="23"/>
      <c r="C1951" s="23"/>
    </row>
    <row r="1952" spans="1:18" x14ac:dyDescent="0.25">
      <c r="A1952" s="23"/>
      <c r="B1952" s="23"/>
      <c r="C1952" s="23"/>
    </row>
    <row r="1953" spans="1:19" x14ac:dyDescent="0.25">
      <c r="A1953" s="23"/>
      <c r="B1953" s="23"/>
      <c r="C1953" s="23"/>
    </row>
    <row r="1954" spans="1:19" x14ac:dyDescent="0.25">
      <c r="A1954" s="23"/>
      <c r="B1954" s="23"/>
      <c r="C1954" s="23"/>
    </row>
    <row r="1955" spans="1:19" x14ac:dyDescent="0.25">
      <c r="A1955" s="23"/>
      <c r="B1955" s="23"/>
      <c r="C1955" s="23"/>
    </row>
    <row r="1956" spans="1:19" x14ac:dyDescent="0.25">
      <c r="A1956" s="23"/>
      <c r="B1956" s="23"/>
      <c r="C1956" s="23"/>
    </row>
    <row r="1957" spans="1:19" x14ac:dyDescent="0.25">
      <c r="A1957" s="23"/>
      <c r="B1957" s="23"/>
      <c r="C1957" s="23"/>
    </row>
    <row r="1958" spans="1:19" x14ac:dyDescent="0.25">
      <c r="A1958" s="23"/>
      <c r="B1958" s="23"/>
      <c r="C1958" s="23"/>
    </row>
    <row r="1959" spans="1:19" x14ac:dyDescent="0.25">
      <c r="A1959" s="23"/>
      <c r="B1959" s="23"/>
      <c r="C1959" s="23"/>
      <c r="E1959" s="201"/>
      <c r="F1959" s="201"/>
      <c r="G1959" s="201"/>
      <c r="H1959" s="201"/>
      <c r="I1959" s="201"/>
      <c r="J1959" s="201"/>
      <c r="K1959" s="201"/>
      <c r="L1959" s="201"/>
      <c r="M1959" s="201"/>
      <c r="N1959" s="201"/>
      <c r="O1959" s="201"/>
      <c r="P1959" s="201"/>
    </row>
    <row r="1960" spans="1:19" x14ac:dyDescent="0.25">
      <c r="A1960" s="23"/>
      <c r="B1960" s="23"/>
      <c r="C1960" s="23"/>
    </row>
    <row r="1961" spans="1:19" x14ac:dyDescent="0.25">
      <c r="A1961" s="23"/>
      <c r="B1961" s="23"/>
      <c r="C1961" s="23"/>
    </row>
    <row r="1962" spans="1:19" x14ac:dyDescent="0.25">
      <c r="A1962" s="23"/>
      <c r="B1962" s="23"/>
      <c r="C1962" s="23"/>
      <c r="F1962" s="201"/>
      <c r="G1962" s="201"/>
      <c r="H1962" s="201"/>
      <c r="I1962" s="201"/>
      <c r="J1962" s="201"/>
      <c r="K1962" s="201"/>
      <c r="L1962" s="201"/>
      <c r="M1962" s="201"/>
      <c r="N1962" s="201"/>
      <c r="O1962" s="201"/>
      <c r="P1962" s="201"/>
    </row>
    <row r="1963" spans="1:19" x14ac:dyDescent="0.25">
      <c r="A1963" s="23"/>
      <c r="B1963" s="23"/>
      <c r="C1963" s="23"/>
    </row>
    <row r="1964" spans="1:19" x14ac:dyDescent="0.25">
      <c r="A1964" s="23"/>
      <c r="B1964" s="23"/>
      <c r="C1964" s="23"/>
    </row>
    <row r="1965" spans="1:19" x14ac:dyDescent="0.25">
      <c r="A1965" s="23"/>
      <c r="B1965" s="23"/>
      <c r="C1965" s="23"/>
      <c r="S1965" s="5"/>
    </row>
    <row r="1966" spans="1:19" x14ac:dyDescent="0.25">
      <c r="A1966" s="23"/>
      <c r="B1966" s="23"/>
      <c r="C1966" s="23"/>
    </row>
    <row r="1967" spans="1:19" x14ac:dyDescent="0.25">
      <c r="A1967" s="23"/>
      <c r="B1967" s="23"/>
      <c r="C1967" s="23"/>
    </row>
    <row r="1968" spans="1:19" x14ac:dyDescent="0.25">
      <c r="A1968" s="23"/>
      <c r="B1968" s="23"/>
      <c r="C1968" s="23"/>
      <c r="E1968" s="202"/>
      <c r="F1968" s="202"/>
      <c r="G1968" s="202"/>
      <c r="H1968" s="202"/>
      <c r="I1968" s="202"/>
      <c r="J1968" s="202"/>
      <c r="K1968" s="202"/>
      <c r="L1968" s="202"/>
      <c r="M1968" s="202"/>
      <c r="N1968" s="202"/>
      <c r="O1968" s="202"/>
      <c r="P1968" s="202"/>
    </row>
    <row r="1969" spans="1:16" x14ac:dyDescent="0.25">
      <c r="A1969" s="23"/>
      <c r="B1969" s="23"/>
      <c r="C1969" s="23"/>
      <c r="E1969" s="202"/>
      <c r="F1969" s="202"/>
      <c r="G1969" s="202"/>
      <c r="H1969" s="202"/>
      <c r="I1969" s="202"/>
      <c r="J1969" s="202"/>
      <c r="K1969" s="202"/>
      <c r="L1969" s="202"/>
      <c r="M1969" s="202"/>
      <c r="N1969" s="202"/>
      <c r="O1969" s="202"/>
      <c r="P1969" s="202"/>
    </row>
    <row r="1970" spans="1:16" x14ac:dyDescent="0.25">
      <c r="A1970" s="23"/>
      <c r="B1970" s="23"/>
      <c r="C1970" s="23"/>
    </row>
    <row r="1971" spans="1:16" x14ac:dyDescent="0.25">
      <c r="A1971" s="23"/>
      <c r="B1971" s="23"/>
      <c r="C1971" s="23"/>
    </row>
    <row r="1972" spans="1:16" x14ac:dyDescent="0.25">
      <c r="A1972" s="23"/>
      <c r="B1972" s="23"/>
      <c r="C1972" s="23"/>
    </row>
    <row r="1973" spans="1:16" x14ac:dyDescent="0.25">
      <c r="A1973" s="23"/>
      <c r="B1973" s="23"/>
      <c r="C1973" s="23"/>
    </row>
    <row r="1974" spans="1:16" x14ac:dyDescent="0.25">
      <c r="A1974" s="23"/>
      <c r="B1974" s="23"/>
      <c r="C1974" s="23"/>
      <c r="E1974" s="203"/>
      <c r="F1974" s="203"/>
      <c r="G1974" s="203"/>
      <c r="H1974" s="203"/>
      <c r="I1974" s="203"/>
      <c r="J1974" s="203"/>
      <c r="K1974" s="203"/>
      <c r="L1974" s="203"/>
      <c r="M1974" s="203"/>
      <c r="N1974" s="203"/>
      <c r="O1974" s="203"/>
      <c r="P1974" s="203"/>
    </row>
    <row r="1975" spans="1:16" x14ac:dyDescent="0.25">
      <c r="A1975" s="23"/>
      <c r="B1975" s="23"/>
      <c r="C1975" s="23"/>
      <c r="E1975" s="203"/>
      <c r="F1975" s="203"/>
      <c r="G1975" s="203"/>
      <c r="H1975" s="203"/>
      <c r="I1975" s="203"/>
      <c r="J1975" s="203"/>
      <c r="K1975" s="203"/>
      <c r="L1975" s="203"/>
      <c r="M1975" s="203"/>
      <c r="N1975" s="203"/>
      <c r="O1975" s="203"/>
      <c r="P1975" s="203"/>
    </row>
    <row r="1976" spans="1:16" x14ac:dyDescent="0.25">
      <c r="A1976" s="23"/>
      <c r="B1976" s="23"/>
      <c r="C1976" s="23"/>
      <c r="E1976" s="203"/>
      <c r="F1976" s="203"/>
      <c r="G1976" s="203"/>
      <c r="H1976" s="203"/>
      <c r="I1976" s="203"/>
      <c r="J1976" s="203"/>
      <c r="K1976" s="203"/>
      <c r="L1976" s="203"/>
      <c r="M1976" s="203"/>
      <c r="N1976" s="203"/>
      <c r="O1976" s="203"/>
      <c r="P1976" s="203"/>
    </row>
    <row r="1977" spans="1:16" x14ac:dyDescent="0.25">
      <c r="A1977" s="23"/>
      <c r="B1977" s="23"/>
      <c r="C1977" s="23"/>
    </row>
    <row r="1978" spans="1:16" x14ac:dyDescent="0.25">
      <c r="A1978" s="23"/>
      <c r="B1978" s="23"/>
      <c r="C1978" s="23"/>
    </row>
    <row r="1979" spans="1:16" x14ac:dyDescent="0.25">
      <c r="A1979" s="23"/>
      <c r="B1979" s="23"/>
      <c r="C1979" s="23"/>
    </row>
    <row r="1983" spans="1:16" ht="13" x14ac:dyDescent="0.3">
      <c r="B1983" s="187"/>
      <c r="C1983" s="188"/>
      <c r="D1983" s="188"/>
      <c r="E1983" s="188"/>
      <c r="F1983" s="188"/>
      <c r="G1983" s="188"/>
      <c r="H1983" s="187"/>
      <c r="I1983" s="188"/>
    </row>
    <row r="1984" spans="1:16" x14ac:dyDescent="0.25">
      <c r="B1984" s="188"/>
      <c r="C1984" s="188"/>
      <c r="D1984" s="188"/>
      <c r="E1984" s="188"/>
      <c r="F1984" s="188"/>
      <c r="G1984" s="188"/>
      <c r="H1984" s="188"/>
      <c r="I1984" s="188"/>
    </row>
    <row r="1985" spans="1:18" x14ac:dyDescent="0.25">
      <c r="B1985" s="188"/>
      <c r="C1985" s="188"/>
      <c r="D1985" s="188"/>
      <c r="E1985" s="188"/>
      <c r="F1985" s="188"/>
      <c r="G1985" s="188"/>
      <c r="H1985" s="188"/>
      <c r="I1985" s="188"/>
    </row>
    <row r="1986" spans="1:18" ht="13" x14ac:dyDescent="0.3">
      <c r="B1986" s="186"/>
      <c r="C1986" s="188"/>
      <c r="D1986" s="188"/>
      <c r="E1986" s="188"/>
      <c r="F1986" s="188"/>
      <c r="G1986" s="188"/>
      <c r="H1986" s="186"/>
      <c r="I1986" s="188"/>
    </row>
    <row r="1987" spans="1:18" x14ac:dyDescent="0.25">
      <c r="B1987" s="188"/>
      <c r="C1987" s="188"/>
      <c r="D1987" s="188"/>
      <c r="E1987" s="188"/>
      <c r="F1987" s="188"/>
      <c r="G1987" s="188"/>
      <c r="H1987" s="188"/>
      <c r="I1987" s="188"/>
    </row>
    <row r="1988" spans="1:18" x14ac:dyDescent="0.25">
      <c r="B1988" s="188"/>
      <c r="C1988" s="188"/>
      <c r="D1988" s="188"/>
      <c r="E1988" s="188"/>
      <c r="F1988" s="188"/>
      <c r="G1988" s="188"/>
      <c r="H1988" s="188"/>
      <c r="I1988" s="188"/>
    </row>
    <row r="1989" spans="1:18" x14ac:dyDescent="0.25">
      <c r="B1989" s="188"/>
      <c r="C1989" s="188"/>
      <c r="F1989" s="188"/>
      <c r="G1989" s="188"/>
      <c r="H1989" s="188"/>
    </row>
    <row r="1990" spans="1:18" x14ac:dyDescent="0.25">
      <c r="B1990" s="206"/>
      <c r="C1990" s="188"/>
      <c r="D1990" s="188"/>
      <c r="E1990" s="188"/>
      <c r="F1990" s="188"/>
      <c r="G1990" s="188"/>
      <c r="H1990" s="206"/>
      <c r="I1990" s="188"/>
    </row>
    <row r="1991" spans="1:18" x14ac:dyDescent="0.25">
      <c r="B1991" s="188"/>
      <c r="C1991" s="188"/>
      <c r="D1991" s="188"/>
      <c r="E1991" s="188"/>
      <c r="F1991" s="188"/>
      <c r="G1991" s="188"/>
      <c r="H1991" s="188"/>
      <c r="I1991" s="188"/>
    </row>
    <row r="1992" spans="1:18" x14ac:dyDescent="0.25">
      <c r="A1992" s="206"/>
      <c r="B1992" s="206"/>
      <c r="C1992" s="188"/>
      <c r="D1992" s="188"/>
      <c r="E1992" s="188"/>
      <c r="F1992" s="188"/>
      <c r="G1992" s="188"/>
      <c r="H1992" s="188"/>
      <c r="I1992" s="188"/>
    </row>
    <row r="1993" spans="1:18" x14ac:dyDescent="0.25">
      <c r="A1993" s="5"/>
      <c r="B1993" s="5"/>
      <c r="C1993" s="5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5"/>
    </row>
    <row r="1994" spans="1:18" x14ac:dyDescent="0.25">
      <c r="A1994" s="23"/>
      <c r="B1994" s="23"/>
      <c r="C1994" s="23"/>
      <c r="D1994" s="13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</row>
    <row r="1995" spans="1:18" x14ac:dyDescent="0.25">
      <c r="A1995" s="23"/>
      <c r="B1995" s="23"/>
      <c r="C1995" s="23"/>
    </row>
    <row r="1996" spans="1:18" x14ac:dyDescent="0.25">
      <c r="A1996" s="23"/>
      <c r="B1996" s="23"/>
      <c r="C1996" s="23"/>
    </row>
    <row r="1997" spans="1:18" x14ac:dyDescent="0.25">
      <c r="A1997" s="23"/>
      <c r="B1997" s="23"/>
      <c r="C1997" s="23"/>
    </row>
    <row r="1998" spans="1:18" x14ac:dyDescent="0.25">
      <c r="A1998" s="23"/>
      <c r="B1998" s="23"/>
      <c r="C1998" s="23"/>
    </row>
    <row r="1999" spans="1:18" x14ac:dyDescent="0.25">
      <c r="A1999" s="23"/>
      <c r="B1999" s="23"/>
      <c r="C1999" s="23"/>
    </row>
    <row r="2000" spans="1:18" x14ac:dyDescent="0.25">
      <c r="A2000" s="23"/>
      <c r="B2000" s="23"/>
      <c r="C2000" s="23"/>
    </row>
    <row r="2001" spans="1:19" x14ac:dyDescent="0.25">
      <c r="A2001" s="23"/>
      <c r="B2001" s="23"/>
      <c r="C2001" s="23"/>
    </row>
    <row r="2002" spans="1:19" x14ac:dyDescent="0.25">
      <c r="A2002" s="23"/>
      <c r="B2002" s="23"/>
      <c r="C2002" s="23"/>
    </row>
    <row r="2003" spans="1:19" x14ac:dyDescent="0.25">
      <c r="A2003" s="23"/>
      <c r="B2003" s="23"/>
      <c r="C2003" s="23"/>
    </row>
    <row r="2004" spans="1:19" x14ac:dyDescent="0.25">
      <c r="A2004" s="23"/>
      <c r="B2004" s="23"/>
      <c r="C2004" s="23"/>
    </row>
    <row r="2005" spans="1:19" x14ac:dyDescent="0.25">
      <c r="A2005" s="23"/>
      <c r="B2005" s="23"/>
      <c r="C2005" s="23"/>
    </row>
    <row r="2006" spans="1:19" x14ac:dyDescent="0.25">
      <c r="A2006" s="23"/>
      <c r="B2006" s="23"/>
      <c r="C2006" s="23"/>
    </row>
    <row r="2007" spans="1:19" x14ac:dyDescent="0.25">
      <c r="A2007" s="23"/>
      <c r="B2007" s="23"/>
      <c r="C2007" s="23"/>
    </row>
    <row r="2008" spans="1:19" x14ac:dyDescent="0.25">
      <c r="A2008" s="23"/>
      <c r="B2008" s="23"/>
      <c r="C2008" s="23"/>
      <c r="E2008" s="201"/>
      <c r="F2008" s="201"/>
      <c r="G2008" s="201"/>
      <c r="H2008" s="201"/>
      <c r="I2008" s="201"/>
      <c r="J2008" s="201"/>
      <c r="K2008" s="201"/>
      <c r="L2008" s="201"/>
      <c r="M2008" s="201"/>
      <c r="N2008" s="201"/>
      <c r="O2008" s="201"/>
      <c r="P2008" s="201"/>
    </row>
    <row r="2009" spans="1:19" x14ac:dyDescent="0.25">
      <c r="A2009" s="23"/>
      <c r="B2009" s="23"/>
      <c r="C2009" s="23"/>
    </row>
    <row r="2010" spans="1:19" x14ac:dyDescent="0.25">
      <c r="A2010" s="23"/>
      <c r="B2010" s="23"/>
      <c r="C2010" s="23"/>
    </row>
    <row r="2011" spans="1:19" x14ac:dyDescent="0.25">
      <c r="A2011" s="23"/>
      <c r="B2011" s="23"/>
      <c r="C2011" s="23"/>
      <c r="F2011" s="201"/>
      <c r="G2011" s="201"/>
      <c r="H2011" s="201"/>
      <c r="I2011" s="201"/>
      <c r="J2011" s="201"/>
      <c r="K2011" s="201"/>
      <c r="L2011" s="201"/>
      <c r="M2011" s="201"/>
      <c r="N2011" s="201"/>
      <c r="O2011" s="201"/>
      <c r="P2011" s="201"/>
    </row>
    <row r="2012" spans="1:19" x14ac:dyDescent="0.25">
      <c r="A2012" s="23"/>
      <c r="B2012" s="23"/>
      <c r="C2012" s="23"/>
    </row>
    <row r="2013" spans="1:19" x14ac:dyDescent="0.25">
      <c r="A2013" s="23"/>
      <c r="B2013" s="23"/>
      <c r="C2013" s="23"/>
    </row>
    <row r="2014" spans="1:19" x14ac:dyDescent="0.25">
      <c r="A2014" s="23"/>
      <c r="B2014" s="23"/>
      <c r="C2014" s="23"/>
      <c r="S2014" s="5"/>
    </row>
    <row r="2015" spans="1:19" x14ac:dyDescent="0.25">
      <c r="A2015" s="23"/>
      <c r="B2015" s="23"/>
      <c r="C2015" s="23"/>
    </row>
    <row r="2016" spans="1:19" x14ac:dyDescent="0.25">
      <c r="A2016" s="23"/>
      <c r="B2016" s="23"/>
      <c r="C2016" s="23"/>
    </row>
    <row r="2017" spans="1:16" x14ac:dyDescent="0.25">
      <c r="A2017" s="23"/>
      <c r="B2017" s="23"/>
      <c r="C2017" s="23"/>
      <c r="E2017" s="202"/>
      <c r="F2017" s="202"/>
      <c r="G2017" s="202"/>
      <c r="H2017" s="202"/>
      <c r="I2017" s="202"/>
      <c r="J2017" s="202"/>
      <c r="K2017" s="202"/>
      <c r="L2017" s="202"/>
      <c r="M2017" s="202"/>
      <c r="N2017" s="202"/>
      <c r="O2017" s="202"/>
      <c r="P2017" s="202"/>
    </row>
    <row r="2018" spans="1:16" x14ac:dyDescent="0.25">
      <c r="A2018" s="23"/>
      <c r="B2018" s="23"/>
      <c r="C2018" s="23"/>
      <c r="E2018" s="202"/>
      <c r="F2018" s="202"/>
      <c r="G2018" s="202"/>
      <c r="H2018" s="202"/>
      <c r="I2018" s="202"/>
      <c r="J2018" s="202"/>
      <c r="K2018" s="202"/>
      <c r="L2018" s="202"/>
      <c r="M2018" s="202"/>
      <c r="N2018" s="202"/>
      <c r="O2018" s="202"/>
      <c r="P2018" s="202"/>
    </row>
    <row r="2019" spans="1:16" x14ac:dyDescent="0.25">
      <c r="A2019" s="23"/>
      <c r="B2019" s="23"/>
      <c r="C2019" s="23"/>
    </row>
    <row r="2020" spans="1:16" x14ac:dyDescent="0.25">
      <c r="A2020" s="23"/>
      <c r="B2020" s="23"/>
      <c r="C2020" s="23"/>
    </row>
    <row r="2021" spans="1:16" x14ac:dyDescent="0.25">
      <c r="A2021" s="23"/>
      <c r="B2021" s="23"/>
      <c r="C2021" s="23"/>
    </row>
    <row r="2022" spans="1:16" x14ac:dyDescent="0.25">
      <c r="A2022" s="23"/>
      <c r="B2022" s="23"/>
      <c r="C2022" s="23"/>
    </row>
    <row r="2023" spans="1:16" x14ac:dyDescent="0.25">
      <c r="A2023" s="23"/>
      <c r="B2023" s="23"/>
      <c r="C2023" s="23"/>
      <c r="E2023" s="203"/>
      <c r="F2023" s="203"/>
      <c r="G2023" s="203"/>
      <c r="H2023" s="203"/>
      <c r="I2023" s="203"/>
      <c r="J2023" s="203"/>
      <c r="K2023" s="203"/>
      <c r="L2023" s="203"/>
      <c r="M2023" s="203"/>
      <c r="N2023" s="203"/>
      <c r="O2023" s="203"/>
      <c r="P2023" s="203"/>
    </row>
    <row r="2024" spans="1:16" x14ac:dyDescent="0.25">
      <c r="A2024" s="23"/>
      <c r="B2024" s="23"/>
      <c r="C2024" s="23"/>
      <c r="E2024" s="203"/>
      <c r="F2024" s="203"/>
      <c r="G2024" s="203"/>
      <c r="H2024" s="203"/>
      <c r="I2024" s="203"/>
      <c r="J2024" s="203"/>
      <c r="K2024" s="203"/>
      <c r="L2024" s="203"/>
      <c r="M2024" s="203"/>
      <c r="N2024" s="203"/>
      <c r="O2024" s="203"/>
      <c r="P2024" s="203"/>
    </row>
    <row r="2025" spans="1:16" x14ac:dyDescent="0.25">
      <c r="A2025" s="23"/>
      <c r="B2025" s="23"/>
      <c r="C2025" s="23"/>
      <c r="E2025" s="203"/>
      <c r="F2025" s="203"/>
      <c r="G2025" s="203"/>
      <c r="H2025" s="203"/>
      <c r="I2025" s="203"/>
      <c r="J2025" s="203"/>
      <c r="K2025" s="203"/>
      <c r="L2025" s="203"/>
      <c r="M2025" s="203"/>
      <c r="N2025" s="203"/>
      <c r="O2025" s="203"/>
      <c r="P2025" s="203"/>
    </row>
    <row r="2026" spans="1:16" x14ac:dyDescent="0.25">
      <c r="A2026" s="23"/>
      <c r="B2026" s="23"/>
      <c r="C2026" s="23"/>
    </row>
    <row r="2027" spans="1:16" x14ac:dyDescent="0.25">
      <c r="A2027" s="23"/>
      <c r="B2027" s="23"/>
      <c r="C2027" s="23"/>
    </row>
    <row r="2028" spans="1:16" x14ac:dyDescent="0.25">
      <c r="A2028" s="23"/>
      <c r="B2028" s="23"/>
      <c r="C2028" s="23"/>
    </row>
    <row r="2032" spans="1:16" ht="13" x14ac:dyDescent="0.3">
      <c r="B2032" s="187"/>
      <c r="C2032" s="188"/>
      <c r="D2032" s="188"/>
      <c r="E2032" s="188"/>
      <c r="F2032" s="188"/>
      <c r="G2032" s="188"/>
      <c r="H2032" s="187"/>
      <c r="I2032" s="188"/>
    </row>
    <row r="2033" spans="1:18" x14ac:dyDescent="0.25">
      <c r="B2033" s="188"/>
      <c r="C2033" s="188"/>
      <c r="D2033" s="188"/>
      <c r="E2033" s="188"/>
      <c r="F2033" s="188"/>
      <c r="G2033" s="188"/>
      <c r="H2033" s="188"/>
      <c r="I2033" s="188"/>
    </row>
    <row r="2034" spans="1:18" x14ac:dyDescent="0.25">
      <c r="B2034" s="188"/>
      <c r="C2034" s="188"/>
      <c r="D2034" s="188"/>
      <c r="E2034" s="188"/>
      <c r="F2034" s="188"/>
      <c r="G2034" s="188"/>
      <c r="H2034" s="188"/>
      <c r="I2034" s="188"/>
    </row>
    <row r="2035" spans="1:18" ht="13" x14ac:dyDescent="0.3">
      <c r="B2035" s="186"/>
      <c r="C2035" s="188"/>
      <c r="D2035" s="188"/>
      <c r="E2035" s="188"/>
      <c r="F2035" s="188"/>
      <c r="G2035" s="188"/>
      <c r="H2035" s="186"/>
      <c r="I2035" s="188"/>
    </row>
    <row r="2036" spans="1:18" x14ac:dyDescent="0.25">
      <c r="B2036" s="188"/>
      <c r="C2036" s="188"/>
      <c r="D2036" s="188"/>
      <c r="E2036" s="188"/>
      <c r="F2036" s="188"/>
      <c r="G2036" s="188"/>
      <c r="H2036" s="188"/>
      <c r="I2036" s="188"/>
    </row>
    <row r="2037" spans="1:18" x14ac:dyDescent="0.25">
      <c r="B2037" s="188"/>
      <c r="C2037" s="188"/>
      <c r="D2037" s="188"/>
      <c r="E2037" s="188"/>
      <c r="F2037" s="188"/>
      <c r="G2037" s="188"/>
      <c r="H2037" s="188"/>
      <c r="I2037" s="188"/>
    </row>
    <row r="2038" spans="1:18" x14ac:dyDescent="0.25">
      <c r="B2038" s="188"/>
      <c r="C2038" s="188"/>
      <c r="F2038" s="188"/>
      <c r="G2038" s="188"/>
      <c r="H2038" s="188"/>
    </row>
    <row r="2039" spans="1:18" x14ac:dyDescent="0.25">
      <c r="B2039" s="206"/>
      <c r="C2039" s="188"/>
      <c r="D2039" s="188"/>
      <c r="E2039" s="188"/>
      <c r="F2039" s="188"/>
      <c r="G2039" s="188"/>
      <c r="H2039" s="206"/>
      <c r="I2039" s="188"/>
    </row>
    <row r="2040" spans="1:18" x14ac:dyDescent="0.25">
      <c r="B2040" s="188"/>
      <c r="C2040" s="188"/>
      <c r="D2040" s="188"/>
      <c r="E2040" s="188"/>
      <c r="F2040" s="188"/>
      <c r="G2040" s="188"/>
      <c r="H2040" s="188"/>
      <c r="I2040" s="188"/>
    </row>
    <row r="2041" spans="1:18" x14ac:dyDescent="0.25">
      <c r="A2041" s="206"/>
      <c r="B2041" s="206"/>
      <c r="C2041" s="188"/>
      <c r="D2041" s="188"/>
      <c r="E2041" s="188"/>
      <c r="F2041" s="188"/>
      <c r="G2041" s="188"/>
      <c r="H2041" s="188"/>
      <c r="I2041" s="188"/>
    </row>
    <row r="2042" spans="1:18" x14ac:dyDescent="0.25">
      <c r="A2042" s="5"/>
      <c r="B2042" s="5"/>
      <c r="C2042" s="5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5"/>
    </row>
    <row r="2043" spans="1:18" x14ac:dyDescent="0.25">
      <c r="A2043" s="23"/>
      <c r="B2043" s="23"/>
      <c r="C2043" s="23"/>
      <c r="D2043" s="13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</row>
    <row r="2044" spans="1:18" x14ac:dyDescent="0.25">
      <c r="A2044" s="23"/>
      <c r="B2044" s="23"/>
      <c r="C2044" s="23"/>
    </row>
    <row r="2045" spans="1:18" x14ac:dyDescent="0.25">
      <c r="A2045" s="23"/>
      <c r="B2045" s="23"/>
      <c r="C2045" s="23"/>
    </row>
    <row r="2046" spans="1:18" x14ac:dyDescent="0.25">
      <c r="A2046" s="23"/>
      <c r="B2046" s="23"/>
      <c r="C2046" s="23"/>
    </row>
    <row r="2047" spans="1:18" x14ac:dyDescent="0.25">
      <c r="A2047" s="23"/>
      <c r="B2047" s="23"/>
      <c r="C2047" s="23"/>
    </row>
    <row r="2048" spans="1:18" x14ac:dyDescent="0.25">
      <c r="A2048" s="23"/>
      <c r="B2048" s="23"/>
      <c r="C2048" s="23"/>
    </row>
    <row r="2049" spans="1:19" x14ac:dyDescent="0.25">
      <c r="A2049" s="23"/>
      <c r="B2049" s="23"/>
      <c r="C2049" s="23"/>
    </row>
    <row r="2050" spans="1:19" x14ac:dyDescent="0.25">
      <c r="A2050" s="23"/>
      <c r="B2050" s="23"/>
      <c r="C2050" s="23"/>
    </row>
    <row r="2051" spans="1:19" x14ac:dyDescent="0.25">
      <c r="A2051" s="23"/>
      <c r="B2051" s="23"/>
      <c r="C2051" s="23"/>
    </row>
    <row r="2052" spans="1:19" x14ac:dyDescent="0.25">
      <c r="A2052" s="23"/>
      <c r="B2052" s="23"/>
      <c r="C2052" s="23"/>
    </row>
    <row r="2053" spans="1:19" x14ac:dyDescent="0.25">
      <c r="A2053" s="23"/>
      <c r="B2053" s="23"/>
      <c r="C2053" s="23"/>
    </row>
    <row r="2054" spans="1:19" x14ac:dyDescent="0.25">
      <c r="A2054" s="23"/>
      <c r="B2054" s="23"/>
      <c r="C2054" s="23"/>
    </row>
    <row r="2055" spans="1:19" x14ac:dyDescent="0.25">
      <c r="A2055" s="23"/>
      <c r="B2055" s="23"/>
      <c r="C2055" s="23"/>
    </row>
    <row r="2056" spans="1:19" x14ac:dyDescent="0.25">
      <c r="A2056" s="23"/>
      <c r="B2056" s="23"/>
      <c r="C2056" s="23"/>
    </row>
    <row r="2057" spans="1:19" x14ac:dyDescent="0.25">
      <c r="A2057" s="23"/>
      <c r="B2057" s="23"/>
      <c r="C2057" s="23"/>
      <c r="E2057" s="201"/>
      <c r="F2057" s="201"/>
      <c r="G2057" s="201"/>
      <c r="H2057" s="201"/>
      <c r="I2057" s="201"/>
      <c r="J2057" s="201"/>
      <c r="K2057" s="201"/>
      <c r="L2057" s="201"/>
      <c r="M2057" s="201"/>
      <c r="N2057" s="201"/>
      <c r="O2057" s="201"/>
      <c r="P2057" s="201"/>
    </row>
    <row r="2058" spans="1:19" x14ac:dyDescent="0.25">
      <c r="A2058" s="23"/>
      <c r="B2058" s="23"/>
      <c r="C2058" s="23"/>
    </row>
    <row r="2059" spans="1:19" x14ac:dyDescent="0.25">
      <c r="A2059" s="23"/>
      <c r="B2059" s="23"/>
      <c r="C2059" s="23"/>
    </row>
    <row r="2060" spans="1:19" x14ac:dyDescent="0.25">
      <c r="A2060" s="23"/>
      <c r="B2060" s="23"/>
      <c r="C2060" s="23"/>
      <c r="F2060" s="201"/>
      <c r="G2060" s="201"/>
      <c r="H2060" s="201"/>
      <c r="I2060" s="201"/>
      <c r="J2060" s="201"/>
      <c r="K2060" s="201"/>
      <c r="L2060" s="201"/>
      <c r="M2060" s="201"/>
      <c r="N2060" s="201"/>
      <c r="O2060" s="201"/>
      <c r="P2060" s="201"/>
    </row>
    <row r="2061" spans="1:19" x14ac:dyDescent="0.25">
      <c r="A2061" s="23"/>
      <c r="B2061" s="23"/>
      <c r="C2061" s="23"/>
    </row>
    <row r="2062" spans="1:19" x14ac:dyDescent="0.25">
      <c r="A2062" s="23"/>
      <c r="B2062" s="23"/>
      <c r="C2062" s="23"/>
    </row>
    <row r="2063" spans="1:19" x14ac:dyDescent="0.25">
      <c r="A2063" s="23"/>
      <c r="B2063" s="23"/>
      <c r="C2063" s="23"/>
      <c r="S2063" s="5"/>
    </row>
    <row r="2064" spans="1:19" x14ac:dyDescent="0.25">
      <c r="A2064" s="23"/>
      <c r="B2064" s="23"/>
      <c r="C2064" s="23"/>
    </row>
    <row r="2065" spans="1:16" x14ac:dyDescent="0.25">
      <c r="A2065" s="23"/>
      <c r="B2065" s="23"/>
      <c r="C2065" s="23"/>
    </row>
    <row r="2066" spans="1:16" x14ac:dyDescent="0.25">
      <c r="A2066" s="23"/>
      <c r="B2066" s="23"/>
      <c r="C2066" s="23"/>
      <c r="E2066" s="202"/>
      <c r="F2066" s="202"/>
      <c r="G2066" s="202"/>
      <c r="H2066" s="202"/>
      <c r="I2066" s="202"/>
      <c r="J2066" s="202"/>
      <c r="K2066" s="202"/>
      <c r="L2066" s="202"/>
      <c r="M2066" s="202"/>
      <c r="N2066" s="202"/>
      <c r="O2066" s="202"/>
      <c r="P2066" s="202"/>
    </row>
    <row r="2067" spans="1:16" x14ac:dyDescent="0.25">
      <c r="A2067" s="23"/>
      <c r="B2067" s="23"/>
      <c r="C2067" s="23"/>
      <c r="E2067" s="202"/>
      <c r="F2067" s="202"/>
      <c r="G2067" s="202"/>
      <c r="H2067" s="202"/>
      <c r="I2067" s="202"/>
      <c r="J2067" s="202"/>
      <c r="K2067" s="202"/>
      <c r="L2067" s="202"/>
      <c r="M2067" s="202"/>
      <c r="N2067" s="202"/>
      <c r="O2067" s="202"/>
      <c r="P2067" s="202"/>
    </row>
    <row r="2068" spans="1:16" x14ac:dyDescent="0.25">
      <c r="A2068" s="23"/>
      <c r="B2068" s="23"/>
      <c r="C2068" s="23"/>
    </row>
    <row r="2069" spans="1:16" x14ac:dyDescent="0.25">
      <c r="A2069" s="23"/>
      <c r="B2069" s="23"/>
      <c r="C2069" s="23"/>
    </row>
    <row r="2070" spans="1:16" x14ac:dyDescent="0.25">
      <c r="A2070" s="23"/>
      <c r="B2070" s="23"/>
      <c r="C2070" s="23"/>
    </row>
    <row r="2071" spans="1:16" x14ac:dyDescent="0.25">
      <c r="A2071" s="23"/>
      <c r="B2071" s="23"/>
      <c r="C2071" s="23"/>
    </row>
    <row r="2072" spans="1:16" x14ac:dyDescent="0.25">
      <c r="A2072" s="23"/>
      <c r="B2072" s="23"/>
      <c r="C2072" s="23"/>
      <c r="E2072" s="203"/>
      <c r="F2072" s="203"/>
      <c r="G2072" s="203"/>
      <c r="H2072" s="203"/>
      <c r="I2072" s="203"/>
      <c r="J2072" s="203"/>
      <c r="K2072" s="203"/>
      <c r="L2072" s="203"/>
      <c r="M2072" s="203"/>
      <c r="N2072" s="203"/>
      <c r="O2072" s="203"/>
      <c r="P2072" s="203"/>
    </row>
    <row r="2073" spans="1:16" x14ac:dyDescent="0.25">
      <c r="A2073" s="23"/>
      <c r="B2073" s="23"/>
      <c r="C2073" s="23"/>
      <c r="E2073" s="203"/>
      <c r="F2073" s="203"/>
      <c r="G2073" s="203"/>
      <c r="H2073" s="203"/>
      <c r="I2073" s="203"/>
      <c r="J2073" s="203"/>
      <c r="K2073" s="203"/>
      <c r="L2073" s="203"/>
      <c r="M2073" s="203"/>
      <c r="N2073" s="203"/>
      <c r="O2073" s="203"/>
      <c r="P2073" s="203"/>
    </row>
    <row r="2074" spans="1:16" x14ac:dyDescent="0.25">
      <c r="A2074" s="23"/>
      <c r="B2074" s="23"/>
      <c r="C2074" s="23"/>
      <c r="E2074" s="203"/>
      <c r="F2074" s="203"/>
      <c r="G2074" s="203"/>
      <c r="H2074" s="203"/>
      <c r="I2074" s="203"/>
      <c r="J2074" s="203"/>
      <c r="K2074" s="203"/>
      <c r="L2074" s="203"/>
      <c r="M2074" s="203"/>
      <c r="N2074" s="203"/>
      <c r="O2074" s="203"/>
      <c r="P2074" s="203"/>
    </row>
    <row r="2075" spans="1:16" x14ac:dyDescent="0.25">
      <c r="A2075" s="23"/>
      <c r="B2075" s="23"/>
      <c r="C2075" s="23"/>
    </row>
    <row r="2076" spans="1:16" x14ac:dyDescent="0.25">
      <c r="A2076" s="23"/>
      <c r="B2076" s="23"/>
      <c r="C2076" s="23"/>
    </row>
    <row r="2077" spans="1:16" x14ac:dyDescent="0.25">
      <c r="A2077" s="23"/>
      <c r="B2077" s="23"/>
      <c r="C2077" s="23"/>
    </row>
  </sheetData>
  <mergeCells count="14">
    <mergeCell ref="A1637:Q1637"/>
    <mergeCell ref="A1639:Q1639"/>
    <mergeCell ref="A1588:Q1588"/>
    <mergeCell ref="A1590:Q1590"/>
    <mergeCell ref="A1633:Q1633"/>
    <mergeCell ref="A1634:Q1634"/>
    <mergeCell ref="A1635:Q1635"/>
    <mergeCell ref="A1636:Q1636"/>
    <mergeCell ref="A8:Q8"/>
    <mergeCell ref="A10:Q10"/>
    <mergeCell ref="A1584:Q1584"/>
    <mergeCell ref="A1585:Q1585"/>
    <mergeCell ref="A1586:Q1586"/>
    <mergeCell ref="A1587:Q1587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35" manualBreakCount="35">
    <brk id="62" max="16" man="1"/>
    <brk id="115" max="16383" man="1"/>
    <brk id="176" max="16" man="1"/>
    <brk id="240" max="65535" man="1"/>
    <brk id="300" max="65535" man="1"/>
    <brk id="360" max="65535" man="1"/>
    <brk id="420" max="65535" man="1"/>
    <brk id="477" max="17" man="1"/>
    <brk id="540" max="65535" man="1"/>
    <brk id="597" max="17" man="1"/>
    <brk id="648" max="17" man="1"/>
    <brk id="704" max="17" man="1"/>
    <brk id="764" max="17" man="1"/>
    <brk id="824" max="17" man="1"/>
    <brk id="884" max="17" man="1"/>
    <brk id="944" max="17" man="1"/>
    <brk id="1004" max="17" man="1"/>
    <brk id="1064" max="17" man="1"/>
    <brk id="1124" max="17" man="1"/>
    <brk id="1184" max="17" man="1"/>
    <brk id="1243" max="17" man="1"/>
    <brk id="1303" max="17" man="1"/>
    <brk id="1363" max="17" man="1"/>
    <brk id="1414" max="17" man="1"/>
    <brk id="1474" max="17" man="1"/>
    <brk id="1534" max="17" man="1"/>
    <brk id="1583" max="17" man="1"/>
    <brk id="1632" max="17" man="1"/>
    <brk id="1682" max="16" man="1"/>
    <brk id="1734" max="17" man="1"/>
    <brk id="1783" max="17" man="1"/>
    <brk id="1833" max="17" man="1"/>
    <brk id="1883" max="16" man="1"/>
    <brk id="1932" max="16" man="1"/>
    <brk id="1982" max="16" man="1"/>
  </rowBreaks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6A89-4B9C-408E-92BB-3AF8178D587D}">
  <sheetPr transitionEvaluation="1" transitionEntry="1"/>
  <dimension ref="A1:AF378"/>
  <sheetViews>
    <sheetView showGridLines="0" defaultGridColor="0" view="pageBreakPreview" colorId="8" zoomScaleNormal="80" zoomScaleSheetLayoutView="10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6.75" style="1" customWidth="1"/>
    <col min="4" max="4" width="12" style="1" customWidth="1"/>
    <col min="5" max="6" width="10.08203125" style="1" customWidth="1"/>
    <col min="7" max="7" width="9.83203125" style="1" customWidth="1"/>
    <col min="8" max="8" width="10" style="1" customWidth="1"/>
    <col min="9" max="9" width="9.75" style="1" customWidth="1"/>
    <col min="10" max="10" width="10.33203125" style="1" customWidth="1"/>
    <col min="11" max="11" width="9.83203125" style="1" customWidth="1"/>
    <col min="12" max="12" width="10.58203125" style="1" customWidth="1"/>
    <col min="13" max="13" width="10.75" style="1" customWidth="1"/>
    <col min="14" max="14" width="10.08203125" style="1" customWidth="1"/>
    <col min="15" max="15" width="10.33203125" style="1" customWidth="1"/>
    <col min="16" max="16" width="10.58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2.08203125" style="1" bestFit="1" customWidth="1"/>
    <col min="21" max="32" width="11" style="1" bestFit="1" customWidth="1"/>
    <col min="33" max="39" width="12" style="1" customWidth="1"/>
    <col min="40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6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11587.74</v>
      </c>
      <c r="F15" s="1">
        <v>27124.43</v>
      </c>
      <c r="G15" s="1">
        <v>-25982</v>
      </c>
      <c r="H15" s="1">
        <v>-554251.63</v>
      </c>
      <c r="I15" s="1">
        <v>3629.52</v>
      </c>
      <c r="J15" s="1">
        <v>103500</v>
      </c>
      <c r="K15" s="1">
        <v>1036251.63</v>
      </c>
      <c r="L15" s="1">
        <v>18000</v>
      </c>
      <c r="M15" s="1">
        <v>6250</v>
      </c>
      <c r="N15" s="1">
        <v>6250</v>
      </c>
      <c r="O15" s="1">
        <v>16750</v>
      </c>
      <c r="P15" s="1">
        <v>1250</v>
      </c>
      <c r="Q15" s="1">
        <f t="shared" ref="Q15:Q20" si="0">SUM(E15:P15)</f>
        <v>650359.69000000006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-554251.63</v>
      </c>
      <c r="I16" s="1">
        <v>0</v>
      </c>
      <c r="J16" s="1">
        <v>0</v>
      </c>
      <c r="K16" s="1">
        <v>1031251.63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477000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554251.63</v>
      </c>
      <c r="I18" s="1">
        <v>0</v>
      </c>
      <c r="J18" s="1">
        <v>0</v>
      </c>
      <c r="K18" s="1">
        <v>-554251.63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f>587.64</f>
        <v>587.64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587.64</v>
      </c>
    </row>
    <row r="21" spans="1:32" x14ac:dyDescent="0.25">
      <c r="A21" s="13">
        <v>2</v>
      </c>
      <c r="B21" s="23" t="s">
        <v>272</v>
      </c>
      <c r="C21" s="13"/>
      <c r="D21" s="1">
        <v>3245823.1999999997</v>
      </c>
      <c r="E21" s="27">
        <f>D21+E16-E17+E19</f>
        <v>3245823.1999999997</v>
      </c>
      <c r="F21" s="1">
        <f t="shared" ref="F21:P21" si="1">E21+F16-F17</f>
        <v>3245823.1999999997</v>
      </c>
      <c r="G21" s="1">
        <f t="shared" si="1"/>
        <v>3245823.1999999997</v>
      </c>
      <c r="H21" s="1">
        <f t="shared" si="1"/>
        <v>2691571.57</v>
      </c>
      <c r="I21" s="1">
        <f t="shared" si="1"/>
        <v>2691571.57</v>
      </c>
      <c r="J21" s="1">
        <f t="shared" si="1"/>
        <v>2691571.57</v>
      </c>
      <c r="K21" s="1">
        <f t="shared" si="1"/>
        <v>3722823.1999999997</v>
      </c>
      <c r="L21" s="1">
        <f t="shared" si="1"/>
        <v>3722823.1999999997</v>
      </c>
      <c r="M21" s="1">
        <f t="shared" si="1"/>
        <v>3722823.1999999997</v>
      </c>
      <c r="N21" s="1">
        <f>M21+N16-N17</f>
        <v>3722823.1999999997</v>
      </c>
      <c r="O21" s="1">
        <f t="shared" si="1"/>
        <v>3722823.1999999997</v>
      </c>
      <c r="P21" s="1">
        <f t="shared" si="1"/>
        <v>3722823.1999999997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1058872.3412268434</v>
      </c>
      <c r="E22" s="27">
        <f>D22-E33-E34-E35+E17+E18+E20</f>
        <v>1052058.2812268434</v>
      </c>
      <c r="F22" s="1">
        <f t="shared" ref="F22:P22" si="2">E22-F33-F34-F35+F17+F18-F19</f>
        <v>1044656.5812268434</v>
      </c>
      <c r="G22" s="1">
        <f t="shared" si="2"/>
        <v>1037254.8812268435</v>
      </c>
      <c r="H22" s="1">
        <f t="shared" si="2"/>
        <v>1584820.7112268433</v>
      </c>
      <c r="I22" s="27">
        <f>H22-I33-I34-I35+I17+I18-I19</f>
        <v>1578850.8212268434</v>
      </c>
      <c r="J22" s="1">
        <f t="shared" si="2"/>
        <v>1572880.9312268435</v>
      </c>
      <c r="K22" s="1">
        <f t="shared" si="2"/>
        <v>1012659.4112268436</v>
      </c>
      <c r="L22" s="1">
        <f t="shared" si="2"/>
        <v>1006689.5212268436</v>
      </c>
      <c r="M22" s="1">
        <f t="shared" si="2"/>
        <v>1000719.6312268436</v>
      </c>
      <c r="N22" s="1">
        <f t="shared" si="2"/>
        <v>994749.74122684356</v>
      </c>
      <c r="O22" s="1">
        <f t="shared" si="2"/>
        <v>988779.85122684354</v>
      </c>
      <c r="P22" s="1">
        <f t="shared" si="2"/>
        <v>982809.96122684353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">
        <v>294900.01</v>
      </c>
      <c r="E23" s="199">
        <f>D23+E15-E16</f>
        <v>306487.75</v>
      </c>
      <c r="F23" s="199">
        <f t="shared" ref="F23:P23" si="3">E23+F15-F16</f>
        <v>333612.18</v>
      </c>
      <c r="G23" s="199">
        <f t="shared" si="3"/>
        <v>307630.18</v>
      </c>
      <c r="H23" s="199">
        <f t="shared" si="3"/>
        <v>307630.18</v>
      </c>
      <c r="I23" s="199">
        <f t="shared" si="3"/>
        <v>311259.7</v>
      </c>
      <c r="J23" s="199">
        <f t="shared" si="3"/>
        <v>414759.7</v>
      </c>
      <c r="K23" s="199">
        <f t="shared" si="3"/>
        <v>419759.70000000007</v>
      </c>
      <c r="L23" s="199">
        <f t="shared" si="3"/>
        <v>437759.70000000007</v>
      </c>
      <c r="M23" s="199">
        <f t="shared" si="3"/>
        <v>444009.70000000007</v>
      </c>
      <c r="N23" s="199">
        <f t="shared" si="3"/>
        <v>450259.70000000007</v>
      </c>
      <c r="O23" s="199">
        <f t="shared" si="3"/>
        <v>467009.70000000007</v>
      </c>
      <c r="P23" s="199">
        <f t="shared" si="3"/>
        <v>468259.70000000007</v>
      </c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224">
        <f>SUM(D21:D23)</f>
        <v>4599595.5512268431</v>
      </c>
      <c r="E24" s="199">
        <f t="shared" ref="E24:P24" si="4">SUM(E21:E23)</f>
        <v>4604369.2312268429</v>
      </c>
      <c r="F24" s="199">
        <f t="shared" si="4"/>
        <v>4624091.9612268433</v>
      </c>
      <c r="G24" s="199">
        <f t="shared" si="4"/>
        <v>4590708.2612268431</v>
      </c>
      <c r="H24" s="199">
        <f t="shared" si="4"/>
        <v>4584022.4612268433</v>
      </c>
      <c r="I24" s="199">
        <f t="shared" si="4"/>
        <v>4581682.0912268432</v>
      </c>
      <c r="J24" s="199">
        <f t="shared" si="4"/>
        <v>4679212.2012268435</v>
      </c>
      <c r="K24" s="199">
        <f t="shared" si="4"/>
        <v>5155242.3112268439</v>
      </c>
      <c r="L24" s="199">
        <f t="shared" si="4"/>
        <v>5167272.4212268433</v>
      </c>
      <c r="M24" s="199">
        <f t="shared" si="4"/>
        <v>5167552.5312268436</v>
      </c>
      <c r="N24" s="199">
        <f t="shared" si="4"/>
        <v>5167832.6412268439</v>
      </c>
      <c r="O24" s="199">
        <f t="shared" si="4"/>
        <v>5178612.7512268433</v>
      </c>
      <c r="P24" s="199">
        <f t="shared" si="4"/>
        <v>5173892.8612268437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4601982.391226843</v>
      </c>
      <c r="F26" s="1">
        <f t="shared" ref="F26:P26" si="5">(E24+F24)/2</f>
        <v>4614230.5962268431</v>
      </c>
      <c r="G26" s="1">
        <f t="shared" si="5"/>
        <v>4607400.1112268437</v>
      </c>
      <c r="H26" s="1">
        <f t="shared" si="5"/>
        <v>4587365.3612268437</v>
      </c>
      <c r="I26" s="1">
        <f t="shared" si="5"/>
        <v>4582852.2762268428</v>
      </c>
      <c r="J26" s="1">
        <f t="shared" si="5"/>
        <v>4630447.1462268438</v>
      </c>
      <c r="K26" s="1">
        <f t="shared" si="5"/>
        <v>4917227.2562268432</v>
      </c>
      <c r="L26" s="1">
        <f t="shared" si="5"/>
        <v>5161257.3662268436</v>
      </c>
      <c r="M26" s="1">
        <f t="shared" si="5"/>
        <v>5167412.4762268439</v>
      </c>
      <c r="N26" s="1">
        <f t="shared" si="5"/>
        <v>5167692.5862268433</v>
      </c>
      <c r="O26" s="1">
        <f t="shared" si="5"/>
        <v>5173222.6962268436</v>
      </c>
      <c r="P26" s="1">
        <f t="shared" si="5"/>
        <v>5176252.806226844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21187.526929208383</v>
      </c>
      <c r="F29" s="1">
        <v>21243.917665028384</v>
      </c>
      <c r="G29" s="1">
        <v>21212.470112088387</v>
      </c>
      <c r="H29" s="1">
        <v>21120.230123088386</v>
      </c>
      <c r="I29" s="1">
        <v>21099.451879748383</v>
      </c>
      <c r="J29" s="1">
        <v>21318.578661228388</v>
      </c>
      <c r="K29" s="1">
        <v>23548.601330070353</v>
      </c>
      <c r="L29" s="1">
        <v>24717.261526860351</v>
      </c>
      <c r="M29" s="1">
        <v>24746.738348650353</v>
      </c>
      <c r="N29" s="1">
        <v>24748.079795440353</v>
      </c>
      <c r="O29" s="1">
        <v>24774.563492230354</v>
      </c>
      <c r="P29" s="1">
        <v>24789.074689020355</v>
      </c>
      <c r="Q29" s="1">
        <f>ROUND(SUM(E29:P29),2)</f>
        <v>274506.49</v>
      </c>
    </row>
    <row r="30" spans="1:32" x14ac:dyDescent="0.25">
      <c r="A30" s="200"/>
      <c r="B30" s="23" t="s">
        <v>264</v>
      </c>
      <c r="C30" s="23" t="s">
        <v>279</v>
      </c>
      <c r="E30" s="1">
        <v>5347.5035386055915</v>
      </c>
      <c r="F30" s="1">
        <v>5361.7359528155921</v>
      </c>
      <c r="G30" s="1">
        <v>5353.7989292455923</v>
      </c>
      <c r="H30" s="1">
        <v>5330.5185497455923</v>
      </c>
      <c r="I30" s="1">
        <v>5325.2743449755917</v>
      </c>
      <c r="J30" s="1">
        <v>5380.5795839155926</v>
      </c>
      <c r="K30" s="1">
        <v>5158.1713917819588</v>
      </c>
      <c r="L30" s="1">
        <v>5414.1589771719591</v>
      </c>
      <c r="M30" s="1">
        <v>5420.615687561959</v>
      </c>
      <c r="N30" s="1">
        <v>5420.9095229519589</v>
      </c>
      <c r="O30" s="1">
        <v>5426.7106083419594</v>
      </c>
      <c r="P30" s="1">
        <v>5429.8891937319595</v>
      </c>
      <c r="Q30" s="1">
        <f>ROUND(SUM(E30:P30),2)</f>
        <v>64369.87</v>
      </c>
    </row>
    <row r="31" spans="1:32" x14ac:dyDescent="0.25">
      <c r="A31" s="200"/>
      <c r="B31" s="20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7401.7</v>
      </c>
      <c r="F33" s="1">
        <v>7401.7</v>
      </c>
      <c r="G33" s="1">
        <v>7401.7</v>
      </c>
      <c r="H33" s="1">
        <v>6685.8</v>
      </c>
      <c r="I33" s="1">
        <v>5969.89</v>
      </c>
      <c r="J33" s="1">
        <v>5969.89</v>
      </c>
      <c r="K33" s="1">
        <v>5969.89</v>
      </c>
      <c r="L33" s="1">
        <v>5969.89</v>
      </c>
      <c r="M33" s="1">
        <v>5969.89</v>
      </c>
      <c r="N33" s="1">
        <v>5969.89</v>
      </c>
      <c r="O33" s="1">
        <v>5969.89</v>
      </c>
      <c r="P33" s="1">
        <v>5969.89</v>
      </c>
      <c r="Q33" s="1">
        <f>SUM(E33:P33)</f>
        <v>76650.02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270</v>
      </c>
      <c r="C37" s="23" t="s">
        <v>285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33936.73046781397</v>
      </c>
      <c r="F39" s="1">
        <f t="shared" ref="F39:P39" si="6">SUM(F29:F37)</f>
        <v>34007.353617843975</v>
      </c>
      <c r="G39" s="1">
        <f t="shared" si="6"/>
        <v>33967.969041333978</v>
      </c>
      <c r="H39" s="1">
        <f t="shared" si="6"/>
        <v>33136.548672833982</v>
      </c>
      <c r="I39" s="1">
        <f t="shared" si="6"/>
        <v>32394.616224723974</v>
      </c>
      <c r="J39" s="1">
        <f t="shared" si="6"/>
        <v>32669.048245143982</v>
      </c>
      <c r="K39" s="1">
        <f t="shared" si="6"/>
        <v>34676.662721852314</v>
      </c>
      <c r="L39" s="1">
        <f t="shared" si="6"/>
        <v>36101.310504032313</v>
      </c>
      <c r="M39" s="1">
        <f t="shared" si="6"/>
        <v>36137.244036212316</v>
      </c>
      <c r="N39" s="1">
        <f t="shared" si="6"/>
        <v>36138.879318392312</v>
      </c>
      <c r="O39" s="1">
        <f t="shared" si="6"/>
        <v>36171.164100572314</v>
      </c>
      <c r="P39" s="1">
        <f t="shared" si="6"/>
        <v>36188.853882752315</v>
      </c>
      <c r="Q39" s="1">
        <f>SUM(E39:P39)</f>
        <v>415526.38083350775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2610.5177282933823</v>
      </c>
      <c r="F40" s="1">
        <f t="shared" ref="F40:P40" si="7">F39*1/13</f>
        <v>2615.9502782956906</v>
      </c>
      <c r="G40" s="1">
        <f t="shared" si="7"/>
        <v>2612.9206954872288</v>
      </c>
      <c r="H40" s="1">
        <f t="shared" si="7"/>
        <v>2548.9652825256908</v>
      </c>
      <c r="I40" s="1">
        <f t="shared" si="7"/>
        <v>2491.8935557479981</v>
      </c>
      <c r="J40" s="1">
        <f t="shared" si="7"/>
        <v>2513.0037111649217</v>
      </c>
      <c r="K40" s="1">
        <f t="shared" si="7"/>
        <v>2667.4355939886395</v>
      </c>
      <c r="L40" s="1">
        <f t="shared" si="7"/>
        <v>2777.0238849255625</v>
      </c>
      <c r="M40" s="1">
        <f t="shared" si="7"/>
        <v>2779.7880027855626</v>
      </c>
      <c r="N40" s="1">
        <f t="shared" si="7"/>
        <v>2779.9137937224855</v>
      </c>
      <c r="O40" s="1">
        <f t="shared" si="7"/>
        <v>2782.3972385055627</v>
      </c>
      <c r="P40" s="1">
        <f t="shared" si="7"/>
        <v>2783.7579909809474</v>
      </c>
      <c r="Q40" s="1">
        <f>SUM(E40:P40)</f>
        <v>31963.567756423672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31326.21</v>
      </c>
      <c r="F41" s="1">
        <f t="shared" si="8"/>
        <v>31391.4</v>
      </c>
      <c r="G41" s="1">
        <f t="shared" si="8"/>
        <v>31355.05</v>
      </c>
      <c r="H41" s="1">
        <f t="shared" si="8"/>
        <v>30587.58</v>
      </c>
      <c r="I41" s="1">
        <f t="shared" si="8"/>
        <v>29902.720000000001</v>
      </c>
      <c r="J41" s="1">
        <f t="shared" si="8"/>
        <v>30156.04</v>
      </c>
      <c r="K41" s="1">
        <f t="shared" si="8"/>
        <v>32009.23</v>
      </c>
      <c r="L41" s="1">
        <f t="shared" si="8"/>
        <v>33324.29</v>
      </c>
      <c r="M41" s="1">
        <f t="shared" si="8"/>
        <v>33357.46</v>
      </c>
      <c r="N41" s="1">
        <f t="shared" si="8"/>
        <v>33358.97</v>
      </c>
      <c r="O41" s="1">
        <f t="shared" si="8"/>
        <v>33388.769999999997</v>
      </c>
      <c r="P41" s="1">
        <f t="shared" si="8"/>
        <v>33405.1</v>
      </c>
      <c r="Q41" s="1">
        <f>SUM(E41:P41)</f>
        <v>383562.82000000007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2613.6503495673346</v>
      </c>
      <c r="F46" s="1">
        <v>2619.0894186296455</v>
      </c>
      <c r="G46" s="1">
        <v>2616.0562003218138</v>
      </c>
      <c r="H46" s="1">
        <v>2552.0240408647219</v>
      </c>
      <c r="I46" s="1">
        <v>2494.8838280148962</v>
      </c>
      <c r="J46" s="1">
        <v>2516.01931561832</v>
      </c>
      <c r="K46" s="1">
        <v>2670.636516701426</v>
      </c>
      <c r="L46" s="1">
        <v>2780.3563135874733</v>
      </c>
      <c r="M46" s="1">
        <v>2783.1237483889054</v>
      </c>
      <c r="N46" s="1">
        <v>2783.2496902749526</v>
      </c>
      <c r="O46" s="1">
        <v>2785.7361151917694</v>
      </c>
      <c r="P46" s="1">
        <v>2787.098500570125</v>
      </c>
      <c r="Q46" s="1">
        <f>SUM(E46:P46)</f>
        <v>32001.92403773138</v>
      </c>
    </row>
    <row r="47" spans="1:17" x14ac:dyDescent="0.25">
      <c r="A47" s="13">
        <v>13</v>
      </c>
      <c r="B47" s="23" t="s">
        <v>290</v>
      </c>
      <c r="E47" s="199">
        <f>E41*E44</f>
        <v>30459.811612166999</v>
      </c>
      <c r="F47" s="199">
        <f t="shared" ref="F47:P47" si="9">F41*F44</f>
        <v>30523.19863278</v>
      </c>
      <c r="G47" s="199">
        <f t="shared" si="9"/>
        <v>30487.853975635</v>
      </c>
      <c r="H47" s="199">
        <f t="shared" si="9"/>
        <v>29741.610123666003</v>
      </c>
      <c r="I47" s="199">
        <f t="shared" si="9"/>
        <v>29075.691502144</v>
      </c>
      <c r="J47" s="199">
        <f t="shared" si="9"/>
        <v>29322.005354908</v>
      </c>
      <c r="K47" s="199">
        <f t="shared" si="9"/>
        <v>31123.941123121</v>
      </c>
      <c r="L47" s="199">
        <f t="shared" si="9"/>
        <v>32402.630114183001</v>
      </c>
      <c r="M47" s="199">
        <f t="shared" si="9"/>
        <v>32434.882721541999</v>
      </c>
      <c r="N47" s="199">
        <f t="shared" si="9"/>
        <v>32436.350959019001</v>
      </c>
      <c r="O47" s="199">
        <f t="shared" si="9"/>
        <v>32465.326771478998</v>
      </c>
      <c r="P47" s="199">
        <f t="shared" si="9"/>
        <v>32481.205127769997</v>
      </c>
      <c r="Q47" s="199">
        <f>SUM(E47:P47)</f>
        <v>372954.50801841402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33073.461961734334</v>
      </c>
      <c r="F48" s="204">
        <f t="shared" si="10"/>
        <v>33142.288051409647</v>
      </c>
      <c r="G48" s="204">
        <f t="shared" si="10"/>
        <v>33103.910175956815</v>
      </c>
      <c r="H48" s="204">
        <f t="shared" si="10"/>
        <v>32293.634164530726</v>
      </c>
      <c r="I48" s="204">
        <f t="shared" si="10"/>
        <v>31570.575330158896</v>
      </c>
      <c r="J48" s="204">
        <f t="shared" si="10"/>
        <v>31838.02467052632</v>
      </c>
      <c r="K48" s="204">
        <f t="shared" si="10"/>
        <v>33794.577639822426</v>
      </c>
      <c r="L48" s="204">
        <f t="shared" si="10"/>
        <v>35182.986427770476</v>
      </c>
      <c r="M48" s="204">
        <f t="shared" si="10"/>
        <v>35218.0064699309</v>
      </c>
      <c r="N48" s="204">
        <f t="shared" si="10"/>
        <v>35219.600649293956</v>
      </c>
      <c r="O48" s="204">
        <f t="shared" si="10"/>
        <v>35251.06288667077</v>
      </c>
      <c r="P48" s="204">
        <f t="shared" si="10"/>
        <v>35268.303628340123</v>
      </c>
      <c r="Q48" s="204">
        <f t="shared" si="10"/>
        <v>404956.43205614539</v>
      </c>
    </row>
    <row r="49" spans="1:9" ht="13" thickTop="1" x14ac:dyDescent="0.25">
      <c r="A49" s="200"/>
      <c r="B49" s="20"/>
    </row>
    <row r="50" spans="1:9" x14ac:dyDescent="0.25">
      <c r="A50" s="210" t="s">
        <v>76</v>
      </c>
      <c r="B50" s="23"/>
    </row>
    <row r="51" spans="1:9" x14ac:dyDescent="0.25">
      <c r="A51" s="23" t="s">
        <v>168</v>
      </c>
      <c r="B51" s="23" t="s">
        <v>321</v>
      </c>
    </row>
    <row r="52" spans="1:9" x14ac:dyDescent="0.25">
      <c r="A52" s="23" t="s">
        <v>170</v>
      </c>
      <c r="B52" s="23" t="s">
        <v>293</v>
      </c>
    </row>
    <row r="53" spans="1:9" x14ac:dyDescent="0.25">
      <c r="A53" s="23" t="s">
        <v>255</v>
      </c>
      <c r="B53" s="23" t="s">
        <v>294</v>
      </c>
    </row>
    <row r="54" spans="1:9" x14ac:dyDescent="0.25">
      <c r="A54" s="23" t="s">
        <v>295</v>
      </c>
      <c r="B54" s="23" t="s">
        <v>296</v>
      </c>
    </row>
    <row r="55" spans="1:9" x14ac:dyDescent="0.25">
      <c r="A55" s="23" t="s">
        <v>297</v>
      </c>
      <c r="B55" s="23" t="s">
        <v>298</v>
      </c>
    </row>
    <row r="56" spans="1:9" x14ac:dyDescent="0.25">
      <c r="A56" s="23" t="s">
        <v>299</v>
      </c>
      <c r="B56" s="11" t="s">
        <v>300</v>
      </c>
    </row>
    <row r="57" spans="1:9" x14ac:dyDescent="0.25">
      <c r="A57" s="23" t="s">
        <v>301</v>
      </c>
      <c r="B57" s="23" t="s">
        <v>302</v>
      </c>
    </row>
    <row r="58" spans="1:9" x14ac:dyDescent="0.25">
      <c r="A58" s="23" t="s">
        <v>303</v>
      </c>
      <c r="B58" s="23" t="s">
        <v>304</v>
      </c>
    </row>
    <row r="59" spans="1:9" x14ac:dyDescent="0.25">
      <c r="A59" s="23" t="s">
        <v>305</v>
      </c>
      <c r="B59" s="23" t="s">
        <v>306</v>
      </c>
    </row>
    <row r="60" spans="1:9" x14ac:dyDescent="0.25">
      <c r="A60" s="11" t="s">
        <v>307</v>
      </c>
      <c r="B60" s="23" t="s">
        <v>308</v>
      </c>
    </row>
    <row r="61" spans="1:9" x14ac:dyDescent="0.25">
      <c r="A61" s="11" t="s">
        <v>309</v>
      </c>
      <c r="B61" s="23" t="s">
        <v>310</v>
      </c>
    </row>
    <row r="63" spans="1:9" ht="13" x14ac:dyDescent="0.3">
      <c r="B63" s="187"/>
      <c r="C63" s="188"/>
      <c r="D63" s="188"/>
      <c r="E63" s="188"/>
      <c r="F63" s="188"/>
      <c r="G63" s="188"/>
      <c r="H63" s="187"/>
      <c r="I63" s="188"/>
    </row>
    <row r="64" spans="1:9" x14ac:dyDescent="0.25">
      <c r="B64" s="188"/>
      <c r="C64" s="188"/>
      <c r="D64" s="188"/>
      <c r="E64" s="188"/>
      <c r="F64" s="188"/>
      <c r="G64" s="188"/>
      <c r="H64" s="188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ht="13" x14ac:dyDescent="0.3">
      <c r="B66" s="186"/>
      <c r="C66" s="188"/>
      <c r="D66" s="188"/>
      <c r="E66" s="188"/>
      <c r="F66" s="188"/>
      <c r="G66" s="188"/>
      <c r="H66" s="186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F69" s="188"/>
      <c r="G69" s="188"/>
      <c r="H69" s="188"/>
      <c r="I69" s="23"/>
    </row>
    <row r="70" spans="1:17" x14ac:dyDescent="0.25">
      <c r="B70" s="206"/>
      <c r="C70" s="188"/>
      <c r="D70" s="188"/>
      <c r="E70" s="188"/>
      <c r="F70" s="188"/>
      <c r="G70" s="188"/>
      <c r="H70" s="188"/>
      <c r="I70" s="188"/>
    </row>
    <row r="71" spans="1:17" x14ac:dyDescent="0.25"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B72" s="188"/>
      <c r="C72" s="188"/>
      <c r="D72" s="188"/>
      <c r="E72" s="188"/>
      <c r="F72" s="188"/>
      <c r="G72" s="188"/>
      <c r="H72" s="188"/>
      <c r="I72" s="188"/>
    </row>
    <row r="73" spans="1:17" x14ac:dyDescent="0.25">
      <c r="A73" s="206"/>
      <c r="B73" s="206"/>
      <c r="C73" s="188"/>
      <c r="D73" s="188"/>
      <c r="E73" s="188"/>
      <c r="F73" s="188"/>
      <c r="G73" s="188"/>
      <c r="H73" s="188"/>
      <c r="I73" s="188"/>
    </row>
    <row r="74" spans="1:17" x14ac:dyDescent="0.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5"/>
      <c r="B75" s="5"/>
      <c r="C75" s="5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13"/>
      <c r="B76" s="23"/>
      <c r="C76" s="2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</row>
    <row r="87" spans="1:16" x14ac:dyDescent="0.25">
      <c r="A87" s="13"/>
      <c r="B87" s="23"/>
      <c r="C87" s="23"/>
    </row>
    <row r="88" spans="1:16" x14ac:dyDescent="0.25">
      <c r="A88" s="200"/>
      <c r="B88" s="20"/>
    </row>
    <row r="89" spans="1:16" x14ac:dyDescent="0.25">
      <c r="A89" s="13"/>
      <c r="B89" s="23"/>
      <c r="C89" s="23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13"/>
      <c r="B90" s="23"/>
      <c r="C90" s="23"/>
    </row>
    <row r="91" spans="1:16" x14ac:dyDescent="0.25">
      <c r="A91" s="13"/>
      <c r="B91" s="23"/>
      <c r="C91" s="23"/>
    </row>
    <row r="92" spans="1:16" x14ac:dyDescent="0.25">
      <c r="A92" s="200"/>
      <c r="B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x14ac:dyDescent="0.25">
      <c r="A93" s="13"/>
      <c r="B93" s="23"/>
      <c r="C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02"/>
      <c r="C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13"/>
      <c r="B100" s="23"/>
    </row>
    <row r="101" spans="1:16" x14ac:dyDescent="0.25">
      <c r="A101" s="200"/>
      <c r="B101" s="23"/>
      <c r="C101" s="23"/>
    </row>
    <row r="102" spans="1:16" x14ac:dyDescent="0.25">
      <c r="A102" s="200"/>
      <c r="B102" s="23"/>
      <c r="C102" s="23"/>
    </row>
    <row r="103" spans="1:16" x14ac:dyDescent="0.25">
      <c r="A103" s="200"/>
      <c r="B103" s="200"/>
      <c r="C103" s="202"/>
    </row>
    <row r="104" spans="1:16" x14ac:dyDescent="0.25">
      <c r="A104" s="13"/>
      <c r="B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200"/>
      <c r="B106" s="23"/>
      <c r="C106" s="202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200"/>
      <c r="B110" s="200"/>
    </row>
    <row r="111" spans="1:16" x14ac:dyDescent="0.25">
      <c r="A111" s="13"/>
    </row>
    <row r="112" spans="1:16" x14ac:dyDescent="0.25">
      <c r="A112" s="13"/>
    </row>
    <row r="113" spans="1:17" x14ac:dyDescent="0.25">
      <c r="A113" s="13"/>
    </row>
    <row r="114" spans="1:17" x14ac:dyDescent="0.25">
      <c r="A114" s="13"/>
    </row>
    <row r="115" spans="1:17" ht="13" x14ac:dyDescent="0.3">
      <c r="Q115" s="226"/>
    </row>
    <row r="116" spans="1:17" x14ac:dyDescent="0.25">
      <c r="Q116" s="202"/>
    </row>
    <row r="117" spans="1:17" ht="13" x14ac:dyDescent="0.3">
      <c r="B117" s="187"/>
      <c r="C117" s="188"/>
      <c r="D117" s="188"/>
      <c r="E117" s="188"/>
      <c r="F117" s="188"/>
      <c r="G117" s="188"/>
      <c r="H117" s="187"/>
      <c r="I117" s="188"/>
    </row>
    <row r="118" spans="1:17" x14ac:dyDescent="0.25">
      <c r="B118" s="188"/>
      <c r="C118" s="188"/>
      <c r="D118" s="188"/>
      <c r="E118" s="188"/>
      <c r="F118" s="188"/>
      <c r="G118" s="188"/>
      <c r="H118" s="188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ht="13" x14ac:dyDescent="0.3">
      <c r="B120" s="186"/>
      <c r="C120" s="188"/>
      <c r="D120" s="188"/>
      <c r="E120" s="188"/>
      <c r="F120" s="188"/>
      <c r="G120" s="188"/>
      <c r="H120" s="186"/>
      <c r="I120" s="188"/>
    </row>
    <row r="121" spans="1:17" x14ac:dyDescent="0.25">
      <c r="B121" s="188"/>
      <c r="C121" s="188"/>
      <c r="D121" s="188"/>
      <c r="E121" s="188"/>
      <c r="F121" s="188"/>
      <c r="G121" s="188"/>
      <c r="H121" s="188"/>
      <c r="I121" s="188"/>
    </row>
    <row r="122" spans="1:17" x14ac:dyDescent="0.25">
      <c r="B122" s="188"/>
      <c r="C122" s="188"/>
      <c r="D122" s="188"/>
      <c r="E122" s="188"/>
      <c r="F122" s="188"/>
      <c r="G122" s="188"/>
      <c r="H122" s="188"/>
      <c r="I122" s="188"/>
    </row>
    <row r="123" spans="1:17" x14ac:dyDescent="0.25">
      <c r="B123" s="188"/>
      <c r="C123" s="188"/>
      <c r="F123" s="188"/>
      <c r="G123" s="188"/>
      <c r="H123" s="188"/>
      <c r="I123" s="23"/>
    </row>
    <row r="124" spans="1:17" x14ac:dyDescent="0.25">
      <c r="B124" s="206"/>
      <c r="C124" s="188"/>
      <c r="D124" s="188"/>
      <c r="E124" s="188"/>
      <c r="F124" s="188"/>
      <c r="G124" s="188"/>
      <c r="H124" s="188"/>
      <c r="I124" s="188"/>
    </row>
    <row r="125" spans="1:17" x14ac:dyDescent="0.25">
      <c r="B125" s="206"/>
      <c r="C125" s="188"/>
      <c r="D125" s="188"/>
      <c r="E125" s="188"/>
      <c r="F125" s="188"/>
      <c r="G125" s="188"/>
      <c r="H125" s="188"/>
      <c r="I125" s="188"/>
    </row>
    <row r="126" spans="1:17" x14ac:dyDescent="0.25">
      <c r="B126" s="188"/>
      <c r="C126" s="188"/>
      <c r="D126" s="188"/>
      <c r="E126" s="188"/>
      <c r="F126" s="188"/>
      <c r="G126" s="188"/>
      <c r="H126" s="188"/>
      <c r="I126" s="188"/>
    </row>
    <row r="127" spans="1:17" x14ac:dyDescent="0.25">
      <c r="A127" s="206"/>
      <c r="B127" s="206"/>
      <c r="C127" s="188"/>
      <c r="D127" s="188"/>
      <c r="E127" s="188"/>
      <c r="F127" s="188"/>
      <c r="G127" s="188"/>
      <c r="H127" s="188"/>
      <c r="I127" s="188"/>
    </row>
    <row r="128" spans="1:17" x14ac:dyDescent="0.25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x14ac:dyDescent="0.25">
      <c r="A129" s="5"/>
      <c r="B129" s="5"/>
      <c r="C129" s="5"/>
      <c r="D129" s="1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5">
      <c r="A130" s="13"/>
      <c r="B130" s="23"/>
      <c r="C130" s="23"/>
    </row>
    <row r="131" spans="1:17" x14ac:dyDescent="0.25">
      <c r="A131" s="13"/>
      <c r="B131" s="23"/>
      <c r="C131" s="23"/>
    </row>
    <row r="132" spans="1:17" x14ac:dyDescent="0.25">
      <c r="A132" s="13"/>
      <c r="B132" s="23"/>
      <c r="C132" s="23"/>
    </row>
    <row r="133" spans="1:17" x14ac:dyDescent="0.25">
      <c r="A133" s="13"/>
      <c r="B133" s="23"/>
      <c r="C133" s="23"/>
    </row>
    <row r="134" spans="1:17" x14ac:dyDescent="0.25">
      <c r="A134" s="13"/>
      <c r="B134" s="23"/>
      <c r="C134" s="23"/>
    </row>
    <row r="135" spans="1:17" x14ac:dyDescent="0.25">
      <c r="A135" s="13"/>
      <c r="B135" s="23"/>
      <c r="C135" s="23"/>
    </row>
    <row r="136" spans="1:17" x14ac:dyDescent="0.25">
      <c r="A136" s="13"/>
      <c r="B136" s="23"/>
      <c r="C136" s="13"/>
    </row>
    <row r="137" spans="1:17" x14ac:dyDescent="0.25">
      <c r="A137" s="13"/>
      <c r="B137" s="23"/>
      <c r="C137" s="13"/>
    </row>
    <row r="138" spans="1:17" x14ac:dyDescent="0.25">
      <c r="A138" s="13"/>
      <c r="B138" s="23"/>
      <c r="C138" s="13"/>
    </row>
    <row r="139" spans="1:17" x14ac:dyDescent="0.25">
      <c r="A139" s="13"/>
      <c r="B139" s="23"/>
      <c r="C139" s="13"/>
    </row>
    <row r="140" spans="1:17" x14ac:dyDescent="0.25">
      <c r="A140" s="13"/>
      <c r="B140" s="23"/>
    </row>
    <row r="141" spans="1:17" x14ac:dyDescent="0.25">
      <c r="A141" s="13"/>
      <c r="B141" s="23"/>
      <c r="C141" s="23"/>
    </row>
    <row r="142" spans="1:17" x14ac:dyDescent="0.25">
      <c r="A142" s="200"/>
      <c r="B142" s="20"/>
    </row>
    <row r="143" spans="1:17" x14ac:dyDescent="0.25">
      <c r="A143" s="13"/>
      <c r="B143" s="23"/>
      <c r="C143" s="23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</row>
    <row r="144" spans="1:17" x14ac:dyDescent="0.25">
      <c r="A144" s="13"/>
      <c r="B144" s="23"/>
      <c r="C144" s="23"/>
    </row>
    <row r="145" spans="1:16" x14ac:dyDescent="0.25">
      <c r="A145" s="13"/>
      <c r="B145" s="23"/>
      <c r="C145" s="23"/>
    </row>
    <row r="146" spans="1:16" x14ac:dyDescent="0.25">
      <c r="A146" s="200"/>
      <c r="B146" s="202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</row>
    <row r="147" spans="1:16" x14ac:dyDescent="0.25">
      <c r="A147" s="13"/>
      <c r="B147" s="23"/>
      <c r="C147" s="23"/>
    </row>
    <row r="148" spans="1:16" x14ac:dyDescent="0.25">
      <c r="A148" s="200"/>
      <c r="B148" s="23"/>
      <c r="C148" s="23"/>
    </row>
    <row r="149" spans="1:16" x14ac:dyDescent="0.25">
      <c r="A149" s="200"/>
      <c r="B149" s="23"/>
      <c r="C149" s="23"/>
    </row>
    <row r="150" spans="1:16" x14ac:dyDescent="0.25">
      <c r="A150" s="200"/>
      <c r="B150" s="23"/>
      <c r="C150" s="23"/>
    </row>
    <row r="151" spans="1:16" x14ac:dyDescent="0.25">
      <c r="A151" s="200"/>
      <c r="B151" s="23"/>
      <c r="C151" s="23"/>
    </row>
    <row r="152" spans="1:16" x14ac:dyDescent="0.25">
      <c r="A152" s="200"/>
      <c r="B152" s="23"/>
      <c r="C152" s="23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</row>
    <row r="153" spans="1:16" x14ac:dyDescent="0.25">
      <c r="A153" s="200"/>
      <c r="B153" s="202"/>
      <c r="C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</row>
    <row r="154" spans="1:16" x14ac:dyDescent="0.25">
      <c r="A154" s="13"/>
      <c r="B154" s="23"/>
    </row>
    <row r="155" spans="1:16" x14ac:dyDescent="0.25">
      <c r="A155" s="200"/>
      <c r="B155" s="23"/>
      <c r="C155" s="23"/>
    </row>
    <row r="156" spans="1:16" x14ac:dyDescent="0.25">
      <c r="A156" s="200"/>
      <c r="B156" s="23"/>
      <c r="C156" s="23"/>
    </row>
    <row r="157" spans="1:16" x14ac:dyDescent="0.25">
      <c r="A157" s="200"/>
      <c r="B157" s="200"/>
      <c r="C157" s="202"/>
    </row>
    <row r="158" spans="1:16" x14ac:dyDescent="0.25">
      <c r="A158" s="13"/>
      <c r="B158" s="2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1:16" x14ac:dyDescent="0.25">
      <c r="A159" s="13"/>
      <c r="B159" s="2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</row>
    <row r="160" spans="1:16" x14ac:dyDescent="0.25">
      <c r="A160" s="200"/>
      <c r="B160" s="23"/>
      <c r="C160" s="202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9" x14ac:dyDescent="0.25">
      <c r="A161" s="13"/>
      <c r="B161" s="23"/>
    </row>
    <row r="162" spans="1:9" x14ac:dyDescent="0.25">
      <c r="A162" s="13"/>
      <c r="B162" s="23"/>
    </row>
    <row r="163" spans="1:9" x14ac:dyDescent="0.25">
      <c r="A163" s="13"/>
      <c r="B163" s="23"/>
    </row>
    <row r="164" spans="1:9" x14ac:dyDescent="0.25">
      <c r="A164" s="200"/>
      <c r="B164" s="200"/>
    </row>
    <row r="172" spans="1:9" ht="13" x14ac:dyDescent="0.3">
      <c r="B172" s="187"/>
      <c r="C172" s="188"/>
      <c r="D172" s="188"/>
      <c r="E172" s="188"/>
      <c r="F172" s="188"/>
      <c r="G172" s="188"/>
      <c r="H172" s="187"/>
      <c r="I172" s="188"/>
    </row>
    <row r="173" spans="1:9" x14ac:dyDescent="0.25">
      <c r="B173" s="188"/>
      <c r="C173" s="188"/>
      <c r="D173" s="188"/>
      <c r="E173" s="188"/>
      <c r="F173" s="188"/>
      <c r="G173" s="188"/>
      <c r="H173" s="188"/>
      <c r="I173" s="188"/>
    </row>
    <row r="174" spans="1:9" x14ac:dyDescent="0.25">
      <c r="B174" s="188"/>
      <c r="C174" s="188"/>
      <c r="D174" s="188"/>
      <c r="E174" s="188"/>
      <c r="F174" s="188"/>
      <c r="G174" s="188"/>
      <c r="H174" s="188"/>
      <c r="I174" s="188"/>
    </row>
    <row r="175" spans="1:9" ht="13" x14ac:dyDescent="0.3">
      <c r="B175" s="186"/>
      <c r="C175" s="188"/>
      <c r="D175" s="188"/>
      <c r="E175" s="188"/>
      <c r="F175" s="188"/>
      <c r="G175" s="188"/>
      <c r="H175" s="186"/>
      <c r="I175" s="188"/>
    </row>
    <row r="176" spans="1:9" x14ac:dyDescent="0.25">
      <c r="B176" s="188"/>
      <c r="C176" s="188"/>
      <c r="D176" s="188"/>
      <c r="E176" s="188"/>
      <c r="F176" s="188"/>
      <c r="G176" s="188"/>
      <c r="H176" s="188"/>
      <c r="I176" s="188"/>
    </row>
    <row r="177" spans="1:17" x14ac:dyDescent="0.25">
      <c r="B177" s="188"/>
      <c r="C177" s="188"/>
      <c r="D177" s="188"/>
      <c r="E177" s="188"/>
      <c r="F177" s="188"/>
      <c r="G177" s="188"/>
      <c r="H177" s="188"/>
      <c r="I177" s="188"/>
    </row>
    <row r="178" spans="1:17" x14ac:dyDescent="0.25">
      <c r="B178" s="188"/>
      <c r="C178" s="188"/>
      <c r="F178" s="188"/>
      <c r="G178" s="188"/>
      <c r="H178" s="188"/>
      <c r="I178" s="23"/>
    </row>
    <row r="179" spans="1:17" x14ac:dyDescent="0.25">
      <c r="B179" s="206"/>
      <c r="C179" s="188"/>
      <c r="D179" s="188"/>
      <c r="E179" s="188"/>
      <c r="F179" s="188"/>
      <c r="G179" s="188"/>
      <c r="H179" s="188"/>
      <c r="I179" s="188"/>
    </row>
    <row r="180" spans="1:17" x14ac:dyDescent="0.25">
      <c r="B180" s="206"/>
      <c r="C180" s="188"/>
      <c r="D180" s="188"/>
      <c r="E180" s="188"/>
      <c r="F180" s="188"/>
      <c r="G180" s="188"/>
      <c r="H180" s="188"/>
      <c r="I180" s="188"/>
    </row>
    <row r="181" spans="1:17" x14ac:dyDescent="0.25">
      <c r="B181" s="188"/>
      <c r="C181" s="188"/>
      <c r="D181" s="188"/>
      <c r="E181" s="188"/>
      <c r="F181" s="188"/>
      <c r="G181" s="188"/>
      <c r="H181" s="188"/>
      <c r="I181" s="188"/>
    </row>
    <row r="182" spans="1:17" x14ac:dyDescent="0.25">
      <c r="A182" s="206"/>
      <c r="B182" s="206"/>
      <c r="C182" s="188"/>
      <c r="D182" s="188"/>
      <c r="E182" s="188"/>
      <c r="F182" s="188"/>
      <c r="G182" s="188"/>
      <c r="H182" s="188"/>
      <c r="I182" s="188"/>
    </row>
    <row r="183" spans="1:17" x14ac:dyDescent="0.25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x14ac:dyDescent="0.25">
      <c r="A184" s="5"/>
      <c r="B184" s="5"/>
      <c r="C184" s="5"/>
      <c r="D184" s="1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25">
      <c r="A185" s="13"/>
      <c r="B185" s="23"/>
      <c r="C185" s="23"/>
    </row>
    <row r="186" spans="1:17" x14ac:dyDescent="0.25">
      <c r="A186" s="13"/>
      <c r="B186" s="23"/>
      <c r="C186" s="23"/>
    </row>
    <row r="187" spans="1:17" x14ac:dyDescent="0.25">
      <c r="A187" s="13"/>
      <c r="B187" s="23"/>
      <c r="C187" s="23"/>
    </row>
    <row r="188" spans="1:17" x14ac:dyDescent="0.25">
      <c r="A188" s="13"/>
      <c r="B188" s="23"/>
      <c r="C188" s="23"/>
    </row>
    <row r="189" spans="1:17" x14ac:dyDescent="0.25">
      <c r="A189" s="13"/>
      <c r="B189" s="23"/>
      <c r="C189" s="23"/>
    </row>
    <row r="190" spans="1:17" x14ac:dyDescent="0.25">
      <c r="A190" s="13"/>
      <c r="B190" s="23"/>
      <c r="C190" s="25"/>
    </row>
    <row r="191" spans="1:17" x14ac:dyDescent="0.25">
      <c r="A191" s="13"/>
      <c r="B191" s="23"/>
      <c r="C191" s="13"/>
    </row>
    <row r="192" spans="1:17" x14ac:dyDescent="0.25">
      <c r="A192" s="13"/>
      <c r="B192" s="23"/>
      <c r="C192" s="13"/>
    </row>
    <row r="193" spans="1:16" x14ac:dyDescent="0.25">
      <c r="A193" s="13"/>
      <c r="B193" s="23"/>
      <c r="C193" s="13"/>
    </row>
    <row r="194" spans="1:16" x14ac:dyDescent="0.25">
      <c r="A194" s="13"/>
      <c r="B194" s="23"/>
      <c r="C194" s="13"/>
    </row>
    <row r="195" spans="1:16" x14ac:dyDescent="0.25">
      <c r="A195" s="13"/>
      <c r="B195" s="23"/>
    </row>
    <row r="196" spans="1:16" x14ac:dyDescent="0.25">
      <c r="A196" s="13"/>
      <c r="B196" s="23"/>
      <c r="C196" s="23"/>
    </row>
    <row r="197" spans="1:16" x14ac:dyDescent="0.25">
      <c r="A197" s="200"/>
      <c r="B197" s="20"/>
    </row>
    <row r="198" spans="1:16" x14ac:dyDescent="0.25">
      <c r="A198" s="13"/>
      <c r="B198" s="23"/>
      <c r="C198" s="23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</row>
    <row r="199" spans="1:16" x14ac:dyDescent="0.25">
      <c r="A199" s="13"/>
      <c r="B199" s="23"/>
      <c r="C199" s="23"/>
    </row>
    <row r="200" spans="1:16" x14ac:dyDescent="0.25">
      <c r="A200" s="13"/>
      <c r="B200" s="23"/>
      <c r="C200" s="23"/>
    </row>
    <row r="201" spans="1:16" x14ac:dyDescent="0.25">
      <c r="A201" s="200"/>
      <c r="B201" s="202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</row>
    <row r="202" spans="1:16" x14ac:dyDescent="0.25">
      <c r="A202" s="13"/>
      <c r="B202" s="23"/>
      <c r="C202" s="23"/>
    </row>
    <row r="203" spans="1:16" x14ac:dyDescent="0.25">
      <c r="A203" s="200"/>
      <c r="B203" s="23"/>
      <c r="C203" s="23"/>
    </row>
    <row r="204" spans="1:16" x14ac:dyDescent="0.25">
      <c r="A204" s="200"/>
      <c r="B204" s="23"/>
      <c r="C204" s="23"/>
    </row>
    <row r="205" spans="1:16" x14ac:dyDescent="0.25">
      <c r="A205" s="200"/>
      <c r="B205" s="23"/>
      <c r="C205" s="23"/>
    </row>
    <row r="206" spans="1:16" x14ac:dyDescent="0.25">
      <c r="A206" s="200"/>
      <c r="B206" s="23"/>
      <c r="C206" s="23"/>
    </row>
    <row r="207" spans="1:16" x14ac:dyDescent="0.25">
      <c r="A207" s="200"/>
      <c r="B207" s="23"/>
      <c r="C207" s="23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</row>
    <row r="208" spans="1:16" x14ac:dyDescent="0.25">
      <c r="A208" s="200"/>
      <c r="B208" s="202"/>
      <c r="C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</row>
    <row r="209" spans="1:16" x14ac:dyDescent="0.25">
      <c r="A209" s="13"/>
      <c r="B209" s="23"/>
    </row>
    <row r="210" spans="1:16" x14ac:dyDescent="0.25">
      <c r="A210" s="200"/>
      <c r="B210" s="23"/>
      <c r="C210" s="23"/>
    </row>
    <row r="211" spans="1:16" x14ac:dyDescent="0.25">
      <c r="A211" s="200"/>
      <c r="B211" s="23"/>
      <c r="C211" s="23"/>
    </row>
    <row r="212" spans="1:16" x14ac:dyDescent="0.25">
      <c r="A212" s="200"/>
      <c r="B212" s="200"/>
      <c r="C212" s="202"/>
    </row>
    <row r="213" spans="1:16" x14ac:dyDescent="0.25">
      <c r="A213" s="13"/>
      <c r="B213" s="2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</row>
    <row r="214" spans="1:16" x14ac:dyDescent="0.25">
      <c r="A214" s="13"/>
      <c r="B214" s="2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</row>
    <row r="215" spans="1:16" x14ac:dyDescent="0.25">
      <c r="A215" s="200"/>
      <c r="B215" s="23"/>
      <c r="C215" s="202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</row>
    <row r="216" spans="1:16" x14ac:dyDescent="0.25">
      <c r="A216" s="13"/>
      <c r="B216" s="23"/>
    </row>
    <row r="217" spans="1:16" x14ac:dyDescent="0.25">
      <c r="A217" s="13"/>
      <c r="B217" s="23"/>
    </row>
    <row r="218" spans="1:16" x14ac:dyDescent="0.25">
      <c r="A218" s="13"/>
      <c r="B218" s="23"/>
    </row>
    <row r="219" spans="1:16" x14ac:dyDescent="0.25">
      <c r="A219" s="200"/>
      <c r="B219" s="200"/>
    </row>
    <row r="220" spans="1:16" x14ac:dyDescent="0.25">
      <c r="A220" s="13"/>
      <c r="B220" s="13"/>
    </row>
    <row r="221" spans="1:16" x14ac:dyDescent="0.25">
      <c r="A221" s="13"/>
      <c r="B221" s="23"/>
    </row>
    <row r="222" spans="1:16" x14ac:dyDescent="0.25">
      <c r="A222" s="13"/>
      <c r="B222" s="23"/>
    </row>
    <row r="223" spans="1:16" x14ac:dyDescent="0.25">
      <c r="A223" s="13"/>
      <c r="B223" s="23"/>
    </row>
    <row r="224" spans="1:16" x14ac:dyDescent="0.25">
      <c r="A224" s="13"/>
      <c r="B224" s="23"/>
    </row>
    <row r="227" spans="1:17" ht="13" x14ac:dyDescent="0.3">
      <c r="B227" s="187"/>
      <c r="C227" s="188"/>
      <c r="D227" s="188"/>
      <c r="E227" s="188"/>
      <c r="F227" s="188"/>
      <c r="G227" s="188"/>
      <c r="H227" s="187"/>
      <c r="I227" s="188"/>
    </row>
    <row r="228" spans="1:17" x14ac:dyDescent="0.25">
      <c r="B228" s="188"/>
      <c r="C228" s="188"/>
      <c r="D228" s="188"/>
      <c r="E228" s="188"/>
      <c r="F228" s="188"/>
      <c r="G228" s="188"/>
      <c r="H228" s="188"/>
      <c r="I228" s="188"/>
    </row>
    <row r="229" spans="1:17" x14ac:dyDescent="0.25">
      <c r="B229" s="188"/>
      <c r="C229" s="188"/>
      <c r="D229" s="188"/>
      <c r="E229" s="188"/>
      <c r="F229" s="188"/>
      <c r="G229" s="188"/>
      <c r="H229" s="188"/>
      <c r="I229" s="188"/>
    </row>
    <row r="230" spans="1:17" ht="13" x14ac:dyDescent="0.3">
      <c r="B230" s="186"/>
      <c r="C230" s="188"/>
      <c r="D230" s="188"/>
      <c r="E230" s="188"/>
      <c r="F230" s="188"/>
      <c r="G230" s="188"/>
      <c r="H230" s="186"/>
      <c r="I230" s="188"/>
    </row>
    <row r="231" spans="1:17" x14ac:dyDescent="0.25">
      <c r="B231" s="188"/>
      <c r="C231" s="188"/>
      <c r="D231" s="188"/>
      <c r="E231" s="188"/>
      <c r="F231" s="188"/>
      <c r="G231" s="188"/>
      <c r="H231" s="188"/>
      <c r="I231" s="188"/>
    </row>
    <row r="232" spans="1:17" x14ac:dyDescent="0.25">
      <c r="B232" s="188"/>
      <c r="C232" s="188"/>
      <c r="D232" s="188"/>
      <c r="E232" s="188"/>
      <c r="F232" s="188"/>
      <c r="G232" s="188"/>
      <c r="H232" s="188"/>
      <c r="I232" s="188"/>
    </row>
    <row r="233" spans="1:17" x14ac:dyDescent="0.25">
      <c r="B233" s="188"/>
      <c r="C233" s="188"/>
      <c r="F233" s="188"/>
      <c r="G233" s="188"/>
      <c r="H233" s="188"/>
      <c r="I233" s="23"/>
    </row>
    <row r="234" spans="1:17" x14ac:dyDescent="0.25">
      <c r="B234" s="206"/>
      <c r="C234" s="188"/>
      <c r="D234" s="188"/>
      <c r="E234" s="188"/>
      <c r="F234" s="188"/>
      <c r="G234" s="188"/>
      <c r="H234" s="188"/>
      <c r="I234" s="188"/>
    </row>
    <row r="235" spans="1:17" x14ac:dyDescent="0.25">
      <c r="B235" s="206"/>
      <c r="C235" s="188"/>
      <c r="D235" s="188"/>
      <c r="E235" s="188"/>
      <c r="F235" s="188"/>
      <c r="G235" s="188"/>
      <c r="H235" s="188"/>
      <c r="I235" s="188"/>
    </row>
    <row r="236" spans="1:17" x14ac:dyDescent="0.25">
      <c r="B236" s="188"/>
      <c r="C236" s="188"/>
      <c r="D236" s="188"/>
      <c r="E236" s="188"/>
      <c r="F236" s="188"/>
      <c r="G236" s="188"/>
      <c r="H236" s="188"/>
      <c r="I236" s="188"/>
    </row>
    <row r="237" spans="1:17" x14ac:dyDescent="0.25">
      <c r="A237" s="206"/>
      <c r="B237" s="206"/>
      <c r="C237" s="188"/>
      <c r="D237" s="188"/>
      <c r="E237" s="188"/>
      <c r="F237" s="188"/>
      <c r="G237" s="188"/>
      <c r="H237" s="188"/>
      <c r="I237" s="188"/>
    </row>
    <row r="238" spans="1:17" x14ac:dyDescent="0.25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x14ac:dyDescent="0.25">
      <c r="A239" s="5"/>
      <c r="B239" s="5"/>
      <c r="C239" s="5"/>
      <c r="D239" s="1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x14ac:dyDescent="0.25">
      <c r="A240" s="13"/>
      <c r="B240" s="23"/>
      <c r="C240" s="23"/>
    </row>
    <row r="241" spans="1:16" x14ac:dyDescent="0.25">
      <c r="A241" s="13"/>
      <c r="B241" s="23"/>
      <c r="C241" s="23"/>
    </row>
    <row r="242" spans="1:16" x14ac:dyDescent="0.25">
      <c r="A242" s="13"/>
      <c r="B242" s="23"/>
      <c r="C242" s="23"/>
    </row>
    <row r="243" spans="1:16" x14ac:dyDescent="0.25">
      <c r="A243" s="13"/>
      <c r="B243" s="23"/>
      <c r="C243" s="23"/>
    </row>
    <row r="244" spans="1:16" x14ac:dyDescent="0.25">
      <c r="A244" s="13"/>
      <c r="B244" s="23"/>
      <c r="C244" s="23"/>
    </row>
    <row r="245" spans="1:16" x14ac:dyDescent="0.25">
      <c r="A245" s="13"/>
      <c r="B245" s="23"/>
    </row>
    <row r="246" spans="1:16" x14ac:dyDescent="0.25">
      <c r="A246" s="13"/>
      <c r="B246" s="23"/>
      <c r="C246" s="13"/>
    </row>
    <row r="247" spans="1:16" x14ac:dyDescent="0.25">
      <c r="A247" s="13"/>
      <c r="B247" s="23"/>
      <c r="C247" s="13"/>
    </row>
    <row r="248" spans="1:16" x14ac:dyDescent="0.25">
      <c r="A248" s="13"/>
      <c r="B248" s="23"/>
      <c r="C248" s="13"/>
    </row>
    <row r="249" spans="1:16" x14ac:dyDescent="0.25">
      <c r="A249" s="13"/>
      <c r="B249" s="23"/>
      <c r="C249" s="13"/>
    </row>
    <row r="250" spans="1:16" x14ac:dyDescent="0.25">
      <c r="A250" s="13"/>
      <c r="B250" s="23"/>
    </row>
    <row r="251" spans="1:16" x14ac:dyDescent="0.25">
      <c r="A251" s="13"/>
      <c r="B251" s="23"/>
      <c r="C251" s="23"/>
    </row>
    <row r="252" spans="1:16" x14ac:dyDescent="0.25">
      <c r="A252" s="200"/>
      <c r="B252" s="20"/>
    </row>
    <row r="253" spans="1:16" x14ac:dyDescent="0.25">
      <c r="A253" s="13"/>
      <c r="B253" s="23"/>
      <c r="C253" s="23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</row>
    <row r="254" spans="1:16" x14ac:dyDescent="0.25">
      <c r="A254" s="13"/>
      <c r="B254" s="23"/>
      <c r="C254" s="23"/>
    </row>
    <row r="255" spans="1:16" x14ac:dyDescent="0.25">
      <c r="A255" s="13"/>
      <c r="B255" s="23"/>
      <c r="C255" s="23"/>
    </row>
    <row r="256" spans="1:16" x14ac:dyDescent="0.25">
      <c r="A256" s="200"/>
      <c r="B256" s="202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</row>
    <row r="257" spans="1:16" x14ac:dyDescent="0.25">
      <c r="A257" s="13"/>
      <c r="B257" s="23"/>
      <c r="C257" s="23"/>
    </row>
    <row r="258" spans="1:16" x14ac:dyDescent="0.25">
      <c r="A258" s="200"/>
      <c r="B258" s="23"/>
      <c r="C258" s="23"/>
    </row>
    <row r="259" spans="1:16" x14ac:dyDescent="0.25">
      <c r="A259" s="200"/>
      <c r="B259" s="23"/>
      <c r="C259" s="23"/>
    </row>
    <row r="260" spans="1:16" x14ac:dyDescent="0.25">
      <c r="A260" s="200"/>
      <c r="B260" s="23"/>
      <c r="C260" s="23"/>
    </row>
    <row r="261" spans="1:16" x14ac:dyDescent="0.25">
      <c r="A261" s="200"/>
      <c r="B261" s="23"/>
      <c r="C261" s="23"/>
    </row>
    <row r="262" spans="1:16" x14ac:dyDescent="0.25">
      <c r="A262" s="200"/>
      <c r="B262" s="23"/>
      <c r="C262" s="23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</row>
    <row r="263" spans="1:16" x14ac:dyDescent="0.25">
      <c r="A263" s="200"/>
      <c r="B263" s="202"/>
      <c r="C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</row>
    <row r="264" spans="1:16" x14ac:dyDescent="0.25">
      <c r="A264" s="13"/>
      <c r="B264" s="23"/>
    </row>
    <row r="265" spans="1:16" x14ac:dyDescent="0.25">
      <c r="A265" s="200"/>
      <c r="B265" s="23"/>
      <c r="C265" s="23"/>
    </row>
    <row r="266" spans="1:16" x14ac:dyDescent="0.25">
      <c r="A266" s="200"/>
      <c r="B266" s="23"/>
      <c r="C266" s="23"/>
    </row>
    <row r="267" spans="1:16" x14ac:dyDescent="0.25">
      <c r="A267" s="200"/>
      <c r="B267" s="200"/>
      <c r="C267" s="202"/>
    </row>
    <row r="268" spans="1:16" x14ac:dyDescent="0.25">
      <c r="A268" s="13"/>
      <c r="B268" s="2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</row>
    <row r="269" spans="1:16" x14ac:dyDescent="0.25">
      <c r="A269" s="13"/>
      <c r="B269" s="2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</row>
    <row r="270" spans="1:16" x14ac:dyDescent="0.25">
      <c r="A270" s="200"/>
      <c r="B270" s="23"/>
      <c r="C270" s="202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</row>
    <row r="271" spans="1:16" x14ac:dyDescent="0.25">
      <c r="A271" s="13"/>
      <c r="B271" s="23"/>
    </row>
    <row r="272" spans="1:16" x14ac:dyDescent="0.25">
      <c r="A272" s="13"/>
      <c r="B272" s="23"/>
    </row>
    <row r="273" spans="1:9" x14ac:dyDescent="0.25">
      <c r="A273" s="13"/>
      <c r="B273" s="23"/>
    </row>
    <row r="282" spans="1:9" ht="13" x14ac:dyDescent="0.3">
      <c r="B282" s="187"/>
      <c r="C282" s="188"/>
      <c r="D282" s="188"/>
      <c r="E282" s="188"/>
      <c r="F282" s="188"/>
      <c r="G282" s="188"/>
      <c r="H282" s="187"/>
      <c r="I282" s="188"/>
    </row>
    <row r="283" spans="1:9" x14ac:dyDescent="0.25">
      <c r="B283" s="188"/>
      <c r="C283" s="188"/>
      <c r="D283" s="188"/>
      <c r="E283" s="188"/>
      <c r="F283" s="188"/>
      <c r="G283" s="188"/>
      <c r="H283" s="188"/>
      <c r="I283" s="188"/>
    </row>
    <row r="284" spans="1:9" x14ac:dyDescent="0.25">
      <c r="B284" s="188"/>
      <c r="C284" s="188"/>
      <c r="D284" s="188"/>
      <c r="E284" s="188"/>
      <c r="F284" s="188"/>
      <c r="G284" s="188"/>
      <c r="H284" s="188"/>
      <c r="I284" s="188"/>
    </row>
    <row r="285" spans="1:9" ht="13" x14ac:dyDescent="0.3">
      <c r="B285" s="186"/>
      <c r="C285" s="188"/>
      <c r="D285" s="188"/>
      <c r="E285" s="188"/>
      <c r="F285" s="188"/>
      <c r="G285" s="188"/>
      <c r="H285" s="186"/>
      <c r="I285" s="188"/>
    </row>
    <row r="286" spans="1:9" x14ac:dyDescent="0.25">
      <c r="B286" s="188"/>
      <c r="C286" s="188"/>
      <c r="D286" s="188"/>
      <c r="E286" s="188"/>
      <c r="F286" s="188"/>
      <c r="G286" s="188"/>
      <c r="H286" s="188"/>
      <c r="I286" s="188"/>
    </row>
    <row r="287" spans="1:9" x14ac:dyDescent="0.25">
      <c r="B287" s="188"/>
      <c r="C287" s="188"/>
      <c r="D287" s="188"/>
      <c r="E287" s="188"/>
      <c r="F287" s="188"/>
      <c r="G287" s="188"/>
      <c r="H287" s="188"/>
      <c r="I287" s="188"/>
    </row>
    <row r="288" spans="1:9" x14ac:dyDescent="0.25">
      <c r="B288" s="188"/>
      <c r="C288" s="188"/>
      <c r="F288" s="188"/>
      <c r="G288" s="188"/>
      <c r="H288" s="188"/>
      <c r="I288" s="23"/>
    </row>
    <row r="289" spans="1:17" x14ac:dyDescent="0.25">
      <c r="B289" s="206"/>
      <c r="C289" s="188"/>
      <c r="D289" s="188"/>
      <c r="E289" s="188"/>
      <c r="F289" s="188"/>
      <c r="G289" s="188"/>
      <c r="H289" s="188"/>
      <c r="I289" s="188"/>
    </row>
    <row r="290" spans="1:17" x14ac:dyDescent="0.25">
      <c r="B290" s="206"/>
      <c r="C290" s="188"/>
      <c r="D290" s="188"/>
      <c r="E290" s="188"/>
      <c r="F290" s="188"/>
      <c r="G290" s="188"/>
      <c r="H290" s="188"/>
      <c r="I290" s="188"/>
    </row>
    <row r="291" spans="1:17" x14ac:dyDescent="0.25">
      <c r="B291" s="188"/>
      <c r="C291" s="188"/>
      <c r="D291" s="188"/>
      <c r="E291" s="188"/>
      <c r="F291" s="188"/>
      <c r="G291" s="188"/>
      <c r="H291" s="188"/>
      <c r="I291" s="188"/>
    </row>
    <row r="292" spans="1:17" x14ac:dyDescent="0.25">
      <c r="A292" s="206"/>
      <c r="B292" s="206"/>
      <c r="C292" s="188"/>
      <c r="D292" s="188"/>
      <c r="E292" s="188"/>
      <c r="F292" s="188"/>
      <c r="G292" s="188"/>
      <c r="H292" s="188"/>
      <c r="I292" s="188"/>
    </row>
    <row r="293" spans="1:17" x14ac:dyDescent="0.2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x14ac:dyDescent="0.25">
      <c r="A294" s="5"/>
      <c r="B294" s="5"/>
      <c r="C294" s="5"/>
      <c r="D294" s="1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x14ac:dyDescent="0.25">
      <c r="A295" s="13"/>
      <c r="B295" s="23"/>
      <c r="C295" s="23"/>
    </row>
    <row r="296" spans="1:17" x14ac:dyDescent="0.25">
      <c r="A296" s="13"/>
      <c r="B296" s="23"/>
      <c r="C296" s="23"/>
    </row>
    <row r="297" spans="1:17" x14ac:dyDescent="0.25">
      <c r="A297" s="13"/>
      <c r="B297" s="23"/>
      <c r="C297" s="23"/>
    </row>
    <row r="298" spans="1:17" x14ac:dyDescent="0.25">
      <c r="A298" s="13"/>
      <c r="B298" s="23"/>
      <c r="C298" s="23"/>
    </row>
    <row r="299" spans="1:17" x14ac:dyDescent="0.25">
      <c r="A299" s="13"/>
      <c r="B299" s="23"/>
      <c r="C299" s="23"/>
    </row>
    <row r="300" spans="1:17" x14ac:dyDescent="0.25">
      <c r="A300" s="13"/>
      <c r="B300" s="23"/>
    </row>
    <row r="301" spans="1:17" x14ac:dyDescent="0.25">
      <c r="A301" s="13"/>
      <c r="B301" s="23"/>
      <c r="C301" s="13"/>
    </row>
    <row r="302" spans="1:17" x14ac:dyDescent="0.25">
      <c r="A302" s="13"/>
      <c r="B302" s="23"/>
      <c r="C302" s="13"/>
    </row>
    <row r="303" spans="1:17" x14ac:dyDescent="0.25">
      <c r="A303" s="13"/>
      <c r="B303" s="23"/>
      <c r="C303" s="13"/>
    </row>
    <row r="304" spans="1:17" x14ac:dyDescent="0.25">
      <c r="A304" s="13"/>
      <c r="B304" s="23"/>
      <c r="C304" s="13"/>
    </row>
    <row r="305" spans="1:16" x14ac:dyDescent="0.25">
      <c r="A305" s="13"/>
      <c r="B305" s="23"/>
    </row>
    <row r="306" spans="1:16" x14ac:dyDescent="0.25">
      <c r="A306" s="13"/>
      <c r="B306" s="23"/>
      <c r="C306" s="23"/>
    </row>
    <row r="307" spans="1:16" x14ac:dyDescent="0.25">
      <c r="A307" s="200"/>
      <c r="B307" s="20"/>
    </row>
    <row r="308" spans="1:16" x14ac:dyDescent="0.25">
      <c r="A308" s="13"/>
      <c r="B308" s="23"/>
      <c r="C308" s="23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</row>
    <row r="309" spans="1:16" x14ac:dyDescent="0.25">
      <c r="A309" s="13"/>
      <c r="B309" s="23"/>
      <c r="C309" s="23"/>
    </row>
    <row r="310" spans="1:16" x14ac:dyDescent="0.25">
      <c r="A310" s="13"/>
      <c r="B310" s="23"/>
      <c r="C310" s="23"/>
    </row>
    <row r="311" spans="1:16" x14ac:dyDescent="0.25">
      <c r="A311" s="200"/>
      <c r="B311" s="202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</row>
    <row r="312" spans="1:16" x14ac:dyDescent="0.25">
      <c r="A312" s="13"/>
      <c r="B312" s="23"/>
      <c r="C312" s="23"/>
    </row>
    <row r="313" spans="1:16" x14ac:dyDescent="0.25">
      <c r="A313" s="200"/>
      <c r="B313" s="23"/>
      <c r="C313" s="23"/>
    </row>
    <row r="314" spans="1:16" x14ac:dyDescent="0.25">
      <c r="A314" s="200"/>
      <c r="B314" s="23"/>
      <c r="C314" s="23"/>
    </row>
    <row r="315" spans="1:16" x14ac:dyDescent="0.25">
      <c r="A315" s="200"/>
      <c r="B315" s="23"/>
      <c r="C315" s="23"/>
    </row>
    <row r="316" spans="1:16" x14ac:dyDescent="0.25">
      <c r="A316" s="200"/>
      <c r="B316" s="23"/>
      <c r="C316" s="23"/>
    </row>
    <row r="317" spans="1:16" x14ac:dyDescent="0.25">
      <c r="A317" s="200"/>
      <c r="B317" s="23"/>
      <c r="C317" s="23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</row>
    <row r="318" spans="1:16" x14ac:dyDescent="0.25">
      <c r="A318" s="200"/>
      <c r="B318" s="202"/>
      <c r="C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</row>
    <row r="319" spans="1:16" x14ac:dyDescent="0.25">
      <c r="A319" s="13"/>
      <c r="B319" s="23"/>
    </row>
    <row r="320" spans="1:16" x14ac:dyDescent="0.25">
      <c r="A320" s="200"/>
      <c r="B320" s="23"/>
      <c r="C320" s="23"/>
    </row>
    <row r="321" spans="1:16" x14ac:dyDescent="0.25">
      <c r="A321" s="200"/>
      <c r="B321" s="23"/>
      <c r="C321" s="23"/>
    </row>
    <row r="322" spans="1:16" x14ac:dyDescent="0.25">
      <c r="A322" s="200"/>
      <c r="B322" s="200"/>
      <c r="C322" s="202"/>
    </row>
    <row r="323" spans="1:16" x14ac:dyDescent="0.25">
      <c r="A323" s="13"/>
      <c r="B323" s="2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</row>
    <row r="324" spans="1:16" x14ac:dyDescent="0.25">
      <c r="A324" s="13"/>
      <c r="B324" s="2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</row>
    <row r="325" spans="1:16" x14ac:dyDescent="0.25">
      <c r="A325" s="200"/>
      <c r="B325" s="23"/>
      <c r="C325" s="202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</row>
    <row r="326" spans="1:16" x14ac:dyDescent="0.25">
      <c r="A326" s="13"/>
      <c r="B326" s="23"/>
    </row>
    <row r="327" spans="1:16" x14ac:dyDescent="0.25">
      <c r="A327" s="13"/>
      <c r="B327" s="23"/>
    </row>
    <row r="328" spans="1:16" x14ac:dyDescent="0.25">
      <c r="A328" s="13"/>
      <c r="B328" s="23"/>
    </row>
    <row r="332" spans="1:16" ht="13" x14ac:dyDescent="0.3">
      <c r="B332" s="187"/>
      <c r="C332" s="188"/>
      <c r="D332" s="188"/>
      <c r="E332" s="188"/>
      <c r="F332" s="188"/>
      <c r="G332" s="188"/>
      <c r="H332" s="187"/>
      <c r="I332" s="188"/>
    </row>
    <row r="333" spans="1:16" x14ac:dyDescent="0.25">
      <c r="B333" s="188"/>
      <c r="C333" s="188"/>
      <c r="D333" s="188"/>
      <c r="E333" s="188"/>
      <c r="F333" s="188"/>
      <c r="G333" s="188"/>
      <c r="H333" s="188"/>
      <c r="I333" s="188"/>
    </row>
    <row r="334" spans="1:16" x14ac:dyDescent="0.25">
      <c r="B334" s="188"/>
      <c r="C334" s="188"/>
      <c r="D334" s="188"/>
      <c r="E334" s="188"/>
      <c r="F334" s="188"/>
      <c r="G334" s="188"/>
      <c r="H334" s="188"/>
      <c r="I334" s="188"/>
    </row>
    <row r="335" spans="1:16" ht="13" x14ac:dyDescent="0.3">
      <c r="B335" s="186"/>
      <c r="C335" s="188"/>
      <c r="D335" s="188"/>
      <c r="E335" s="188"/>
      <c r="F335" s="188"/>
      <c r="G335" s="188"/>
      <c r="H335" s="186"/>
      <c r="I335" s="188"/>
    </row>
    <row r="336" spans="1:16" x14ac:dyDescent="0.25">
      <c r="B336" s="188"/>
      <c r="C336" s="188"/>
      <c r="D336" s="188"/>
      <c r="E336" s="188"/>
      <c r="F336" s="188"/>
      <c r="G336" s="188"/>
      <c r="H336" s="188"/>
      <c r="I336" s="188"/>
    </row>
    <row r="337" spans="1:17" x14ac:dyDescent="0.25">
      <c r="B337" s="188"/>
      <c r="C337" s="188"/>
      <c r="D337" s="188"/>
      <c r="E337" s="188"/>
      <c r="F337" s="188"/>
      <c r="G337" s="188"/>
      <c r="H337" s="188"/>
      <c r="I337" s="188"/>
    </row>
    <row r="338" spans="1:17" x14ac:dyDescent="0.25">
      <c r="B338" s="188"/>
      <c r="C338" s="188"/>
      <c r="F338" s="188"/>
      <c r="G338" s="188"/>
      <c r="H338" s="188"/>
      <c r="I338" s="23"/>
    </row>
    <row r="339" spans="1:17" x14ac:dyDescent="0.25">
      <c r="B339" s="206"/>
      <c r="C339" s="188"/>
      <c r="D339" s="188"/>
      <c r="E339" s="188"/>
      <c r="F339" s="188"/>
      <c r="G339" s="188"/>
      <c r="H339" s="188"/>
      <c r="I339" s="188"/>
    </row>
    <row r="340" spans="1:17" x14ac:dyDescent="0.25">
      <c r="B340" s="206"/>
      <c r="C340" s="188"/>
      <c r="D340" s="188"/>
      <c r="E340" s="188"/>
      <c r="F340" s="188"/>
      <c r="G340" s="188"/>
      <c r="H340" s="188"/>
      <c r="I340" s="188"/>
    </row>
    <row r="341" spans="1:17" x14ac:dyDescent="0.25">
      <c r="B341" s="188"/>
      <c r="C341" s="188"/>
      <c r="D341" s="188"/>
      <c r="E341" s="188"/>
      <c r="F341" s="188"/>
      <c r="G341" s="188"/>
      <c r="H341" s="188"/>
      <c r="I341" s="188"/>
    </row>
    <row r="342" spans="1:17" x14ac:dyDescent="0.25">
      <c r="A342" s="206"/>
      <c r="B342" s="206"/>
      <c r="C342" s="188"/>
      <c r="D342" s="188"/>
      <c r="E342" s="188"/>
      <c r="F342" s="188"/>
      <c r="G342" s="188"/>
      <c r="H342" s="188"/>
      <c r="I342" s="188"/>
    </row>
    <row r="343" spans="1:17" x14ac:dyDescent="0.25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x14ac:dyDescent="0.25">
      <c r="A344" s="5"/>
      <c r="B344" s="5"/>
      <c r="C344" s="5"/>
      <c r="D344" s="1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x14ac:dyDescent="0.25">
      <c r="A345" s="13"/>
      <c r="B345" s="23"/>
      <c r="C345" s="23"/>
    </row>
    <row r="346" spans="1:17" x14ac:dyDescent="0.25">
      <c r="A346" s="13"/>
      <c r="B346" s="23"/>
      <c r="C346" s="23"/>
    </row>
    <row r="347" spans="1:17" x14ac:dyDescent="0.25">
      <c r="A347" s="13"/>
      <c r="B347" s="23"/>
      <c r="C347" s="23"/>
    </row>
    <row r="348" spans="1:17" x14ac:dyDescent="0.25">
      <c r="A348" s="13"/>
      <c r="B348" s="23"/>
      <c r="C348" s="23"/>
    </row>
    <row r="349" spans="1:17" x14ac:dyDescent="0.25">
      <c r="A349" s="13"/>
      <c r="B349" s="23"/>
      <c r="C349" s="23"/>
    </row>
    <row r="350" spans="1:17" x14ac:dyDescent="0.25">
      <c r="A350" s="13"/>
      <c r="B350" s="23"/>
    </row>
    <row r="351" spans="1:17" x14ac:dyDescent="0.25">
      <c r="A351" s="13"/>
      <c r="B351" s="23"/>
      <c r="C351" s="13"/>
    </row>
    <row r="352" spans="1:17" x14ac:dyDescent="0.25">
      <c r="A352" s="13"/>
      <c r="B352" s="23"/>
      <c r="C352" s="13"/>
    </row>
    <row r="353" spans="1:16" x14ac:dyDescent="0.25">
      <c r="A353" s="13"/>
      <c r="B353" s="23"/>
      <c r="C353" s="13"/>
    </row>
    <row r="354" spans="1:16" x14ac:dyDescent="0.25">
      <c r="A354" s="13"/>
      <c r="B354" s="23"/>
      <c r="C354" s="13"/>
    </row>
    <row r="355" spans="1:16" x14ac:dyDescent="0.25">
      <c r="A355" s="13"/>
      <c r="B355" s="23"/>
    </row>
    <row r="356" spans="1:16" x14ac:dyDescent="0.25">
      <c r="A356" s="13"/>
      <c r="B356" s="23"/>
      <c r="C356" s="23"/>
    </row>
    <row r="357" spans="1:16" x14ac:dyDescent="0.25">
      <c r="A357" s="200"/>
      <c r="B357" s="20"/>
    </row>
    <row r="358" spans="1:16" x14ac:dyDescent="0.25">
      <c r="A358" s="13"/>
      <c r="B358" s="23"/>
      <c r="C358" s="23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</row>
    <row r="359" spans="1:16" x14ac:dyDescent="0.25">
      <c r="A359" s="13"/>
      <c r="B359" s="23"/>
      <c r="C359" s="23"/>
    </row>
    <row r="360" spans="1:16" x14ac:dyDescent="0.25">
      <c r="A360" s="13"/>
      <c r="B360" s="23"/>
      <c r="C360" s="23"/>
    </row>
    <row r="361" spans="1:16" x14ac:dyDescent="0.25">
      <c r="A361" s="200"/>
      <c r="B361" s="202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</row>
    <row r="362" spans="1:16" x14ac:dyDescent="0.25">
      <c r="A362" s="13"/>
      <c r="B362" s="23"/>
      <c r="C362" s="23"/>
    </row>
    <row r="363" spans="1:16" x14ac:dyDescent="0.25">
      <c r="A363" s="200"/>
      <c r="B363" s="23"/>
      <c r="C363" s="23"/>
    </row>
    <row r="364" spans="1:16" x14ac:dyDescent="0.25">
      <c r="A364" s="200"/>
      <c r="B364" s="23"/>
      <c r="C364" s="23"/>
    </row>
    <row r="365" spans="1:16" x14ac:dyDescent="0.25">
      <c r="A365" s="200"/>
      <c r="B365" s="23"/>
      <c r="C365" s="23"/>
    </row>
    <row r="366" spans="1:16" x14ac:dyDescent="0.25">
      <c r="A366" s="200"/>
      <c r="B366" s="23"/>
      <c r="C366" s="23"/>
    </row>
    <row r="367" spans="1:16" x14ac:dyDescent="0.25">
      <c r="A367" s="200"/>
      <c r="B367" s="23"/>
      <c r="C367" s="23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</row>
    <row r="368" spans="1:16" x14ac:dyDescent="0.25">
      <c r="A368" s="200"/>
      <c r="B368" s="202"/>
      <c r="C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</row>
    <row r="369" spans="1:16" x14ac:dyDescent="0.25">
      <c r="A369" s="13"/>
      <c r="B369" s="23"/>
    </row>
    <row r="370" spans="1:16" x14ac:dyDescent="0.25">
      <c r="A370" s="200"/>
      <c r="B370" s="23"/>
      <c r="C370" s="23"/>
    </row>
    <row r="371" spans="1:16" x14ac:dyDescent="0.25">
      <c r="A371" s="200"/>
      <c r="B371" s="23"/>
      <c r="C371" s="23"/>
    </row>
    <row r="372" spans="1:16" x14ac:dyDescent="0.25">
      <c r="A372" s="200"/>
      <c r="B372" s="200"/>
      <c r="C372" s="202"/>
    </row>
    <row r="373" spans="1:16" x14ac:dyDescent="0.25">
      <c r="A373" s="13"/>
      <c r="B373" s="2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</row>
    <row r="374" spans="1:16" x14ac:dyDescent="0.25">
      <c r="A374" s="13"/>
      <c r="B374" s="2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</row>
    <row r="375" spans="1:16" x14ac:dyDescent="0.25">
      <c r="A375" s="200"/>
      <c r="B375" s="23"/>
      <c r="C375" s="202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</row>
    <row r="376" spans="1:16" x14ac:dyDescent="0.25">
      <c r="A376" s="13"/>
      <c r="B376" s="23"/>
    </row>
    <row r="377" spans="1:16" x14ac:dyDescent="0.25">
      <c r="A377" s="13"/>
      <c r="B377" s="23"/>
    </row>
    <row r="378" spans="1:16" x14ac:dyDescent="0.25">
      <c r="A378" s="13"/>
      <c r="B378" s="23"/>
    </row>
  </sheetData>
  <mergeCells count="2">
    <mergeCell ref="A8:Q8"/>
    <mergeCell ref="A10:Q10"/>
  </mergeCells>
  <pageMargins left="0.5" right="0.5" top="1" bottom="0.75" header="0.55000000000000004" footer="0.3"/>
  <pageSetup scale="62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4" manualBreakCount="4">
    <brk id="115" max="16" man="1"/>
    <brk id="169" max="16" man="1"/>
    <brk id="223" max="16" man="1"/>
    <brk id="279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7AFB-71BA-4C40-A5DA-93B741B8F812}">
  <sheetPr transitionEvaluation="1" transitionEntry="1"/>
  <dimension ref="A1:AI169"/>
  <sheetViews>
    <sheetView showGridLines="0" defaultGridColor="0" view="pageBreakPreview" topLeftCell="D1" colorId="8" zoomScaleNormal="75" zoomScaleSheetLayoutView="10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9.25" style="1" customWidth="1"/>
    <col min="4" max="4" width="12.83203125" style="1" customWidth="1"/>
    <col min="5" max="5" width="10.08203125" style="1" customWidth="1"/>
    <col min="6" max="6" width="10" style="1" customWidth="1"/>
    <col min="7" max="7" width="10.33203125" style="1" customWidth="1"/>
    <col min="8" max="8" width="10.5" style="1" customWidth="1"/>
    <col min="9" max="10" width="10" style="1" customWidth="1"/>
    <col min="11" max="11" width="9.83203125" style="1" customWidth="1"/>
    <col min="12" max="12" width="10.25" style="1" customWidth="1"/>
    <col min="13" max="13" width="10" style="1" customWidth="1"/>
    <col min="14" max="14" width="10.33203125" style="1" customWidth="1"/>
    <col min="15" max="15" width="10.25" style="1" customWidth="1"/>
    <col min="16" max="16" width="10.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7.75" style="1" bestFit="1" customWidth="1"/>
    <col min="21" max="21" width="12.33203125" style="1" bestFit="1" customWidth="1"/>
    <col min="22" max="22" width="9.08203125" style="1" bestFit="1" customWidth="1"/>
    <col min="23" max="35" width="9.33203125" style="1" bestFit="1" customWidth="1"/>
    <col min="36" max="16384" width="11.58203125" style="1"/>
  </cols>
  <sheetData>
    <row r="1" spans="1:22" ht="13" x14ac:dyDescent="0.3">
      <c r="Q1" s="2"/>
    </row>
    <row r="2" spans="1:22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7</v>
      </c>
    </row>
    <row r="3" spans="1:22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2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2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2" ht="17.2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2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2" x14ac:dyDescent="0.25">
      <c r="A8" s="211" t="s">
        <v>323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2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22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2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2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2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2" x14ac:dyDescent="0.25">
      <c r="A14" s="13">
        <v>1</v>
      </c>
      <c r="B14" s="23" t="s">
        <v>261</v>
      </c>
      <c r="C14" s="13"/>
    </row>
    <row r="15" spans="1:22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  <c r="U15" s="13"/>
      <c r="V15" s="13"/>
    </row>
    <row r="16" spans="1:22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  <c r="U16" s="5"/>
      <c r="V16" s="5"/>
    </row>
    <row r="17" spans="1:35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5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5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5" x14ac:dyDescent="0.25">
      <c r="A20" s="13">
        <v>2</v>
      </c>
      <c r="B20" s="23" t="s">
        <v>272</v>
      </c>
      <c r="C20" s="13"/>
      <c r="D20" s="1">
        <v>149949.59</v>
      </c>
      <c r="E20" s="1">
        <f t="shared" ref="E20:M20" si="0">D20+E16-E17</f>
        <v>149949.59</v>
      </c>
      <c r="F20" s="1">
        <f t="shared" si="0"/>
        <v>149949.59</v>
      </c>
      <c r="G20" s="1">
        <f t="shared" si="0"/>
        <v>149949.59</v>
      </c>
      <c r="H20" s="1">
        <f t="shared" si="0"/>
        <v>149949.59</v>
      </c>
      <c r="I20" s="1">
        <f t="shared" si="0"/>
        <v>149949.59</v>
      </c>
      <c r="J20" s="1">
        <f t="shared" si="0"/>
        <v>149949.59</v>
      </c>
      <c r="K20" s="1">
        <f t="shared" si="0"/>
        <v>149949.59</v>
      </c>
      <c r="L20" s="1">
        <f t="shared" si="0"/>
        <v>149949.59</v>
      </c>
      <c r="M20" s="1">
        <f t="shared" si="0"/>
        <v>149949.59</v>
      </c>
      <c r="N20" s="1">
        <f>M20+N16-N17</f>
        <v>149949.59</v>
      </c>
      <c r="O20" s="1">
        <f>N20+O16-O17</f>
        <v>149949.59</v>
      </c>
      <c r="P20" s="1">
        <f>O20+P16-P17</f>
        <v>149949.59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</row>
    <row r="21" spans="1:35" x14ac:dyDescent="0.25">
      <c r="A21" s="13">
        <v>3</v>
      </c>
      <c r="B21" s="23" t="s">
        <v>273</v>
      </c>
      <c r="C21" s="13"/>
      <c r="D21" s="21">
        <v>-50859.220393336713</v>
      </c>
      <c r="E21" s="1">
        <f t="shared" ref="E21:P21" si="1">D21-E32-E33-E34+E17+E18-E19</f>
        <v>-51359.052355005057</v>
      </c>
      <c r="F21" s="1">
        <f t="shared" si="1"/>
        <v>-51858.8843166734</v>
      </c>
      <c r="G21" s="1">
        <f t="shared" si="1"/>
        <v>-52358.716278341744</v>
      </c>
      <c r="H21" s="1">
        <f t="shared" si="1"/>
        <v>-52858.548240010088</v>
      </c>
      <c r="I21" s="1">
        <f t="shared" si="1"/>
        <v>-53358.380201678432</v>
      </c>
      <c r="J21" s="1">
        <f t="shared" si="1"/>
        <v>-53858.212163346776</v>
      </c>
      <c r="K21" s="1">
        <f t="shared" si="1"/>
        <v>-54358.04412501512</v>
      </c>
      <c r="L21" s="1">
        <f t="shared" si="1"/>
        <v>-54857.876086683464</v>
      </c>
      <c r="M21" s="1">
        <f t="shared" si="1"/>
        <v>-55357.708048351808</v>
      </c>
      <c r="N21" s="1">
        <f t="shared" si="1"/>
        <v>-55857.540010020151</v>
      </c>
      <c r="O21" s="1">
        <f t="shared" si="1"/>
        <v>-56357.371971688495</v>
      </c>
      <c r="P21" s="1">
        <f t="shared" si="1"/>
        <v>-56857.203933356839</v>
      </c>
      <c r="W21" s="1">
        <f>SUM(X21:AI21)</f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</row>
    <row r="22" spans="1:35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W22" s="1">
        <f>SUM(X22:AI22)</f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</row>
    <row r="23" spans="1:35" x14ac:dyDescent="0.25">
      <c r="A23" s="13">
        <v>5</v>
      </c>
      <c r="B23" s="23" t="s">
        <v>275</v>
      </c>
      <c r="C23" s="13"/>
      <c r="D23" s="199">
        <f t="shared" ref="D23:P23" si="3">SUM(D20:D22)</f>
        <v>99090.369606663284</v>
      </c>
      <c r="E23" s="199">
        <f t="shared" si="3"/>
        <v>98590.53764499494</v>
      </c>
      <c r="F23" s="199">
        <f t="shared" si="3"/>
        <v>98090.705683326596</v>
      </c>
      <c r="G23" s="199">
        <f t="shared" si="3"/>
        <v>97590.873721658252</v>
      </c>
      <c r="H23" s="199">
        <f t="shared" si="3"/>
        <v>97091.041759989908</v>
      </c>
      <c r="I23" s="199">
        <f t="shared" si="3"/>
        <v>96591.209798321564</v>
      </c>
      <c r="J23" s="199">
        <f t="shared" si="3"/>
        <v>96091.377836653221</v>
      </c>
      <c r="K23" s="199">
        <f t="shared" si="3"/>
        <v>95591.545874984877</v>
      </c>
      <c r="L23" s="199">
        <f t="shared" si="3"/>
        <v>95091.713913316533</v>
      </c>
      <c r="M23" s="199">
        <f t="shared" si="3"/>
        <v>94591.881951648189</v>
      </c>
      <c r="N23" s="199">
        <f t="shared" si="3"/>
        <v>94092.049989979845</v>
      </c>
      <c r="O23" s="199">
        <f t="shared" si="3"/>
        <v>93592.218028311501</v>
      </c>
      <c r="P23" s="199">
        <f t="shared" si="3"/>
        <v>93092.386066643157</v>
      </c>
    </row>
    <row r="24" spans="1:35" x14ac:dyDescent="0.25">
      <c r="A24" s="13"/>
      <c r="B24" s="23"/>
    </row>
    <row r="25" spans="1:35" x14ac:dyDescent="0.25">
      <c r="A25" s="13">
        <v>6</v>
      </c>
      <c r="B25" s="23" t="s">
        <v>276</v>
      </c>
      <c r="C25" s="23"/>
      <c r="E25" s="1">
        <f>(D23+E23)/2</f>
        <v>98840.453625829105</v>
      </c>
      <c r="F25" s="1">
        <f t="shared" ref="F25:P25" si="4">(E23+F23)/2</f>
        <v>98340.621664160775</v>
      </c>
      <c r="G25" s="1">
        <f t="shared" si="4"/>
        <v>97840.789702492417</v>
      </c>
      <c r="H25" s="1">
        <f t="shared" si="4"/>
        <v>97340.957740824088</v>
      </c>
      <c r="I25" s="1">
        <f t="shared" si="4"/>
        <v>96841.125779155729</v>
      </c>
      <c r="J25" s="1">
        <f t="shared" si="4"/>
        <v>96341.2938174874</v>
      </c>
      <c r="K25" s="1">
        <f t="shared" si="4"/>
        <v>95841.461855819041</v>
      </c>
      <c r="L25" s="1">
        <f t="shared" si="4"/>
        <v>95341.629894150712</v>
      </c>
      <c r="M25" s="1">
        <f t="shared" si="4"/>
        <v>94841.797932482354</v>
      </c>
      <c r="N25" s="1">
        <f t="shared" si="4"/>
        <v>94341.965970814024</v>
      </c>
      <c r="O25" s="1">
        <f t="shared" si="4"/>
        <v>93842.134009145666</v>
      </c>
      <c r="P25" s="1">
        <f t="shared" si="4"/>
        <v>93342.302047477337</v>
      </c>
    </row>
    <row r="26" spans="1:35" x14ac:dyDescent="0.25">
      <c r="A26" s="200"/>
      <c r="B26" s="20"/>
    </row>
    <row r="27" spans="1:35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5" x14ac:dyDescent="0.25">
      <c r="A28" s="200"/>
      <c r="B28" s="23" t="s">
        <v>262</v>
      </c>
      <c r="C28" s="23" t="s">
        <v>278</v>
      </c>
      <c r="E28" s="1">
        <v>455.06144849331713</v>
      </c>
      <c r="F28" s="1">
        <v>452.76022214179619</v>
      </c>
      <c r="G28" s="1">
        <v>450.45899579027503</v>
      </c>
      <c r="H28" s="1">
        <v>448.15776943875403</v>
      </c>
      <c r="I28" s="1">
        <v>445.85654308723292</v>
      </c>
      <c r="J28" s="1">
        <v>443.55531673571193</v>
      </c>
      <c r="K28" s="1">
        <v>458.98476082751739</v>
      </c>
      <c r="L28" s="1">
        <v>456.59106556308774</v>
      </c>
      <c r="M28" s="1">
        <v>454.19737029865797</v>
      </c>
      <c r="N28" s="1">
        <v>451.80367503422838</v>
      </c>
      <c r="O28" s="1">
        <v>449.40997976979855</v>
      </c>
      <c r="P28" s="1">
        <v>447.01628450536896</v>
      </c>
      <c r="Q28" s="1">
        <f>SUM(E28:P28)</f>
        <v>5413.8534316857458</v>
      </c>
    </row>
    <row r="29" spans="1:35" x14ac:dyDescent="0.25">
      <c r="A29" s="200"/>
      <c r="B29" s="23" t="s">
        <v>264</v>
      </c>
      <c r="C29" s="23" t="s">
        <v>279</v>
      </c>
      <c r="E29" s="1">
        <v>114.85260711321342</v>
      </c>
      <c r="F29" s="1">
        <v>114.27180237375482</v>
      </c>
      <c r="G29" s="1">
        <v>113.6909976342962</v>
      </c>
      <c r="H29" s="1">
        <v>113.1101928948376</v>
      </c>
      <c r="I29" s="1">
        <v>112.52938815537897</v>
      </c>
      <c r="J29" s="1">
        <v>111.94858341592037</v>
      </c>
      <c r="K29" s="1">
        <v>100.53769348675418</v>
      </c>
      <c r="L29" s="1">
        <v>100.0133697589641</v>
      </c>
      <c r="M29" s="1">
        <v>99.489046031173984</v>
      </c>
      <c r="N29" s="1">
        <v>98.964722303383908</v>
      </c>
      <c r="O29" s="1">
        <v>98.440398575593804</v>
      </c>
      <c r="P29" s="1">
        <v>97.916074847803728</v>
      </c>
      <c r="Q29" s="1">
        <f>SUM(E29:P29)</f>
        <v>1275.7648765910751</v>
      </c>
    </row>
    <row r="30" spans="1:35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5" x14ac:dyDescent="0.25">
      <c r="A31" s="13">
        <v>8</v>
      </c>
      <c r="B31" s="23" t="s">
        <v>280</v>
      </c>
    </row>
    <row r="32" spans="1:35" x14ac:dyDescent="0.25">
      <c r="A32" s="200"/>
      <c r="B32" s="23" t="s">
        <v>262</v>
      </c>
      <c r="C32" s="23" t="s">
        <v>281</v>
      </c>
      <c r="E32" s="1">
        <v>499.83196166834699</v>
      </c>
      <c r="F32" s="1">
        <v>499.83196166834699</v>
      </c>
      <c r="G32" s="1">
        <v>499.83196166834699</v>
      </c>
      <c r="H32" s="1">
        <v>499.83196166834699</v>
      </c>
      <c r="I32" s="1">
        <v>499.83196166834699</v>
      </c>
      <c r="J32" s="1">
        <v>499.83196166834699</v>
      </c>
      <c r="K32" s="1">
        <v>499.83196166834699</v>
      </c>
      <c r="L32" s="1">
        <v>499.83196166834699</v>
      </c>
      <c r="M32" s="1">
        <v>499.83196166834699</v>
      </c>
      <c r="N32" s="1">
        <v>499.83196166834699</v>
      </c>
      <c r="O32" s="1">
        <v>499.83196166834699</v>
      </c>
      <c r="P32" s="1">
        <v>499.83196166834699</v>
      </c>
      <c r="Q32" s="1">
        <f>SUM(E32:P32)</f>
        <v>5997.9835400201628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1069.7460172748777</v>
      </c>
      <c r="F38" s="1">
        <f t="shared" ref="F38:P38" si="5">SUM(F28:F36)</f>
        <v>1066.8639861838981</v>
      </c>
      <c r="G38" s="1">
        <f t="shared" si="5"/>
        <v>1063.9819550929183</v>
      </c>
      <c r="H38" s="1">
        <f t="shared" si="5"/>
        <v>1061.0999240019387</v>
      </c>
      <c r="I38" s="1">
        <f t="shared" si="5"/>
        <v>1058.2178929109589</v>
      </c>
      <c r="J38" s="1">
        <f t="shared" si="5"/>
        <v>1055.3358618199793</v>
      </c>
      <c r="K38" s="1">
        <f t="shared" si="5"/>
        <v>1059.3544159826185</v>
      </c>
      <c r="L38" s="1">
        <f t="shared" si="5"/>
        <v>1056.4363969903989</v>
      </c>
      <c r="M38" s="1">
        <f t="shared" si="5"/>
        <v>1053.5183779981789</v>
      </c>
      <c r="N38" s="1">
        <f t="shared" si="5"/>
        <v>1050.6003590059593</v>
      </c>
      <c r="O38" s="1">
        <f t="shared" si="5"/>
        <v>1047.6823400137393</v>
      </c>
      <c r="P38" s="1">
        <f t="shared" si="5"/>
        <v>1044.7643210215197</v>
      </c>
      <c r="Q38" s="1">
        <f>SUM(E38:P38)</f>
        <v>12687.601848296983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82.288155174990592</v>
      </c>
      <c r="F39" s="1">
        <f t="shared" ref="F39:P39" si="6">F38*1/13</f>
        <v>82.066460475684465</v>
      </c>
      <c r="G39" s="1">
        <f t="shared" si="6"/>
        <v>81.844765776378324</v>
      </c>
      <c r="H39" s="1">
        <f t="shared" si="6"/>
        <v>81.623071077072211</v>
      </c>
      <c r="I39" s="1">
        <f t="shared" si="6"/>
        <v>81.40137637776607</v>
      </c>
      <c r="J39" s="1">
        <f t="shared" si="6"/>
        <v>81.179681678459943</v>
      </c>
      <c r="K39" s="1">
        <f t="shared" si="6"/>
        <v>81.488801229432198</v>
      </c>
      <c r="L39" s="1">
        <f t="shared" si="6"/>
        <v>81.264338230030688</v>
      </c>
      <c r="M39" s="1">
        <f t="shared" si="6"/>
        <v>81.03987523062915</v>
      </c>
      <c r="N39" s="1">
        <f t="shared" si="6"/>
        <v>80.81541223122764</v>
      </c>
      <c r="O39" s="1">
        <f t="shared" si="6"/>
        <v>80.590949231826102</v>
      </c>
      <c r="P39" s="1">
        <f t="shared" si="6"/>
        <v>80.366486232424592</v>
      </c>
      <c r="Q39" s="1">
        <f>SUM(E39:P39)</f>
        <v>975.96937294592203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987.46</v>
      </c>
      <c r="F40" s="1">
        <f t="shared" si="7"/>
        <v>984.8</v>
      </c>
      <c r="G40" s="1">
        <f t="shared" si="7"/>
        <v>982.14</v>
      </c>
      <c r="H40" s="1">
        <f t="shared" si="7"/>
        <v>979.48</v>
      </c>
      <c r="I40" s="1">
        <f t="shared" si="7"/>
        <v>976.82</v>
      </c>
      <c r="J40" s="1">
        <f t="shared" si="7"/>
        <v>974.16</v>
      </c>
      <c r="K40" s="1">
        <f t="shared" si="7"/>
        <v>977.87</v>
      </c>
      <c r="L40" s="1">
        <f t="shared" si="7"/>
        <v>975.17</v>
      </c>
      <c r="M40" s="1">
        <f t="shared" si="7"/>
        <v>972.48</v>
      </c>
      <c r="N40" s="1">
        <f t="shared" si="7"/>
        <v>969.78</v>
      </c>
      <c r="O40" s="1">
        <f t="shared" si="7"/>
        <v>967.09</v>
      </c>
      <c r="P40" s="1">
        <f t="shared" si="7"/>
        <v>964.4</v>
      </c>
      <c r="Q40" s="1">
        <f>SUM(E40:P40)</f>
        <v>11711.65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82.386900961200595</v>
      </c>
      <c r="F45" s="1">
        <v>82.16494022825529</v>
      </c>
      <c r="G45" s="1">
        <v>81.942979495309984</v>
      </c>
      <c r="H45" s="1">
        <v>81.721018762364707</v>
      </c>
      <c r="I45" s="1">
        <v>81.499058029419402</v>
      </c>
      <c r="J45" s="1">
        <v>81.277097296474096</v>
      </c>
      <c r="K45" s="1">
        <v>81.586587790907529</v>
      </c>
      <c r="L45" s="1">
        <v>81.361855435906733</v>
      </c>
      <c r="M45" s="1">
        <v>81.137123080905909</v>
      </c>
      <c r="N45" s="1">
        <v>80.912390725905126</v>
      </c>
      <c r="O45" s="1">
        <v>80.687658370904302</v>
      </c>
      <c r="P45" s="1">
        <v>80.462926015903506</v>
      </c>
      <c r="Q45" s="1">
        <f>SUM(E45:P45)</f>
        <v>977.14053619345714</v>
      </c>
    </row>
    <row r="46" spans="1:17" x14ac:dyDescent="0.25">
      <c r="A46" s="13">
        <v>13</v>
      </c>
      <c r="B46" s="23" t="s">
        <v>290</v>
      </c>
      <c r="E46" s="199">
        <f>E40*E43</f>
        <v>960.149522542</v>
      </c>
      <c r="F46" s="199">
        <f t="shared" ref="F46:P46" si="8">F40*F43</f>
        <v>957.56309095999995</v>
      </c>
      <c r="G46" s="199">
        <f t="shared" si="8"/>
        <v>954.97665937800002</v>
      </c>
      <c r="H46" s="199">
        <f t="shared" si="8"/>
        <v>952.39022779599998</v>
      </c>
      <c r="I46" s="199">
        <f t="shared" si="8"/>
        <v>949.80379621400004</v>
      </c>
      <c r="J46" s="199">
        <f t="shared" si="8"/>
        <v>947.217364632</v>
      </c>
      <c r="K46" s="199">
        <f t="shared" si="8"/>
        <v>950.82475604900003</v>
      </c>
      <c r="L46" s="199">
        <f t="shared" si="8"/>
        <v>948.19943075899994</v>
      </c>
      <c r="M46" s="199">
        <f t="shared" si="8"/>
        <v>945.583828896</v>
      </c>
      <c r="N46" s="199">
        <f t="shared" si="8"/>
        <v>942.95850360600002</v>
      </c>
      <c r="O46" s="199">
        <f t="shared" si="8"/>
        <v>940.34290174300008</v>
      </c>
      <c r="P46" s="199">
        <f t="shared" si="8"/>
        <v>937.72729988000003</v>
      </c>
      <c r="Q46" s="199">
        <f>SUM(E46:P46)</f>
        <v>11387.737382455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1042.5364235032007</v>
      </c>
      <c r="F47" s="204">
        <f t="shared" si="9"/>
        <v>1039.7280311882553</v>
      </c>
      <c r="G47" s="204">
        <f t="shared" si="9"/>
        <v>1036.9196388733101</v>
      </c>
      <c r="H47" s="204">
        <f t="shared" si="9"/>
        <v>1034.1112465583647</v>
      </c>
      <c r="I47" s="204">
        <f t="shared" si="9"/>
        <v>1031.3028542434195</v>
      </c>
      <c r="J47" s="204">
        <f t="shared" si="9"/>
        <v>1028.494461928474</v>
      </c>
      <c r="K47" s="204">
        <f t="shared" si="9"/>
        <v>1032.4113438399077</v>
      </c>
      <c r="L47" s="204">
        <f t="shared" si="9"/>
        <v>1029.5612861949066</v>
      </c>
      <c r="M47" s="204">
        <f t="shared" si="9"/>
        <v>1026.720951976906</v>
      </c>
      <c r="N47" s="204">
        <f t="shared" si="9"/>
        <v>1023.8708943319051</v>
      </c>
      <c r="O47" s="204">
        <f t="shared" si="9"/>
        <v>1021.0305601139044</v>
      </c>
      <c r="P47" s="204">
        <f t="shared" si="9"/>
        <v>1018.1902258959035</v>
      </c>
      <c r="Q47" s="204">
        <f t="shared" si="9"/>
        <v>12364.877918648457</v>
      </c>
    </row>
    <row r="48" spans="1:17" ht="13" thickTop="1" x14ac:dyDescent="0.25">
      <c r="A48" s="200"/>
      <c r="B48" s="20"/>
    </row>
    <row r="49" spans="1:17" x14ac:dyDescent="0.25">
      <c r="A49" s="210" t="s">
        <v>76</v>
      </c>
      <c r="B49" s="23"/>
    </row>
    <row r="50" spans="1:17" x14ac:dyDescent="0.25">
      <c r="A50" s="23" t="s">
        <v>168</v>
      </c>
      <c r="B50" s="23" t="s">
        <v>292</v>
      </c>
    </row>
    <row r="51" spans="1:17" x14ac:dyDescent="0.25">
      <c r="A51" s="23" t="s">
        <v>170</v>
      </c>
      <c r="B51" s="11" t="s">
        <v>293</v>
      </c>
    </row>
    <row r="52" spans="1:17" x14ac:dyDescent="0.25">
      <c r="A52" s="23" t="s">
        <v>255</v>
      </c>
      <c r="B52" s="23" t="s">
        <v>294</v>
      </c>
    </row>
    <row r="53" spans="1:17" x14ac:dyDescent="0.25">
      <c r="A53" s="23" t="s">
        <v>295</v>
      </c>
      <c r="B53" s="23" t="s">
        <v>296</v>
      </c>
    </row>
    <row r="54" spans="1:17" x14ac:dyDescent="0.25">
      <c r="A54" s="23" t="s">
        <v>297</v>
      </c>
      <c r="B54" s="23" t="s">
        <v>298</v>
      </c>
    </row>
    <row r="55" spans="1:17" x14ac:dyDescent="0.25">
      <c r="A55" s="23" t="s">
        <v>299</v>
      </c>
      <c r="B55" s="23" t="s">
        <v>300</v>
      </c>
    </row>
    <row r="56" spans="1:17" x14ac:dyDescent="0.25">
      <c r="A56" s="23" t="s">
        <v>301</v>
      </c>
      <c r="B56" s="23" t="s">
        <v>302</v>
      </c>
    </row>
    <row r="57" spans="1:17" x14ac:dyDescent="0.25">
      <c r="A57" s="23" t="s">
        <v>303</v>
      </c>
      <c r="B57" s="23" t="s">
        <v>304</v>
      </c>
    </row>
    <row r="58" spans="1:17" x14ac:dyDescent="0.25">
      <c r="A58" s="23" t="s">
        <v>305</v>
      </c>
      <c r="B58" s="23" t="s">
        <v>306</v>
      </c>
    </row>
    <row r="59" spans="1:17" x14ac:dyDescent="0.25">
      <c r="A59" s="11" t="s">
        <v>307</v>
      </c>
      <c r="B59" s="23" t="s">
        <v>308</v>
      </c>
    </row>
    <row r="60" spans="1:17" x14ac:dyDescent="0.25">
      <c r="A60" s="11" t="s">
        <v>309</v>
      </c>
      <c r="B60" s="23" t="s">
        <v>310</v>
      </c>
      <c r="Q60" s="202"/>
    </row>
    <row r="61" spans="1:17" x14ac:dyDescent="0.25">
      <c r="Q61" s="202"/>
    </row>
    <row r="62" spans="1:17" ht="13" x14ac:dyDescent="0.3">
      <c r="B62" s="187"/>
      <c r="C62" s="188"/>
      <c r="D62" s="188"/>
      <c r="E62" s="188"/>
      <c r="F62" s="188"/>
      <c r="G62" s="188"/>
      <c r="H62" s="187"/>
      <c r="I62" s="188"/>
    </row>
    <row r="63" spans="1:17" x14ac:dyDescent="0.25">
      <c r="B63" s="188"/>
      <c r="C63" s="188"/>
      <c r="D63" s="188"/>
      <c r="E63" s="188"/>
      <c r="F63" s="188"/>
      <c r="G63" s="188"/>
      <c r="H63" s="188"/>
      <c r="I63" s="188"/>
    </row>
    <row r="64" spans="1:17" x14ac:dyDescent="0.25">
      <c r="B64" s="188"/>
      <c r="C64" s="188"/>
      <c r="D64" s="188"/>
      <c r="E64" s="188"/>
      <c r="F64" s="188"/>
      <c r="G64" s="188"/>
      <c r="H64" s="188"/>
      <c r="I64" s="188"/>
    </row>
    <row r="65" spans="1:17" ht="13" x14ac:dyDescent="0.3">
      <c r="B65" s="186"/>
      <c r="C65" s="188"/>
      <c r="D65" s="188"/>
      <c r="E65" s="188"/>
      <c r="F65" s="188"/>
      <c r="G65" s="188"/>
      <c r="H65" s="186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x14ac:dyDescent="0.25">
      <c r="B68" s="188"/>
      <c r="C68" s="188"/>
      <c r="F68" s="188"/>
      <c r="G68" s="188"/>
      <c r="H68" s="188"/>
      <c r="I68" s="23"/>
    </row>
    <row r="69" spans="1:17" x14ac:dyDescent="0.25">
      <c r="B69" s="206"/>
      <c r="C69" s="188"/>
      <c r="D69" s="188"/>
      <c r="E69" s="188"/>
      <c r="F69" s="188"/>
      <c r="G69" s="188"/>
      <c r="H69" s="10"/>
      <c r="I69" s="209"/>
    </row>
    <row r="70" spans="1:17" x14ac:dyDescent="0.25">
      <c r="B70" s="206"/>
      <c r="C70" s="188"/>
      <c r="D70" s="188"/>
      <c r="E70" s="188"/>
      <c r="F70" s="188"/>
      <c r="G70" s="188"/>
      <c r="H70" s="10"/>
      <c r="I70" s="209"/>
    </row>
    <row r="71" spans="1:17" x14ac:dyDescent="0.25">
      <c r="B71" s="188"/>
      <c r="C71" s="188"/>
      <c r="D71" s="188"/>
      <c r="E71" s="188"/>
      <c r="F71" s="188"/>
      <c r="G71" s="188"/>
      <c r="H71" s="188"/>
      <c r="I71" s="188"/>
    </row>
    <row r="72" spans="1:17" x14ac:dyDescent="0.25">
      <c r="A72" s="206"/>
      <c r="B72" s="206"/>
      <c r="C72" s="188"/>
      <c r="D72" s="188"/>
      <c r="E72" s="188"/>
      <c r="F72" s="188"/>
      <c r="G72" s="188"/>
      <c r="H72" s="188"/>
      <c r="I72" s="188"/>
    </row>
    <row r="73" spans="1:17" x14ac:dyDescent="0.2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5">
      <c r="A74" s="5"/>
      <c r="B74" s="5"/>
      <c r="C74" s="5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13"/>
      <c r="B75" s="23"/>
      <c r="C75" s="23"/>
    </row>
    <row r="76" spans="1:17" x14ac:dyDescent="0.25">
      <c r="A76" s="13"/>
      <c r="B76" s="23"/>
      <c r="C76" s="2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1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</row>
    <row r="86" spans="1:16" x14ac:dyDescent="0.25">
      <c r="A86" s="13"/>
      <c r="B86" s="23"/>
      <c r="C86" s="23"/>
    </row>
    <row r="87" spans="1:16" x14ac:dyDescent="0.25">
      <c r="A87" s="200"/>
      <c r="B87" s="20"/>
    </row>
    <row r="88" spans="1:16" x14ac:dyDescent="0.25">
      <c r="A88" s="13"/>
      <c r="B88" s="23"/>
      <c r="C88" s="23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89" spans="1:16" x14ac:dyDescent="0.25">
      <c r="A89" s="13"/>
      <c r="B89" s="23"/>
      <c r="C89" s="23"/>
    </row>
    <row r="90" spans="1:16" x14ac:dyDescent="0.25">
      <c r="A90" s="13"/>
      <c r="B90" s="23"/>
      <c r="C90" s="23"/>
    </row>
    <row r="91" spans="1:16" x14ac:dyDescent="0.25">
      <c r="A91" s="200"/>
      <c r="B91" s="202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</row>
    <row r="92" spans="1:16" x14ac:dyDescent="0.25">
      <c r="A92" s="13"/>
      <c r="B92" s="23"/>
      <c r="C92" s="23"/>
    </row>
    <row r="93" spans="1:16" x14ac:dyDescent="0.25">
      <c r="A93" s="200"/>
      <c r="B93" s="23"/>
      <c r="C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6" x14ac:dyDescent="0.25">
      <c r="A98" s="200"/>
      <c r="B98" s="202"/>
      <c r="C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13"/>
      <c r="B99" s="23"/>
    </row>
    <row r="100" spans="1:16" x14ac:dyDescent="0.25">
      <c r="A100" s="200"/>
      <c r="B100" s="23"/>
      <c r="C100" s="23"/>
    </row>
    <row r="101" spans="1:16" x14ac:dyDescent="0.25">
      <c r="A101" s="200"/>
      <c r="B101" s="23"/>
      <c r="C101" s="23"/>
    </row>
    <row r="102" spans="1:16" x14ac:dyDescent="0.25">
      <c r="A102" s="200"/>
      <c r="B102" s="200"/>
      <c r="C102" s="202"/>
    </row>
    <row r="103" spans="1:16" x14ac:dyDescent="0.25">
      <c r="A103" s="13"/>
      <c r="B103" s="2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1:16" x14ac:dyDescent="0.25">
      <c r="A104" s="13"/>
      <c r="B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200"/>
      <c r="B105" s="23"/>
      <c r="C105" s="202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</row>
    <row r="107" spans="1:16" x14ac:dyDescent="0.25">
      <c r="A107" s="13"/>
      <c r="B107" s="23"/>
    </row>
    <row r="108" spans="1:16" x14ac:dyDescent="0.25">
      <c r="A108" s="13"/>
      <c r="B108" s="23"/>
    </row>
    <row r="109" spans="1:16" x14ac:dyDescent="0.25">
      <c r="A109" s="200"/>
      <c r="B109" s="200"/>
    </row>
    <row r="110" spans="1:16" x14ac:dyDescent="0.25">
      <c r="A110" s="13"/>
    </row>
    <row r="111" spans="1:16" x14ac:dyDescent="0.25">
      <c r="A111" s="13"/>
    </row>
    <row r="112" spans="1:16" x14ac:dyDescent="0.25">
      <c r="A112" s="13"/>
    </row>
    <row r="113" spans="1:17" x14ac:dyDescent="0.25">
      <c r="A113" s="13"/>
    </row>
    <row r="114" spans="1:17" ht="13" x14ac:dyDescent="0.3">
      <c r="Q114" s="226"/>
    </row>
    <row r="115" spans="1:17" x14ac:dyDescent="0.25">
      <c r="Q115" s="202"/>
    </row>
    <row r="116" spans="1:17" ht="13" x14ac:dyDescent="0.3">
      <c r="B116" s="187"/>
      <c r="C116" s="188"/>
      <c r="D116" s="188"/>
      <c r="E116" s="188"/>
      <c r="F116" s="188"/>
      <c r="G116" s="188"/>
      <c r="H116" s="187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x14ac:dyDescent="0.25">
      <c r="B118" s="188"/>
      <c r="C118" s="188"/>
      <c r="D118" s="188"/>
      <c r="E118" s="188"/>
      <c r="F118" s="188"/>
      <c r="G118" s="188"/>
      <c r="H118" s="188"/>
      <c r="I118" s="188"/>
    </row>
    <row r="119" spans="1:17" ht="13" x14ac:dyDescent="0.3">
      <c r="B119" s="186"/>
      <c r="C119" s="188"/>
      <c r="D119" s="188"/>
      <c r="E119" s="188"/>
      <c r="F119" s="188"/>
      <c r="G119" s="188"/>
      <c r="H119" s="186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B121" s="188"/>
      <c r="C121" s="188"/>
      <c r="D121" s="188"/>
      <c r="E121" s="188"/>
      <c r="F121" s="188"/>
      <c r="G121" s="188"/>
      <c r="H121" s="188"/>
      <c r="I121" s="188"/>
    </row>
    <row r="122" spans="1:17" x14ac:dyDescent="0.25">
      <c r="B122" s="188"/>
      <c r="C122" s="188"/>
      <c r="F122" s="188"/>
      <c r="G122" s="188"/>
      <c r="H122" s="188"/>
      <c r="I122" s="23"/>
    </row>
    <row r="123" spans="1:17" x14ac:dyDescent="0.25">
      <c r="B123" s="206"/>
      <c r="C123" s="188"/>
      <c r="D123" s="188"/>
      <c r="E123" s="188"/>
      <c r="F123" s="188"/>
      <c r="G123" s="188"/>
      <c r="H123" s="188"/>
      <c r="I123" s="209"/>
    </row>
    <row r="124" spans="1:17" x14ac:dyDescent="0.25">
      <c r="B124" s="206"/>
      <c r="C124" s="188"/>
      <c r="D124" s="188"/>
      <c r="E124" s="188"/>
      <c r="F124" s="188"/>
      <c r="G124" s="188"/>
      <c r="H124" s="188"/>
      <c r="I124" s="209"/>
    </row>
    <row r="125" spans="1:17" x14ac:dyDescent="0.25">
      <c r="B125" s="188"/>
      <c r="C125" s="188"/>
      <c r="D125" s="188"/>
      <c r="E125" s="188"/>
      <c r="F125" s="188"/>
      <c r="G125" s="188"/>
      <c r="H125" s="188"/>
      <c r="I125" s="188"/>
    </row>
    <row r="126" spans="1:17" x14ac:dyDescent="0.25">
      <c r="A126" s="206"/>
      <c r="B126" s="206"/>
      <c r="C126" s="188"/>
      <c r="D126" s="188"/>
      <c r="E126" s="188"/>
      <c r="F126" s="188"/>
      <c r="G126" s="188"/>
      <c r="H126" s="188"/>
      <c r="I126" s="188"/>
    </row>
    <row r="127" spans="1:17" x14ac:dyDescent="0.25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x14ac:dyDescent="0.25">
      <c r="A128" s="5"/>
      <c r="B128" s="5"/>
      <c r="C128" s="5"/>
      <c r="D128" s="1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23"/>
    </row>
    <row r="134" spans="1:16" x14ac:dyDescent="0.25">
      <c r="A134" s="13"/>
      <c r="B134" s="23"/>
      <c r="C134" s="23"/>
    </row>
    <row r="135" spans="1:16" x14ac:dyDescent="0.25">
      <c r="A135" s="13"/>
      <c r="B135" s="23"/>
      <c r="C135" s="13"/>
    </row>
    <row r="136" spans="1:16" x14ac:dyDescent="0.25">
      <c r="A136" s="13"/>
      <c r="B136" s="23"/>
      <c r="C136" s="13"/>
    </row>
    <row r="137" spans="1:16" x14ac:dyDescent="0.25">
      <c r="A137" s="13"/>
      <c r="B137" s="23"/>
      <c r="C137" s="13"/>
    </row>
    <row r="138" spans="1:16" x14ac:dyDescent="0.25">
      <c r="A138" s="13"/>
      <c r="B138" s="23"/>
      <c r="C138" s="13"/>
    </row>
    <row r="139" spans="1:16" x14ac:dyDescent="0.25">
      <c r="A139" s="13"/>
      <c r="B139" s="23"/>
    </row>
    <row r="140" spans="1:16" x14ac:dyDescent="0.25">
      <c r="A140" s="13"/>
      <c r="B140" s="23"/>
      <c r="C140" s="23"/>
    </row>
    <row r="141" spans="1:16" x14ac:dyDescent="0.25">
      <c r="A141" s="200"/>
      <c r="B141" s="20"/>
    </row>
    <row r="142" spans="1:16" x14ac:dyDescent="0.25">
      <c r="A142" s="13"/>
      <c r="B142" s="23"/>
      <c r="C142" s="23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</row>
    <row r="143" spans="1:16" x14ac:dyDescent="0.25">
      <c r="A143" s="13"/>
      <c r="B143" s="23"/>
      <c r="C143" s="23"/>
    </row>
    <row r="144" spans="1:16" x14ac:dyDescent="0.25">
      <c r="A144" s="13"/>
      <c r="B144" s="23"/>
      <c r="C144" s="23"/>
    </row>
    <row r="145" spans="1:16" x14ac:dyDescent="0.25">
      <c r="A145" s="200"/>
      <c r="B145" s="202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</row>
    <row r="146" spans="1:16" x14ac:dyDescent="0.25">
      <c r="A146" s="13"/>
      <c r="B146" s="23"/>
      <c r="C146" s="23"/>
    </row>
    <row r="147" spans="1:16" x14ac:dyDescent="0.25">
      <c r="A147" s="200"/>
      <c r="B147" s="23"/>
      <c r="C147" s="23"/>
    </row>
    <row r="148" spans="1:16" x14ac:dyDescent="0.25">
      <c r="A148" s="200"/>
      <c r="B148" s="23"/>
      <c r="C148" s="23"/>
    </row>
    <row r="149" spans="1:16" x14ac:dyDescent="0.25">
      <c r="A149" s="200"/>
      <c r="B149" s="23"/>
      <c r="C149" s="23"/>
    </row>
    <row r="150" spans="1:16" x14ac:dyDescent="0.25">
      <c r="A150" s="200"/>
      <c r="B150" s="23"/>
      <c r="C150" s="23"/>
    </row>
    <row r="151" spans="1:16" x14ac:dyDescent="0.25">
      <c r="A151" s="200"/>
      <c r="B151" s="23"/>
      <c r="C151" s="23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</row>
    <row r="152" spans="1:16" x14ac:dyDescent="0.25">
      <c r="A152" s="200"/>
      <c r="B152" s="202"/>
      <c r="C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</row>
    <row r="153" spans="1:16" x14ac:dyDescent="0.25">
      <c r="A153" s="13"/>
      <c r="B153" s="23"/>
    </row>
    <row r="154" spans="1:16" x14ac:dyDescent="0.25">
      <c r="A154" s="200"/>
      <c r="B154" s="23"/>
      <c r="C154" s="23"/>
    </row>
    <row r="155" spans="1:16" x14ac:dyDescent="0.25">
      <c r="A155" s="200"/>
      <c r="B155" s="23"/>
      <c r="C155" s="23"/>
    </row>
    <row r="156" spans="1:16" x14ac:dyDescent="0.25">
      <c r="A156" s="200"/>
      <c r="B156" s="200"/>
      <c r="C156" s="202"/>
    </row>
    <row r="157" spans="1:16" x14ac:dyDescent="0.25">
      <c r="A157" s="13"/>
      <c r="B157" s="2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</row>
    <row r="158" spans="1:16" x14ac:dyDescent="0.25">
      <c r="A158" s="13"/>
      <c r="B158" s="2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1:16" x14ac:dyDescent="0.25">
      <c r="A159" s="200"/>
      <c r="B159" s="23"/>
      <c r="C159" s="202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</row>
    <row r="160" spans="1:16" x14ac:dyDescent="0.25">
      <c r="A160" s="13"/>
      <c r="B160" s="23"/>
    </row>
    <row r="161" spans="1:2" x14ac:dyDescent="0.25">
      <c r="A161" s="13"/>
      <c r="B161" s="23"/>
    </row>
    <row r="162" spans="1:2" x14ac:dyDescent="0.25">
      <c r="A162" s="13"/>
      <c r="B162" s="23"/>
    </row>
    <row r="163" spans="1:2" x14ac:dyDescent="0.25">
      <c r="A163" s="200"/>
      <c r="B163" s="200"/>
    </row>
    <row r="164" spans="1:2" x14ac:dyDescent="0.25">
      <c r="A164" s="23"/>
      <c r="B164" s="13"/>
    </row>
    <row r="165" spans="1:2" x14ac:dyDescent="0.25">
      <c r="A165" s="13"/>
      <c r="B165" s="23"/>
    </row>
    <row r="166" spans="1:2" x14ac:dyDescent="0.25">
      <c r="A166" s="13"/>
      <c r="B166" s="23"/>
    </row>
    <row r="167" spans="1:2" x14ac:dyDescent="0.25">
      <c r="A167" s="13"/>
      <c r="B167" s="23"/>
    </row>
    <row r="168" spans="1:2" x14ac:dyDescent="0.25">
      <c r="A168" s="13"/>
      <c r="B168" s="23"/>
    </row>
    <row r="169" spans="1:2" x14ac:dyDescent="0.25">
      <c r="A169" s="13"/>
      <c r="B169" s="23"/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60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14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1FC3-3D1E-496F-8CC4-D824DC13AE04}">
  <sheetPr transitionEvaluation="1" transitionEntry="1"/>
  <dimension ref="A1:AF60"/>
  <sheetViews>
    <sheetView showGridLines="0" defaultGridColor="0" view="pageBreakPreview" colorId="8" zoomScale="80" zoomScaleNormal="75" zoomScaleSheetLayoutView="80" workbookViewId="0">
      <selection activeCell="Q28" sqref="Q28"/>
    </sheetView>
  </sheetViews>
  <sheetFormatPr defaultColWidth="11.58203125" defaultRowHeight="12.5" x14ac:dyDescent="0.25"/>
  <cols>
    <col min="1" max="1" width="4.33203125" style="1" customWidth="1"/>
    <col min="2" max="2" width="3.58203125" style="1" customWidth="1"/>
    <col min="3" max="3" width="38.33203125" style="1" customWidth="1"/>
    <col min="4" max="4" width="13.08203125" style="1" customWidth="1"/>
    <col min="5" max="5" width="10.58203125" style="1" customWidth="1"/>
    <col min="6" max="7" width="9.83203125" style="1" customWidth="1"/>
    <col min="8" max="8" width="10.75" style="1" customWidth="1"/>
    <col min="9" max="9" width="9.75" style="1" customWidth="1"/>
    <col min="10" max="11" width="9.83203125" style="1" customWidth="1"/>
    <col min="12" max="12" width="10" style="1" customWidth="1"/>
    <col min="13" max="13" width="10.08203125" style="1" customWidth="1"/>
    <col min="14" max="14" width="10" style="1" customWidth="1"/>
    <col min="15" max="15" width="9.83203125" style="1" customWidth="1"/>
    <col min="16" max="16" width="10.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0.58203125" style="1" bestFit="1" customWidth="1"/>
    <col min="21" max="32" width="8.8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8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0</v>
      </c>
      <c r="E20" s="1">
        <f t="shared" ref="E20:P20" si="0">D20+E16-E17</f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531926.02</v>
      </c>
      <c r="E21" s="1">
        <f t="shared" ref="E21:P21" si="1">D21-E32-E33-E34+E17+E18-E19</f>
        <v>531926.02</v>
      </c>
      <c r="F21" s="1">
        <f t="shared" si="1"/>
        <v>531926.02</v>
      </c>
      <c r="G21" s="1">
        <f t="shared" si="1"/>
        <v>531926.02</v>
      </c>
      <c r="H21" s="1">
        <f t="shared" si="1"/>
        <v>531926.02</v>
      </c>
      <c r="I21" s="1">
        <f t="shared" si="1"/>
        <v>531926.02</v>
      </c>
      <c r="J21" s="1">
        <f t="shared" si="1"/>
        <v>531926.02</v>
      </c>
      <c r="K21" s="1">
        <f t="shared" si="1"/>
        <v>531926.02</v>
      </c>
      <c r="L21" s="1">
        <f t="shared" si="1"/>
        <v>531926.02</v>
      </c>
      <c r="M21" s="1">
        <f t="shared" si="1"/>
        <v>531926.02</v>
      </c>
      <c r="N21" s="1">
        <f t="shared" si="1"/>
        <v>531926.02</v>
      </c>
      <c r="O21" s="1">
        <f t="shared" si="1"/>
        <v>531926.02</v>
      </c>
      <c r="P21" s="1">
        <f t="shared" si="1"/>
        <v>531926.02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531926.02</v>
      </c>
      <c r="E23" s="199">
        <f t="shared" si="3"/>
        <v>531926.02</v>
      </c>
      <c r="F23" s="199">
        <f t="shared" si="3"/>
        <v>531926.02</v>
      </c>
      <c r="G23" s="199">
        <f t="shared" si="3"/>
        <v>531926.02</v>
      </c>
      <c r="H23" s="199">
        <f t="shared" si="3"/>
        <v>531926.02</v>
      </c>
      <c r="I23" s="199">
        <f t="shared" si="3"/>
        <v>531926.02</v>
      </c>
      <c r="J23" s="199">
        <f t="shared" si="3"/>
        <v>531926.02</v>
      </c>
      <c r="K23" s="199">
        <f t="shared" si="3"/>
        <v>531926.02</v>
      </c>
      <c r="L23" s="199">
        <f t="shared" si="3"/>
        <v>531926.02</v>
      </c>
      <c r="M23" s="199">
        <f t="shared" si="3"/>
        <v>531926.02</v>
      </c>
      <c r="N23" s="199">
        <f t="shared" si="3"/>
        <v>531926.02</v>
      </c>
      <c r="O23" s="199">
        <f t="shared" si="3"/>
        <v>531926.02</v>
      </c>
      <c r="P23" s="199">
        <f t="shared" si="3"/>
        <v>531926.02</v>
      </c>
    </row>
    <row r="24" spans="1:32" x14ac:dyDescent="0.25">
      <c r="A24" s="13"/>
      <c r="B24" s="13"/>
    </row>
    <row r="25" spans="1:32" x14ac:dyDescent="0.25">
      <c r="A25" s="13">
        <v>6</v>
      </c>
      <c r="B25" s="23" t="s">
        <v>276</v>
      </c>
      <c r="C25" s="23"/>
      <c r="E25" s="1">
        <f>(D23+E23)/2</f>
        <v>531926.02</v>
      </c>
      <c r="F25" s="1">
        <f t="shared" ref="F25:P25" si="4">(E23+F23)/2</f>
        <v>531926.02</v>
      </c>
      <c r="G25" s="1">
        <f t="shared" si="4"/>
        <v>531926.02</v>
      </c>
      <c r="H25" s="1">
        <f t="shared" si="4"/>
        <v>531926.02</v>
      </c>
      <c r="I25" s="1">
        <f t="shared" si="4"/>
        <v>531926.02</v>
      </c>
      <c r="J25" s="1">
        <f t="shared" si="4"/>
        <v>531926.02</v>
      </c>
      <c r="K25" s="1">
        <f t="shared" si="4"/>
        <v>531926.02</v>
      </c>
      <c r="L25" s="1">
        <f t="shared" si="4"/>
        <v>531926.02</v>
      </c>
      <c r="M25" s="1">
        <f t="shared" si="4"/>
        <v>531926.02</v>
      </c>
      <c r="N25" s="1">
        <f t="shared" si="4"/>
        <v>531926.02</v>
      </c>
      <c r="O25" s="1">
        <f t="shared" si="4"/>
        <v>531926.02</v>
      </c>
      <c r="P25" s="1">
        <f t="shared" si="4"/>
        <v>531926.02</v>
      </c>
    </row>
    <row r="26" spans="1:32" x14ac:dyDescent="0.25">
      <c r="A26" s="200"/>
      <c r="B26" s="202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2448.9873960800001</v>
      </c>
      <c r="F28" s="1">
        <v>2448.9873960800001</v>
      </c>
      <c r="G28" s="1">
        <v>2448.9873960800001</v>
      </c>
      <c r="H28" s="1">
        <v>2448.9873960800001</v>
      </c>
      <c r="I28" s="1">
        <v>2448.9873960800001</v>
      </c>
      <c r="J28" s="1">
        <v>2448.9873960800001</v>
      </c>
      <c r="K28" s="1">
        <v>2547.3937097799999</v>
      </c>
      <c r="L28" s="1">
        <v>2547.3937097799999</v>
      </c>
      <c r="M28" s="1">
        <v>2547.3937097799999</v>
      </c>
      <c r="N28" s="1">
        <v>2547.3937097799999</v>
      </c>
      <c r="O28" s="1">
        <v>2547.3937097799999</v>
      </c>
      <c r="P28" s="1">
        <v>2547.3937097799999</v>
      </c>
      <c r="Q28" s="1">
        <f>SUM(E28:P28)</f>
        <v>29978.286635160002</v>
      </c>
    </row>
    <row r="29" spans="1:32" x14ac:dyDescent="0.25">
      <c r="A29" s="200"/>
      <c r="B29" s="23" t="s">
        <v>264</v>
      </c>
      <c r="C29" s="23" t="s">
        <v>279</v>
      </c>
      <c r="E29" s="1">
        <v>618.09803524000006</v>
      </c>
      <c r="F29" s="1">
        <v>618.09803524000006</v>
      </c>
      <c r="G29" s="1">
        <v>618.09803524000006</v>
      </c>
      <c r="H29" s="1">
        <v>618.09803524000006</v>
      </c>
      <c r="I29" s="1">
        <v>618.09803524000006</v>
      </c>
      <c r="J29" s="1">
        <v>618.09803524000006</v>
      </c>
      <c r="K29" s="1">
        <v>557.99039498000002</v>
      </c>
      <c r="L29" s="1">
        <v>557.99039498000002</v>
      </c>
      <c r="M29" s="1">
        <v>557.99039498000002</v>
      </c>
      <c r="N29" s="1">
        <v>557.99039498000002</v>
      </c>
      <c r="O29" s="1">
        <v>557.99039498000002</v>
      </c>
      <c r="P29" s="1">
        <v>557.99039498000002</v>
      </c>
      <c r="Q29" s="1">
        <f>SUM(E29:P29)</f>
        <v>7056.5305813200002</v>
      </c>
    </row>
    <row r="30" spans="1:32" x14ac:dyDescent="0.25">
      <c r="A30" s="200"/>
      <c r="B30" s="202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>SUM(E32:P32)</f>
        <v>0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2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3067.0854313200002</v>
      </c>
      <c r="F38" s="1">
        <f t="shared" ref="F38:P38" si="5">SUM(F28:F36)</f>
        <v>3067.0854313200002</v>
      </c>
      <c r="G38" s="1">
        <f t="shared" si="5"/>
        <v>3067.0854313200002</v>
      </c>
      <c r="H38" s="1">
        <f t="shared" si="5"/>
        <v>3067.0854313200002</v>
      </c>
      <c r="I38" s="1">
        <f t="shared" si="5"/>
        <v>3067.0854313200002</v>
      </c>
      <c r="J38" s="1">
        <f t="shared" si="5"/>
        <v>3067.0854313200002</v>
      </c>
      <c r="K38" s="1">
        <f t="shared" si="5"/>
        <v>3105.3841047599999</v>
      </c>
      <c r="L38" s="1">
        <f t="shared" si="5"/>
        <v>3105.3841047599999</v>
      </c>
      <c r="M38" s="1">
        <f t="shared" si="5"/>
        <v>3105.3841047599999</v>
      </c>
      <c r="N38" s="1">
        <f t="shared" si="5"/>
        <v>3105.3841047599999</v>
      </c>
      <c r="O38" s="1">
        <f t="shared" si="5"/>
        <v>3105.3841047599999</v>
      </c>
      <c r="P38" s="1">
        <f t="shared" si="5"/>
        <v>3105.3841047599999</v>
      </c>
      <c r="Q38" s="1">
        <f>SUM(E38:P38)</f>
        <v>37034.817216480005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235.92964856307694</v>
      </c>
      <c r="F39" s="1">
        <f t="shared" ref="F39:P39" si="6">F38*1/13</f>
        <v>235.92964856307694</v>
      </c>
      <c r="G39" s="1">
        <f t="shared" si="6"/>
        <v>235.92964856307694</v>
      </c>
      <c r="H39" s="1">
        <f t="shared" si="6"/>
        <v>235.92964856307694</v>
      </c>
      <c r="I39" s="1">
        <f t="shared" si="6"/>
        <v>235.92964856307694</v>
      </c>
      <c r="J39" s="1">
        <f t="shared" si="6"/>
        <v>235.92964856307694</v>
      </c>
      <c r="K39" s="1">
        <f t="shared" si="6"/>
        <v>238.87570036615384</v>
      </c>
      <c r="L39" s="1">
        <f t="shared" si="6"/>
        <v>238.87570036615384</v>
      </c>
      <c r="M39" s="1">
        <f t="shared" si="6"/>
        <v>238.87570036615384</v>
      </c>
      <c r="N39" s="1">
        <f t="shared" si="6"/>
        <v>238.87570036615384</v>
      </c>
      <c r="O39" s="1">
        <f t="shared" si="6"/>
        <v>238.87570036615384</v>
      </c>
      <c r="P39" s="1">
        <f t="shared" si="6"/>
        <v>238.87570036615384</v>
      </c>
      <c r="Q39" s="1">
        <f>SUM(E39:P39)</f>
        <v>2848.832093575385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2831.16</v>
      </c>
      <c r="F40" s="1">
        <f t="shared" si="7"/>
        <v>2831.16</v>
      </c>
      <c r="G40" s="1">
        <f t="shared" si="7"/>
        <v>2831.16</v>
      </c>
      <c r="H40" s="1">
        <f t="shared" si="7"/>
        <v>2831.16</v>
      </c>
      <c r="I40" s="1">
        <f t="shared" si="7"/>
        <v>2831.16</v>
      </c>
      <c r="J40" s="1">
        <f t="shared" si="7"/>
        <v>2831.16</v>
      </c>
      <c r="K40" s="1">
        <f t="shared" si="7"/>
        <v>2866.51</v>
      </c>
      <c r="L40" s="1">
        <f t="shared" si="7"/>
        <v>2866.51</v>
      </c>
      <c r="M40" s="1">
        <f t="shared" si="7"/>
        <v>2866.51</v>
      </c>
      <c r="N40" s="1">
        <f t="shared" si="7"/>
        <v>2866.51</v>
      </c>
      <c r="O40" s="1">
        <f t="shared" si="7"/>
        <v>2866.51</v>
      </c>
      <c r="P40" s="1">
        <f t="shared" si="7"/>
        <v>2866.51</v>
      </c>
      <c r="Q40" s="1">
        <f>SUM(E40:P40)</f>
        <v>34186.020000000011</v>
      </c>
    </row>
    <row r="41" spans="1:17" x14ac:dyDescent="0.25">
      <c r="A41" s="200"/>
      <c r="B41" s="20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236.21276414135266</v>
      </c>
      <c r="F45" s="1">
        <v>236.21276414135266</v>
      </c>
      <c r="G45" s="1">
        <v>236.21276414135266</v>
      </c>
      <c r="H45" s="1">
        <v>236.21276414135266</v>
      </c>
      <c r="I45" s="1">
        <v>236.21276414135266</v>
      </c>
      <c r="J45" s="1">
        <v>236.21276414135266</v>
      </c>
      <c r="K45" s="1">
        <v>239.16235120659323</v>
      </c>
      <c r="L45" s="1">
        <v>239.16235120659323</v>
      </c>
      <c r="M45" s="1">
        <v>239.16235120659323</v>
      </c>
      <c r="N45" s="1">
        <v>239.16235120659323</v>
      </c>
      <c r="O45" s="1">
        <v>239.16235120659323</v>
      </c>
      <c r="P45" s="1">
        <v>239.16235120659323</v>
      </c>
      <c r="Q45" s="1">
        <f>SUM(E45:P45)</f>
        <v>2852.2506920876749</v>
      </c>
    </row>
    <row r="46" spans="1:17" x14ac:dyDescent="0.25">
      <c r="A46" s="13">
        <v>13</v>
      </c>
      <c r="B46" s="23" t="s">
        <v>290</v>
      </c>
      <c r="E46" s="199">
        <f>E40*E43</f>
        <v>2752.8577585319999</v>
      </c>
      <c r="F46" s="199">
        <f t="shared" ref="F46:P46" si="8">F40*F43</f>
        <v>2752.8577585319999</v>
      </c>
      <c r="G46" s="199">
        <f t="shared" si="8"/>
        <v>2752.8577585319999</v>
      </c>
      <c r="H46" s="199">
        <f t="shared" si="8"/>
        <v>2752.8577585319999</v>
      </c>
      <c r="I46" s="199">
        <f t="shared" si="8"/>
        <v>2752.8577585319999</v>
      </c>
      <c r="J46" s="199">
        <f t="shared" si="8"/>
        <v>2752.8577585319999</v>
      </c>
      <c r="K46" s="199">
        <f t="shared" si="8"/>
        <v>2787.2300729770004</v>
      </c>
      <c r="L46" s="199">
        <f t="shared" si="8"/>
        <v>2787.2300729770004</v>
      </c>
      <c r="M46" s="199">
        <f t="shared" si="8"/>
        <v>2787.2300729770004</v>
      </c>
      <c r="N46" s="199">
        <f t="shared" si="8"/>
        <v>2787.2300729770004</v>
      </c>
      <c r="O46" s="199">
        <f t="shared" si="8"/>
        <v>2787.2300729770004</v>
      </c>
      <c r="P46" s="199">
        <f t="shared" si="8"/>
        <v>2787.2300729770004</v>
      </c>
      <c r="Q46" s="199">
        <f>SUM(E46:P46)</f>
        <v>33240.526989054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2989.0705226733526</v>
      </c>
      <c r="F47" s="204">
        <f t="shared" si="9"/>
        <v>2989.0705226733526</v>
      </c>
      <c r="G47" s="204">
        <f t="shared" si="9"/>
        <v>2989.0705226733526</v>
      </c>
      <c r="H47" s="204">
        <f t="shared" si="9"/>
        <v>2989.0705226733526</v>
      </c>
      <c r="I47" s="204">
        <f t="shared" si="9"/>
        <v>2989.0705226733526</v>
      </c>
      <c r="J47" s="204">
        <f t="shared" si="9"/>
        <v>2989.0705226733526</v>
      </c>
      <c r="K47" s="204">
        <f t="shared" si="9"/>
        <v>3026.3924241835934</v>
      </c>
      <c r="L47" s="204">
        <f t="shared" si="9"/>
        <v>3026.3924241835934</v>
      </c>
      <c r="M47" s="204">
        <f t="shared" si="9"/>
        <v>3026.3924241835934</v>
      </c>
      <c r="N47" s="204">
        <f t="shared" si="9"/>
        <v>3026.3924241835934</v>
      </c>
      <c r="O47" s="204">
        <f t="shared" si="9"/>
        <v>3026.3924241835934</v>
      </c>
      <c r="P47" s="204">
        <f t="shared" si="9"/>
        <v>3026.3924241835934</v>
      </c>
      <c r="Q47" s="204">
        <f t="shared" si="9"/>
        <v>36092.777681141677</v>
      </c>
    </row>
    <row r="48" spans="1:17" ht="13" thickTop="1" x14ac:dyDescent="0.25">
      <c r="A48" s="200"/>
      <c r="B48" s="20"/>
    </row>
    <row r="49" spans="1:2" x14ac:dyDescent="0.25">
      <c r="A49" s="210" t="s">
        <v>76</v>
      </c>
      <c r="B49" s="2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11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62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2235-8AB7-4297-9976-F16FF6D5E19F}">
  <sheetPr transitionEvaluation="1" transitionEntry="1"/>
  <dimension ref="A1:AF161"/>
  <sheetViews>
    <sheetView showGridLines="0" defaultGridColor="0" view="pageBreakPreview" colorId="8" zoomScale="78" zoomScaleNormal="75" zoomScaleSheetLayoutView="78" workbookViewId="0">
      <selection activeCell="Q28" sqref="Q28"/>
    </sheetView>
  </sheetViews>
  <sheetFormatPr defaultColWidth="11.58203125" defaultRowHeight="12.5" x14ac:dyDescent="0.25"/>
  <cols>
    <col min="1" max="1" width="3.83203125" style="1" customWidth="1"/>
    <col min="2" max="2" width="3.58203125" style="1" customWidth="1"/>
    <col min="3" max="3" width="39.58203125" style="1" customWidth="1"/>
    <col min="4" max="4" width="12" style="1" customWidth="1"/>
    <col min="5" max="5" width="11" style="1" customWidth="1"/>
    <col min="6" max="6" width="10.83203125" style="1" customWidth="1"/>
    <col min="7" max="7" width="10.5" style="1" customWidth="1"/>
    <col min="8" max="8" width="10.83203125" style="1" customWidth="1"/>
    <col min="9" max="9" width="11.08203125" style="1" customWidth="1"/>
    <col min="10" max="10" width="10.83203125" style="1" customWidth="1"/>
    <col min="11" max="11" width="10.08203125" style="1" customWidth="1"/>
    <col min="12" max="12" width="10.58203125" style="1" customWidth="1"/>
    <col min="13" max="13" width="11.25" style="1" customWidth="1"/>
    <col min="14" max="14" width="11" style="1" customWidth="1"/>
    <col min="15" max="15" width="10.58203125" style="1" customWidth="1"/>
    <col min="16" max="16" width="10.83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1.5" style="1" bestFit="1" customWidth="1"/>
    <col min="21" max="32" width="9.8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9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380697.06</v>
      </c>
      <c r="E20" s="1">
        <f t="shared" ref="E20:M20" si="0">D20+E16-E17</f>
        <v>380697.06</v>
      </c>
      <c r="F20" s="1">
        <f t="shared" si="0"/>
        <v>380697.06</v>
      </c>
      <c r="G20" s="1">
        <f t="shared" si="0"/>
        <v>380697.06</v>
      </c>
      <c r="H20" s="1">
        <f t="shared" si="0"/>
        <v>380697.06</v>
      </c>
      <c r="I20" s="1">
        <f t="shared" si="0"/>
        <v>380697.06</v>
      </c>
      <c r="J20" s="1">
        <f t="shared" si="0"/>
        <v>380697.06</v>
      </c>
      <c r="K20" s="1">
        <f t="shared" si="0"/>
        <v>380697.06</v>
      </c>
      <c r="L20" s="1">
        <f t="shared" si="0"/>
        <v>380697.06</v>
      </c>
      <c r="M20" s="1">
        <f t="shared" si="0"/>
        <v>380697.06</v>
      </c>
      <c r="N20" s="1">
        <f>M20+N16-N17</f>
        <v>380697.06</v>
      </c>
      <c r="O20" s="1">
        <f>N20+O16-O17</f>
        <v>380697.06</v>
      </c>
      <c r="P20" s="1">
        <f>O20+P16-P17</f>
        <v>380697.06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-258868.94335461996</v>
      </c>
      <c r="E21" s="1">
        <f t="shared" ref="E21:P21" si="1">D21-E32-E33-E34+E17+E18-E19</f>
        <v>-260137.93354193005</v>
      </c>
      <c r="F21" s="1">
        <f t="shared" si="1"/>
        <v>-261406.92372924014</v>
      </c>
      <c r="G21" s="1">
        <f t="shared" si="1"/>
        <v>-262675.91391655023</v>
      </c>
      <c r="H21" s="1">
        <f t="shared" si="1"/>
        <v>-263944.90410386032</v>
      </c>
      <c r="I21" s="1">
        <f t="shared" si="1"/>
        <v>-265213.89429117041</v>
      </c>
      <c r="J21" s="1">
        <f t="shared" si="1"/>
        <v>-266482.8844784805</v>
      </c>
      <c r="K21" s="1">
        <f t="shared" si="1"/>
        <v>-267751.87466579059</v>
      </c>
      <c r="L21" s="1">
        <f t="shared" si="1"/>
        <v>-269020.86485310068</v>
      </c>
      <c r="M21" s="1">
        <f t="shared" si="1"/>
        <v>-270289.85504041077</v>
      </c>
      <c r="N21" s="1">
        <f t="shared" si="1"/>
        <v>-271558.84522772086</v>
      </c>
      <c r="O21" s="1">
        <f t="shared" si="1"/>
        <v>-272827.83541503095</v>
      </c>
      <c r="P21" s="1">
        <f t="shared" si="1"/>
        <v>-274096.82560234104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121828.11664538004</v>
      </c>
      <c r="E23" s="199">
        <f t="shared" si="3"/>
        <v>120559.12645806995</v>
      </c>
      <c r="F23" s="199">
        <f t="shared" si="3"/>
        <v>119290.13627075986</v>
      </c>
      <c r="G23" s="199">
        <f t="shared" si="3"/>
        <v>118021.14608344977</v>
      </c>
      <c r="H23" s="199">
        <f t="shared" si="3"/>
        <v>116752.15589613968</v>
      </c>
      <c r="I23" s="199">
        <f t="shared" si="3"/>
        <v>115483.16570882959</v>
      </c>
      <c r="J23" s="199">
        <f t="shared" si="3"/>
        <v>114214.1755215195</v>
      </c>
      <c r="K23" s="199">
        <f t="shared" si="3"/>
        <v>112945.18533420941</v>
      </c>
      <c r="L23" s="199">
        <f t="shared" si="3"/>
        <v>111676.19514689932</v>
      </c>
      <c r="M23" s="199">
        <f t="shared" si="3"/>
        <v>110407.20495958923</v>
      </c>
      <c r="N23" s="199">
        <f t="shared" si="3"/>
        <v>109138.21477227914</v>
      </c>
      <c r="O23" s="199">
        <f t="shared" si="3"/>
        <v>107869.22458496905</v>
      </c>
      <c r="P23" s="199">
        <f t="shared" si="3"/>
        <v>106600.23439765896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121193.62155172499</v>
      </c>
      <c r="F25" s="1">
        <f t="shared" ref="F25:P25" si="4">(E23+F23)/2</f>
        <v>119924.6313644149</v>
      </c>
      <c r="G25" s="1">
        <f t="shared" si="4"/>
        <v>118655.64117710482</v>
      </c>
      <c r="H25" s="1">
        <f t="shared" si="4"/>
        <v>117386.65098979473</v>
      </c>
      <c r="I25" s="1">
        <f t="shared" si="4"/>
        <v>116117.66080248464</v>
      </c>
      <c r="J25" s="1">
        <f t="shared" si="4"/>
        <v>114848.67061517455</v>
      </c>
      <c r="K25" s="1">
        <f t="shared" si="4"/>
        <v>113579.68042786446</v>
      </c>
      <c r="L25" s="1">
        <f t="shared" si="4"/>
        <v>112310.69024055437</v>
      </c>
      <c r="M25" s="1">
        <f t="shared" si="4"/>
        <v>111041.70005324428</v>
      </c>
      <c r="N25" s="1">
        <f t="shared" si="4"/>
        <v>109772.70986593419</v>
      </c>
      <c r="O25" s="1">
        <f t="shared" si="4"/>
        <v>108503.7196786241</v>
      </c>
      <c r="P25" s="1">
        <f t="shared" si="4"/>
        <v>107234.72949131401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557.97543362414183</v>
      </c>
      <c r="F28" s="1">
        <v>552.13300280176622</v>
      </c>
      <c r="G28" s="1">
        <v>546.29057197939051</v>
      </c>
      <c r="H28" s="1">
        <v>540.4481411570149</v>
      </c>
      <c r="I28" s="1">
        <v>534.60571033463918</v>
      </c>
      <c r="J28" s="1">
        <v>528.76327951226358</v>
      </c>
      <c r="K28" s="1">
        <v>543.93308956904286</v>
      </c>
      <c r="L28" s="1">
        <v>537.85589556201489</v>
      </c>
      <c r="M28" s="1">
        <v>531.77870155498681</v>
      </c>
      <c r="N28" s="1">
        <v>525.70150754795884</v>
      </c>
      <c r="O28" s="1">
        <v>519.62431354093076</v>
      </c>
      <c r="P28" s="1">
        <v>513.54711953390279</v>
      </c>
      <c r="Q28" s="1">
        <f>SUM(E28:P28)</f>
        <v>6432.6567667180516</v>
      </c>
    </row>
    <row r="29" spans="1:32" x14ac:dyDescent="0.25">
      <c r="A29" s="200"/>
      <c r="B29" s="23" t="s">
        <v>264</v>
      </c>
      <c r="C29" s="23" t="s">
        <v>279</v>
      </c>
      <c r="E29" s="1">
        <v>140.82698824310444</v>
      </c>
      <c r="F29" s="1">
        <v>139.35242164545014</v>
      </c>
      <c r="G29" s="1">
        <v>137.8778550477958</v>
      </c>
      <c r="H29" s="1">
        <v>136.40328845014147</v>
      </c>
      <c r="I29" s="1">
        <v>134.92872185248714</v>
      </c>
      <c r="J29" s="1">
        <v>133.45415525483284</v>
      </c>
      <c r="K29" s="1">
        <v>119.14508476882982</v>
      </c>
      <c r="L29" s="1">
        <v>117.81391406234154</v>
      </c>
      <c r="M29" s="1">
        <v>116.48274335585324</v>
      </c>
      <c r="N29" s="1">
        <v>115.15157264936497</v>
      </c>
      <c r="O29" s="1">
        <v>113.82040194287669</v>
      </c>
      <c r="P29" s="1">
        <v>112.48923123638839</v>
      </c>
      <c r="Q29" s="1">
        <f>SUM(E29:P29)</f>
        <v>1517.7463785094665</v>
      </c>
    </row>
    <row r="30" spans="1:32" x14ac:dyDescent="0.25">
      <c r="A30" s="200"/>
      <c r="B30" s="202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1268.990187310098</v>
      </c>
      <c r="F32" s="1">
        <v>1268.990187310098</v>
      </c>
      <c r="G32" s="1">
        <v>1268.990187310098</v>
      </c>
      <c r="H32" s="1">
        <v>1268.990187310098</v>
      </c>
      <c r="I32" s="1">
        <v>1268.990187310098</v>
      </c>
      <c r="J32" s="1">
        <v>1268.990187310098</v>
      </c>
      <c r="K32" s="1">
        <v>1268.990187310098</v>
      </c>
      <c r="L32" s="1">
        <v>1268.990187310098</v>
      </c>
      <c r="M32" s="1">
        <v>1268.990187310098</v>
      </c>
      <c r="N32" s="1">
        <v>1268.990187310098</v>
      </c>
      <c r="O32" s="1">
        <v>1268.990187310098</v>
      </c>
      <c r="P32" s="1">
        <v>1268.990187310098</v>
      </c>
      <c r="Q32" s="1">
        <f>SUM(E32:P32)</f>
        <v>15227.882247721172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1967.7926091773443</v>
      </c>
      <c r="F38" s="1">
        <f t="shared" ref="F38:P38" si="5">SUM(F28:F36)</f>
        <v>1960.4756117573143</v>
      </c>
      <c r="G38" s="1">
        <f t="shared" si="5"/>
        <v>1953.1586143372842</v>
      </c>
      <c r="H38" s="1">
        <f t="shared" si="5"/>
        <v>1945.8416169172544</v>
      </c>
      <c r="I38" s="1">
        <f t="shared" si="5"/>
        <v>1938.5246194972242</v>
      </c>
      <c r="J38" s="1">
        <f t="shared" si="5"/>
        <v>1931.2076220771944</v>
      </c>
      <c r="K38" s="1">
        <f t="shared" si="5"/>
        <v>1932.0683616479707</v>
      </c>
      <c r="L38" s="1">
        <f t="shared" si="5"/>
        <v>1924.6599969344543</v>
      </c>
      <c r="M38" s="1">
        <f t="shared" si="5"/>
        <v>1917.2516322209381</v>
      </c>
      <c r="N38" s="1">
        <f t="shared" si="5"/>
        <v>1909.8432675074218</v>
      </c>
      <c r="O38" s="1">
        <f t="shared" si="5"/>
        <v>1902.4349027939054</v>
      </c>
      <c r="P38" s="1">
        <f t="shared" si="5"/>
        <v>1895.0265380803892</v>
      </c>
      <c r="Q38" s="1">
        <f>SUM(E38:P38)</f>
        <v>23178.285392948696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151.3686622444111</v>
      </c>
      <c r="F39" s="1">
        <f t="shared" ref="F39:P39" si="6">F38*1/13</f>
        <v>150.80581628902416</v>
      </c>
      <c r="G39" s="1">
        <f t="shared" si="6"/>
        <v>150.24297033363726</v>
      </c>
      <c r="H39" s="1">
        <f t="shared" si="6"/>
        <v>149.68012437825035</v>
      </c>
      <c r="I39" s="1">
        <f t="shared" si="6"/>
        <v>149.11727842286339</v>
      </c>
      <c r="J39" s="1">
        <f t="shared" si="6"/>
        <v>148.55443246747649</v>
      </c>
      <c r="K39" s="1">
        <f t="shared" si="6"/>
        <v>148.62064320369007</v>
      </c>
      <c r="L39" s="1">
        <f t="shared" si="6"/>
        <v>148.05076899495802</v>
      </c>
      <c r="M39" s="1">
        <f t="shared" si="6"/>
        <v>147.480894786226</v>
      </c>
      <c r="N39" s="1">
        <f t="shared" si="6"/>
        <v>146.91102057749399</v>
      </c>
      <c r="O39" s="1">
        <f t="shared" si="6"/>
        <v>146.34114636876194</v>
      </c>
      <c r="P39" s="1">
        <f t="shared" si="6"/>
        <v>145.77127216002992</v>
      </c>
      <c r="Q39" s="1">
        <f>SUM(E39:P39)</f>
        <v>1782.9450302268222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1816.42</v>
      </c>
      <c r="F40" s="1">
        <f t="shared" si="7"/>
        <v>1809.67</v>
      </c>
      <c r="G40" s="1">
        <f t="shared" si="7"/>
        <v>1802.92</v>
      </c>
      <c r="H40" s="1">
        <f t="shared" si="7"/>
        <v>1796.16</v>
      </c>
      <c r="I40" s="1">
        <f t="shared" si="7"/>
        <v>1789.41</v>
      </c>
      <c r="J40" s="1">
        <f t="shared" si="7"/>
        <v>1782.65</v>
      </c>
      <c r="K40" s="1">
        <f t="shared" si="7"/>
        <v>1783.45</v>
      </c>
      <c r="L40" s="1">
        <f t="shared" si="7"/>
        <v>1776.61</v>
      </c>
      <c r="M40" s="1">
        <f t="shared" si="7"/>
        <v>1769.77</v>
      </c>
      <c r="N40" s="1">
        <f t="shared" si="7"/>
        <v>1762.93</v>
      </c>
      <c r="O40" s="1">
        <f t="shared" si="7"/>
        <v>1756.09</v>
      </c>
      <c r="P40" s="1">
        <f t="shared" si="7"/>
        <v>1749.26</v>
      </c>
      <c r="Q40" s="1">
        <f>SUM(E40:P40)</f>
        <v>21395.34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151.55030463910441</v>
      </c>
      <c r="F45" s="1">
        <v>150.986783268571</v>
      </c>
      <c r="G45" s="1">
        <v>150.42326189803765</v>
      </c>
      <c r="H45" s="1">
        <v>149.85974052750427</v>
      </c>
      <c r="I45" s="1">
        <v>149.29621915697084</v>
      </c>
      <c r="J45" s="1">
        <v>148.73269778643748</v>
      </c>
      <c r="K45" s="1">
        <v>148.79898797553452</v>
      </c>
      <c r="L45" s="1">
        <v>148.22842991775198</v>
      </c>
      <c r="M45" s="1">
        <v>147.65787185996948</v>
      </c>
      <c r="N45" s="1">
        <v>147.087313802187</v>
      </c>
      <c r="O45" s="1">
        <v>146.51675574440446</v>
      </c>
      <c r="P45" s="1">
        <v>145.94619768662199</v>
      </c>
      <c r="Q45" s="1">
        <f>SUM(E45:P45)</f>
        <v>1785.0845642630952</v>
      </c>
    </row>
    <row r="46" spans="1:17" x14ac:dyDescent="0.25">
      <c r="A46" s="13">
        <v>13</v>
      </c>
      <c r="B46" s="23" t="s">
        <v>290</v>
      </c>
      <c r="E46" s="199">
        <f>E40*E43</f>
        <v>1766.1827271340001</v>
      </c>
      <c r="F46" s="199">
        <f t="shared" ref="F46:P46" si="8">F40*F43</f>
        <v>1759.6194139090001</v>
      </c>
      <c r="G46" s="199">
        <f t="shared" si="8"/>
        <v>1753.0561006840001</v>
      </c>
      <c r="H46" s="199">
        <f t="shared" si="8"/>
        <v>1746.4830640320001</v>
      </c>
      <c r="I46" s="199">
        <f t="shared" si="8"/>
        <v>1739.9197508070001</v>
      </c>
      <c r="J46" s="199">
        <f t="shared" si="8"/>
        <v>1733.3467141550002</v>
      </c>
      <c r="K46" s="199">
        <f t="shared" si="8"/>
        <v>1734.124588315</v>
      </c>
      <c r="L46" s="199">
        <f t="shared" si="8"/>
        <v>1727.473764247</v>
      </c>
      <c r="M46" s="199">
        <f t="shared" si="8"/>
        <v>1720.8229401789999</v>
      </c>
      <c r="N46" s="199">
        <f t="shared" si="8"/>
        <v>1714.1721161110002</v>
      </c>
      <c r="O46" s="199">
        <f t="shared" si="8"/>
        <v>1707.5212920429999</v>
      </c>
      <c r="P46" s="199">
        <f t="shared" si="8"/>
        <v>1700.880191402</v>
      </c>
      <c r="Q46" s="199">
        <f>SUM(E46:P46)</f>
        <v>20803.602663018002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1917.7330317731044</v>
      </c>
      <c r="F47" s="204">
        <f t="shared" si="9"/>
        <v>1910.6061971775712</v>
      </c>
      <c r="G47" s="204">
        <f t="shared" si="9"/>
        <v>1903.4793625820378</v>
      </c>
      <c r="H47" s="204">
        <f t="shared" si="9"/>
        <v>1896.3428045595044</v>
      </c>
      <c r="I47" s="204">
        <f t="shared" si="9"/>
        <v>1889.215969963971</v>
      </c>
      <c r="J47" s="204">
        <f t="shared" si="9"/>
        <v>1882.0794119414377</v>
      </c>
      <c r="K47" s="204">
        <f t="shared" si="9"/>
        <v>1882.9235762905346</v>
      </c>
      <c r="L47" s="204">
        <f t="shared" si="9"/>
        <v>1875.702194164752</v>
      </c>
      <c r="M47" s="204">
        <f t="shared" si="9"/>
        <v>1868.4808120389694</v>
      </c>
      <c r="N47" s="204">
        <f t="shared" si="9"/>
        <v>1861.2594299131872</v>
      </c>
      <c r="O47" s="204">
        <f t="shared" si="9"/>
        <v>1854.0380477874044</v>
      </c>
      <c r="P47" s="204">
        <f t="shared" si="9"/>
        <v>1846.8263890886219</v>
      </c>
      <c r="Q47" s="204">
        <f t="shared" si="9"/>
        <v>22588.687227281098</v>
      </c>
    </row>
    <row r="48" spans="1:17" ht="13" thickTop="1" x14ac:dyDescent="0.25">
      <c r="A48" s="200"/>
      <c r="B48" s="20"/>
    </row>
    <row r="49" spans="1:9" x14ac:dyDescent="0.25">
      <c r="A49" s="210" t="s">
        <v>76</v>
      </c>
      <c r="B49" s="23"/>
    </row>
    <row r="50" spans="1:9" x14ac:dyDescent="0.25">
      <c r="A50" s="23" t="s">
        <v>168</v>
      </c>
      <c r="B50" s="23" t="s">
        <v>292</v>
      </c>
    </row>
    <row r="51" spans="1:9" x14ac:dyDescent="0.25">
      <c r="A51" s="23" t="s">
        <v>170</v>
      </c>
      <c r="B51" s="23" t="s">
        <v>293</v>
      </c>
    </row>
    <row r="52" spans="1:9" x14ac:dyDescent="0.25">
      <c r="A52" s="23" t="s">
        <v>255</v>
      </c>
      <c r="B52" s="23" t="s">
        <v>294</v>
      </c>
    </row>
    <row r="53" spans="1:9" x14ac:dyDescent="0.25">
      <c r="A53" s="23" t="s">
        <v>295</v>
      </c>
      <c r="B53" s="23" t="s">
        <v>296</v>
      </c>
    </row>
    <row r="54" spans="1:9" x14ac:dyDescent="0.25">
      <c r="A54" s="23" t="s">
        <v>297</v>
      </c>
      <c r="B54" s="11" t="s">
        <v>298</v>
      </c>
    </row>
    <row r="55" spans="1:9" x14ac:dyDescent="0.25">
      <c r="A55" s="23" t="s">
        <v>299</v>
      </c>
      <c r="B55" s="23" t="s">
        <v>300</v>
      </c>
    </row>
    <row r="56" spans="1:9" x14ac:dyDescent="0.25">
      <c r="A56" s="23" t="s">
        <v>301</v>
      </c>
      <c r="B56" s="23" t="s">
        <v>302</v>
      </c>
    </row>
    <row r="57" spans="1:9" x14ac:dyDescent="0.25">
      <c r="A57" s="23" t="s">
        <v>303</v>
      </c>
      <c r="B57" s="23" t="s">
        <v>304</v>
      </c>
    </row>
    <row r="58" spans="1:9" x14ac:dyDescent="0.25">
      <c r="A58" s="23" t="s">
        <v>305</v>
      </c>
      <c r="B58" s="23" t="s">
        <v>306</v>
      </c>
    </row>
    <row r="59" spans="1:9" x14ac:dyDescent="0.25">
      <c r="A59" s="11" t="s">
        <v>307</v>
      </c>
      <c r="B59" s="23" t="s">
        <v>308</v>
      </c>
    </row>
    <row r="60" spans="1:9" x14ac:dyDescent="0.25">
      <c r="A60" s="11" t="s">
        <v>309</v>
      </c>
      <c r="B60" s="23" t="s">
        <v>310</v>
      </c>
    </row>
    <row r="63" spans="1:9" ht="13" x14ac:dyDescent="0.3">
      <c r="B63" s="187"/>
      <c r="C63" s="188"/>
      <c r="D63" s="188"/>
      <c r="E63" s="188"/>
      <c r="F63" s="188"/>
      <c r="G63" s="188"/>
      <c r="H63" s="187"/>
      <c r="I63" s="188"/>
    </row>
    <row r="64" spans="1:9" x14ac:dyDescent="0.25">
      <c r="B64" s="188"/>
      <c r="C64" s="188"/>
      <c r="D64" s="188"/>
      <c r="E64" s="188"/>
      <c r="F64" s="188"/>
      <c r="G64" s="188"/>
      <c r="H64" s="188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ht="13" x14ac:dyDescent="0.3">
      <c r="B66" s="186"/>
      <c r="C66" s="188"/>
      <c r="D66" s="188"/>
      <c r="E66" s="188"/>
      <c r="F66" s="188"/>
      <c r="G66" s="188"/>
      <c r="H66" s="186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F69" s="188"/>
      <c r="G69" s="188"/>
      <c r="H69" s="188"/>
      <c r="I69" s="23"/>
    </row>
    <row r="70" spans="1:17" x14ac:dyDescent="0.25">
      <c r="B70" s="206"/>
      <c r="C70" s="188"/>
      <c r="D70" s="188"/>
      <c r="E70" s="188"/>
      <c r="F70" s="188"/>
      <c r="G70" s="188"/>
      <c r="H70" s="13"/>
      <c r="I70" s="227"/>
    </row>
    <row r="71" spans="1:17" x14ac:dyDescent="0.25">
      <c r="B71" s="188"/>
      <c r="C71" s="188"/>
      <c r="D71" s="188"/>
      <c r="E71" s="188"/>
      <c r="F71" s="188"/>
      <c r="G71" s="188"/>
      <c r="H71" s="188"/>
      <c r="I71" s="188"/>
    </row>
    <row r="72" spans="1:17" x14ac:dyDescent="0.25">
      <c r="A72" s="206"/>
      <c r="B72" s="206"/>
      <c r="C72" s="188"/>
      <c r="D72" s="188"/>
      <c r="E72" s="188"/>
      <c r="F72" s="188"/>
      <c r="G72" s="188"/>
      <c r="H72" s="188"/>
      <c r="I72" s="188"/>
    </row>
    <row r="73" spans="1:1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5">
      <c r="A74" s="23"/>
      <c r="B74" s="23"/>
      <c r="C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23"/>
      <c r="B75" s="23"/>
      <c r="C75" s="23"/>
    </row>
    <row r="76" spans="1:17" x14ac:dyDescent="0.25">
      <c r="A76" s="23"/>
      <c r="B76" s="23"/>
      <c r="C76" s="23"/>
    </row>
    <row r="77" spans="1:17" x14ac:dyDescent="0.25">
      <c r="A77" s="23"/>
      <c r="B77" s="23"/>
      <c r="C77" s="23"/>
    </row>
    <row r="78" spans="1:17" x14ac:dyDescent="0.25">
      <c r="A78" s="23"/>
      <c r="B78" s="23"/>
      <c r="C78" s="23"/>
    </row>
    <row r="79" spans="1:17" x14ac:dyDescent="0.25">
      <c r="A79" s="23"/>
      <c r="B79" s="23"/>
      <c r="C79" s="23"/>
    </row>
    <row r="80" spans="1:17" x14ac:dyDescent="0.25">
      <c r="A80" s="23"/>
      <c r="B80" s="23"/>
      <c r="C80" s="23"/>
    </row>
    <row r="81" spans="1:16" x14ac:dyDescent="0.25">
      <c r="A81" s="23"/>
      <c r="B81" s="23"/>
      <c r="C81" s="23"/>
    </row>
    <row r="82" spans="1:16" x14ac:dyDescent="0.25">
      <c r="A82" s="23"/>
      <c r="B82" s="23"/>
      <c r="C82" s="23"/>
    </row>
    <row r="83" spans="1:16" x14ac:dyDescent="0.25">
      <c r="A83" s="23"/>
      <c r="B83" s="23"/>
      <c r="C83" s="23"/>
    </row>
    <row r="84" spans="1:16" x14ac:dyDescent="0.25">
      <c r="A84" s="23"/>
      <c r="B84" s="23"/>
      <c r="C84" s="23"/>
    </row>
    <row r="85" spans="1:16" x14ac:dyDescent="0.25">
      <c r="A85" s="23"/>
      <c r="B85" s="23"/>
      <c r="C85" s="23"/>
    </row>
    <row r="86" spans="1:16" x14ac:dyDescent="0.25">
      <c r="A86" s="23"/>
      <c r="B86" s="23"/>
      <c r="C86" s="23"/>
    </row>
    <row r="87" spans="1:16" x14ac:dyDescent="0.25">
      <c r="A87" s="23"/>
      <c r="B87" s="23"/>
      <c r="C87" s="23"/>
    </row>
    <row r="88" spans="1:16" x14ac:dyDescent="0.25">
      <c r="A88" s="23"/>
      <c r="B88" s="23"/>
      <c r="C88" s="23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89" spans="1:16" x14ac:dyDescent="0.25">
      <c r="A89" s="23"/>
      <c r="B89" s="23"/>
      <c r="C89" s="23"/>
    </row>
    <row r="90" spans="1:16" x14ac:dyDescent="0.25">
      <c r="A90" s="23"/>
      <c r="B90" s="23"/>
      <c r="C90" s="23"/>
    </row>
    <row r="91" spans="1:16" x14ac:dyDescent="0.25">
      <c r="A91" s="23"/>
      <c r="B91" s="23"/>
      <c r="C91" s="23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</row>
    <row r="92" spans="1:16" x14ac:dyDescent="0.25">
      <c r="A92" s="23"/>
      <c r="B92" s="23"/>
      <c r="C92" s="23"/>
    </row>
    <row r="93" spans="1:16" x14ac:dyDescent="0.25">
      <c r="A93" s="23"/>
      <c r="B93" s="23"/>
      <c r="C93" s="23"/>
    </row>
    <row r="94" spans="1:16" x14ac:dyDescent="0.25">
      <c r="A94" s="23"/>
      <c r="B94" s="23"/>
      <c r="C94" s="23"/>
    </row>
    <row r="95" spans="1:16" x14ac:dyDescent="0.25">
      <c r="A95" s="23"/>
      <c r="B95" s="23"/>
      <c r="C95" s="23"/>
    </row>
    <row r="96" spans="1:16" x14ac:dyDescent="0.25">
      <c r="A96" s="23"/>
      <c r="B96" s="23"/>
      <c r="C96" s="23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6" x14ac:dyDescent="0.25">
      <c r="A97" s="23"/>
      <c r="B97" s="23"/>
      <c r="C97" s="23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6" x14ac:dyDescent="0.25">
      <c r="A98" s="23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3"/>
      <c r="B99" s="23"/>
      <c r="C99" s="23"/>
    </row>
    <row r="100" spans="1:16" x14ac:dyDescent="0.25">
      <c r="A100" s="23"/>
      <c r="B100" s="23"/>
      <c r="C100" s="23"/>
    </row>
    <row r="101" spans="1:16" x14ac:dyDescent="0.25">
      <c r="A101" s="23"/>
      <c r="B101" s="23"/>
      <c r="C101" s="23"/>
    </row>
    <row r="102" spans="1:16" x14ac:dyDescent="0.25">
      <c r="A102" s="23"/>
      <c r="B102" s="23"/>
      <c r="C102" s="23"/>
    </row>
    <row r="103" spans="1:16" x14ac:dyDescent="0.25">
      <c r="A103" s="23"/>
      <c r="B103" s="23"/>
      <c r="C103" s="2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1:16" x14ac:dyDescent="0.25">
      <c r="A104" s="23"/>
      <c r="B104" s="23"/>
      <c r="C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23"/>
      <c r="B105" s="23"/>
      <c r="C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23"/>
      <c r="B106" s="23"/>
      <c r="C106" s="23"/>
    </row>
    <row r="107" spans="1:16" x14ac:dyDescent="0.25">
      <c r="A107" s="23"/>
      <c r="B107" s="23"/>
      <c r="C107" s="23"/>
    </row>
    <row r="108" spans="1:16" x14ac:dyDescent="0.25">
      <c r="A108" s="23"/>
      <c r="B108" s="23"/>
      <c r="C108" s="23"/>
    </row>
    <row r="113" spans="1:17" ht="13" x14ac:dyDescent="0.3">
      <c r="Q113" s="226"/>
    </row>
    <row r="114" spans="1:17" x14ac:dyDescent="0.25">
      <c r="Q114" s="16"/>
    </row>
    <row r="115" spans="1:17" ht="13" x14ac:dyDescent="0.3">
      <c r="B115" s="187"/>
      <c r="C115" s="188"/>
      <c r="D115" s="188"/>
      <c r="E115" s="188"/>
      <c r="F115" s="188"/>
      <c r="G115" s="188"/>
      <c r="H115" s="187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ht="13" x14ac:dyDescent="0.3">
      <c r="B118" s="186"/>
      <c r="C118" s="188"/>
      <c r="D118" s="188"/>
      <c r="E118" s="188"/>
      <c r="F118" s="188"/>
      <c r="G118" s="188"/>
      <c r="H118" s="186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B121" s="188"/>
      <c r="C121" s="188"/>
      <c r="F121" s="188"/>
      <c r="G121" s="188"/>
      <c r="H121" s="188"/>
      <c r="I121" s="23"/>
    </row>
    <row r="122" spans="1:17" x14ac:dyDescent="0.25">
      <c r="B122" s="206"/>
      <c r="C122" s="188"/>
      <c r="D122" s="188"/>
      <c r="E122" s="188"/>
      <c r="F122" s="188"/>
      <c r="G122" s="188"/>
      <c r="H122" s="188"/>
      <c r="I122" s="188"/>
    </row>
    <row r="123" spans="1:17" x14ac:dyDescent="0.25">
      <c r="B123" s="188"/>
      <c r="C123" s="188"/>
      <c r="D123" s="188"/>
      <c r="E123" s="188"/>
      <c r="F123" s="188"/>
      <c r="G123" s="188"/>
      <c r="H123" s="188"/>
      <c r="I123" s="188"/>
    </row>
    <row r="124" spans="1:17" x14ac:dyDescent="0.25">
      <c r="A124" s="206"/>
      <c r="B124" s="206"/>
      <c r="C124" s="188"/>
      <c r="D124" s="188"/>
      <c r="E124" s="188"/>
      <c r="F124" s="188"/>
      <c r="G124" s="188"/>
      <c r="H124" s="188"/>
      <c r="I124" s="188"/>
    </row>
    <row r="125" spans="1:17" x14ac:dyDescent="0.2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5">
      <c r="A127" s="13"/>
      <c r="B127" s="23"/>
      <c r="C127" s="13"/>
    </row>
    <row r="128" spans="1:17" x14ac:dyDescent="0.25">
      <c r="A128" s="13"/>
      <c r="B128" s="23"/>
      <c r="C128" s="2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13"/>
    </row>
    <row r="134" spans="1:16" x14ac:dyDescent="0.25">
      <c r="A134" s="13"/>
      <c r="B134" s="23"/>
      <c r="C134" s="13"/>
    </row>
    <row r="135" spans="1:16" x14ac:dyDescent="0.25">
      <c r="A135" s="13"/>
      <c r="B135" s="23"/>
      <c r="C135" s="13"/>
    </row>
    <row r="136" spans="1:16" x14ac:dyDescent="0.25">
      <c r="A136" s="13"/>
      <c r="B136" s="23"/>
      <c r="C136" s="13"/>
    </row>
    <row r="137" spans="1:16" x14ac:dyDescent="0.25">
      <c r="A137" s="13"/>
      <c r="B137" s="23"/>
    </row>
    <row r="138" spans="1:16" x14ac:dyDescent="0.25">
      <c r="A138" s="13"/>
      <c r="B138" s="23"/>
      <c r="C138" s="23"/>
    </row>
    <row r="139" spans="1:16" x14ac:dyDescent="0.25">
      <c r="A139" s="200"/>
      <c r="B139" s="20"/>
    </row>
    <row r="140" spans="1:16" x14ac:dyDescent="0.25">
      <c r="A140" s="13"/>
      <c r="B140" s="23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</row>
    <row r="141" spans="1:16" x14ac:dyDescent="0.25">
      <c r="A141" s="200"/>
      <c r="B141" s="23"/>
      <c r="C141" s="23"/>
    </row>
    <row r="142" spans="1:16" x14ac:dyDescent="0.25">
      <c r="A142" s="200"/>
      <c r="B142" s="23"/>
      <c r="C142" s="23"/>
    </row>
    <row r="143" spans="1:16" x14ac:dyDescent="0.25">
      <c r="A143" s="200"/>
      <c r="B143" s="202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</row>
    <row r="144" spans="1:16" x14ac:dyDescent="0.25">
      <c r="A144" s="13"/>
      <c r="B144" s="23"/>
    </row>
    <row r="145" spans="1:16" x14ac:dyDescent="0.25">
      <c r="A145" s="200"/>
      <c r="B145" s="23"/>
      <c r="C145" s="23"/>
    </row>
    <row r="146" spans="1:16" x14ac:dyDescent="0.25">
      <c r="A146" s="200"/>
      <c r="B146" s="23"/>
      <c r="C146" s="23"/>
    </row>
    <row r="147" spans="1:16" x14ac:dyDescent="0.25">
      <c r="A147" s="200"/>
      <c r="B147" s="23"/>
      <c r="C147" s="23"/>
    </row>
    <row r="148" spans="1:16" x14ac:dyDescent="0.25">
      <c r="A148" s="200"/>
      <c r="B148" s="23"/>
      <c r="C148" s="23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1:16" x14ac:dyDescent="0.25">
      <c r="A149" s="200"/>
      <c r="B149" s="23"/>
      <c r="C149" s="23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6" x14ac:dyDescent="0.25">
      <c r="A150" s="200"/>
      <c r="B150" s="20"/>
      <c r="C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</row>
    <row r="151" spans="1:16" x14ac:dyDescent="0.25">
      <c r="A151" s="13"/>
      <c r="B151" s="23"/>
    </row>
    <row r="152" spans="1:16" x14ac:dyDescent="0.25">
      <c r="A152" s="200"/>
      <c r="B152" s="23"/>
      <c r="C152" s="23"/>
    </row>
    <row r="153" spans="1:16" x14ac:dyDescent="0.25">
      <c r="A153" s="200"/>
      <c r="B153" s="23"/>
      <c r="C153" s="23"/>
    </row>
    <row r="154" spans="1:16" x14ac:dyDescent="0.25">
      <c r="A154" s="200"/>
      <c r="B154" s="20"/>
      <c r="C154" s="202"/>
    </row>
    <row r="155" spans="1:16" x14ac:dyDescent="0.25">
      <c r="A155" s="13"/>
      <c r="B155" s="2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56" spans="1:16" x14ac:dyDescent="0.25">
      <c r="A156" s="13"/>
      <c r="B156" s="2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x14ac:dyDescent="0.25">
      <c r="A157" s="13"/>
      <c r="B157" s="23"/>
      <c r="C157" s="202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</row>
    <row r="158" spans="1:16" x14ac:dyDescent="0.25">
      <c r="A158" s="13"/>
      <c r="B158" s="23"/>
    </row>
    <row r="159" spans="1:16" x14ac:dyDescent="0.25">
      <c r="A159" s="13"/>
      <c r="B159" s="23"/>
    </row>
    <row r="160" spans="1:16" x14ac:dyDescent="0.25">
      <c r="A160" s="13"/>
      <c r="B160" s="23"/>
    </row>
    <row r="161" spans="1:2" x14ac:dyDescent="0.25">
      <c r="A161" s="200"/>
      <c r="B161" s="20"/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12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CF14-43CE-40D7-9215-019D7EEA50B9}">
  <sheetPr transitionEvaluation="1" transitionEntry="1"/>
  <dimension ref="A1:AF63"/>
  <sheetViews>
    <sheetView showGridLines="0" defaultGridColor="0" view="pageBreakPreview" colorId="8" zoomScale="77" zoomScaleNormal="75" zoomScaleSheetLayoutView="77" workbookViewId="0">
      <selection activeCell="Q28" sqref="Q28"/>
    </sheetView>
  </sheetViews>
  <sheetFormatPr defaultColWidth="11.58203125" defaultRowHeight="12.5" x14ac:dyDescent="0.25"/>
  <cols>
    <col min="1" max="1" width="4" style="1" customWidth="1"/>
    <col min="2" max="2" width="3.58203125" style="1" customWidth="1"/>
    <col min="3" max="3" width="39.25" style="1" customWidth="1"/>
    <col min="4" max="4" width="12.5" style="1" customWidth="1"/>
    <col min="5" max="5" width="11.58203125" style="1" bestFit="1" customWidth="1"/>
    <col min="6" max="6" width="10.83203125" style="1" customWidth="1"/>
    <col min="7" max="7" width="10.5" style="1" customWidth="1"/>
    <col min="8" max="8" width="10.58203125" style="1" customWidth="1"/>
    <col min="9" max="10" width="11.58203125" style="1" bestFit="1" customWidth="1"/>
    <col min="11" max="11" width="10.83203125" style="1" customWidth="1"/>
    <col min="12" max="12" width="10.58203125" style="1" customWidth="1"/>
    <col min="13" max="13" width="10.5" style="1" customWidth="1"/>
    <col min="14" max="14" width="10.58203125" style="1" customWidth="1"/>
    <col min="15" max="15" width="10.83203125" style="1" customWidth="1"/>
    <col min="16" max="16" width="11.58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9.83203125" style="1" bestFit="1" customWidth="1"/>
    <col min="21" max="32" width="8.7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10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v>0</v>
      </c>
      <c r="F20" s="1">
        <v>0</v>
      </c>
      <c r="G20" s="1">
        <v>0</v>
      </c>
      <c r="H20" s="1">
        <v>0</v>
      </c>
      <c r="I20" s="1">
        <f>36282.03</f>
        <v>36282.03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36282.03</v>
      </c>
    </row>
    <row r="21" spans="1:32" x14ac:dyDescent="0.25">
      <c r="A21" s="13">
        <v>2</v>
      </c>
      <c r="B21" s="23" t="s">
        <v>272</v>
      </c>
      <c r="C21" s="13"/>
      <c r="D21" s="1">
        <v>20967.64</v>
      </c>
      <c r="E21" s="1">
        <f t="shared" ref="E21:P21" si="1">D21+E16-E17</f>
        <v>20967.64</v>
      </c>
      <c r="F21" s="1">
        <f t="shared" si="1"/>
        <v>20967.64</v>
      </c>
      <c r="G21" s="1">
        <f t="shared" si="1"/>
        <v>20967.64</v>
      </c>
      <c r="H21" s="1">
        <f t="shared" si="1"/>
        <v>20967.64</v>
      </c>
      <c r="I21" s="27">
        <f>H21+I16-I17+I19</f>
        <v>20967.64</v>
      </c>
      <c r="J21" s="1">
        <f t="shared" si="1"/>
        <v>20967.64</v>
      </c>
      <c r="K21" s="1">
        <f t="shared" si="1"/>
        <v>20967.64</v>
      </c>
      <c r="L21" s="1">
        <f t="shared" si="1"/>
        <v>20967.64</v>
      </c>
      <c r="M21" s="1">
        <f t="shared" si="1"/>
        <v>20967.64</v>
      </c>
      <c r="N21" s="1">
        <f t="shared" si="1"/>
        <v>20967.64</v>
      </c>
      <c r="O21" s="1">
        <f t="shared" si="1"/>
        <v>20967.64</v>
      </c>
      <c r="P21" s="1">
        <f t="shared" si="1"/>
        <v>20967.64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-52562.256713768838</v>
      </c>
      <c r="E22" s="1">
        <f>D22-E33-E34-E35+E17+E18-E19</f>
        <v>-52632.148846403252</v>
      </c>
      <c r="F22" s="1">
        <f>E22-F33-F34-F35+F17+F18-F19</f>
        <v>-52702.040979037665</v>
      </c>
      <c r="G22" s="1">
        <f>F22-G33-G34-G35+G17+G18-G19</f>
        <v>-52771.933111672079</v>
      </c>
      <c r="H22" s="1">
        <f>G22-H33-H34-H35+H17+H18-H19</f>
        <v>-52841.825244306492</v>
      </c>
      <c r="I22" s="27">
        <f>H22-I33-I34-I35+I17+I18+I20</f>
        <v>-16629.687376940907</v>
      </c>
      <c r="J22" s="1">
        <f t="shared" ref="J22:P22" si="2">I22-J33-J34-J35+J17+J18-J19</f>
        <v>-16699.57950957532</v>
      </c>
      <c r="K22" s="1">
        <f t="shared" si="2"/>
        <v>-16769.471642209734</v>
      </c>
      <c r="L22" s="1">
        <f t="shared" si="2"/>
        <v>-16839.363774844147</v>
      </c>
      <c r="M22" s="1">
        <f t="shared" si="2"/>
        <v>-16909.25590747856</v>
      </c>
      <c r="N22" s="1">
        <f t="shared" si="2"/>
        <v>-16979.148040112974</v>
      </c>
      <c r="O22" s="1">
        <f t="shared" si="2"/>
        <v>-17049.040172747387</v>
      </c>
      <c r="P22" s="1">
        <f t="shared" si="2"/>
        <v>-17118.932305381801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99">
        <v>0</v>
      </c>
      <c r="E23" s="199">
        <f t="shared" ref="E23:P23" si="3">D23+E15-E16</f>
        <v>0</v>
      </c>
      <c r="F23" s="199">
        <f t="shared" si="3"/>
        <v>0</v>
      </c>
      <c r="G23" s="199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199">
        <f t="shared" ref="D24:P24" si="4">SUM(D21:D23)</f>
        <v>-31594.616713768839</v>
      </c>
      <c r="E24" s="199">
        <f t="shared" si="4"/>
        <v>-31664.508846403252</v>
      </c>
      <c r="F24" s="199">
        <f t="shared" si="4"/>
        <v>-31734.400979037666</v>
      </c>
      <c r="G24" s="199">
        <f t="shared" si="4"/>
        <v>-31804.293111672079</v>
      </c>
      <c r="H24" s="199">
        <f t="shared" si="4"/>
        <v>-31874.185244306493</v>
      </c>
      <c r="I24" s="199">
        <f t="shared" si="4"/>
        <v>4337.9526230590927</v>
      </c>
      <c r="J24" s="199">
        <f t="shared" si="4"/>
        <v>4268.0604904246793</v>
      </c>
      <c r="K24" s="199">
        <f t="shared" si="4"/>
        <v>4198.1683577902659</v>
      </c>
      <c r="L24" s="199">
        <f t="shared" si="4"/>
        <v>4128.2762251558524</v>
      </c>
      <c r="M24" s="199">
        <f t="shared" si="4"/>
        <v>4058.384092521439</v>
      </c>
      <c r="N24" s="199">
        <f t="shared" si="4"/>
        <v>3988.4919598870256</v>
      </c>
      <c r="O24" s="199">
        <f t="shared" si="4"/>
        <v>3918.5998272526122</v>
      </c>
      <c r="P24" s="199">
        <f t="shared" si="4"/>
        <v>3848.7076946181987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-31629.562780086046</v>
      </c>
      <c r="F26" s="1">
        <f t="shared" ref="F26:P26" si="5">(E24+F24)/2</f>
        <v>-31699.454912720459</v>
      </c>
      <c r="G26" s="1">
        <f t="shared" si="5"/>
        <v>-31769.347045354873</v>
      </c>
      <c r="H26" s="1">
        <f t="shared" si="5"/>
        <v>-31839.239177989286</v>
      </c>
      <c r="I26" s="1">
        <f t="shared" si="5"/>
        <v>-13768.1163106237</v>
      </c>
      <c r="J26" s="1">
        <f t="shared" si="5"/>
        <v>4303.006556741886</v>
      </c>
      <c r="K26" s="1">
        <f t="shared" si="5"/>
        <v>4233.1144241074726</v>
      </c>
      <c r="L26" s="1">
        <f t="shared" si="5"/>
        <v>4163.2222914730592</v>
      </c>
      <c r="M26" s="1">
        <f t="shared" si="5"/>
        <v>4093.3301588386457</v>
      </c>
      <c r="N26" s="1">
        <f t="shared" si="5"/>
        <v>4023.4380262042323</v>
      </c>
      <c r="O26" s="1">
        <f t="shared" si="5"/>
        <v>3953.5458935698189</v>
      </c>
      <c r="P26" s="1">
        <f t="shared" si="5"/>
        <v>3883.6537609354054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-145.62250703951614</v>
      </c>
      <c r="F29" s="1">
        <v>-145.94429041816497</v>
      </c>
      <c r="G29" s="1">
        <v>-146.26607379681383</v>
      </c>
      <c r="H29" s="1">
        <v>-146.58785717546266</v>
      </c>
      <c r="I29" s="1">
        <v>-63.388407494111512</v>
      </c>
      <c r="J29" s="1">
        <v>19.811042187239643</v>
      </c>
      <c r="K29" s="1">
        <v>20.272384977050685</v>
      </c>
      <c r="L29" s="1">
        <v>19.93767155386448</v>
      </c>
      <c r="M29" s="1">
        <v>19.602958130678275</v>
      </c>
      <c r="N29" s="1">
        <v>19.26824470749207</v>
      </c>
      <c r="O29" s="1">
        <v>18.933531284305861</v>
      </c>
      <c r="P29" s="1">
        <v>18.598817861119656</v>
      </c>
      <c r="Q29" s="1">
        <f>SUM(E29:P29)</f>
        <v>-511.3844852223184</v>
      </c>
    </row>
    <row r="30" spans="1:32" x14ac:dyDescent="0.25">
      <c r="A30" s="200"/>
      <c r="B30" s="23" t="s">
        <v>264</v>
      </c>
      <c r="C30" s="23" t="s">
        <v>279</v>
      </c>
      <c r="E30" s="1">
        <v>-36.753551950459986</v>
      </c>
      <c r="F30" s="1">
        <v>-36.834766608581177</v>
      </c>
      <c r="G30" s="1">
        <v>-36.91598126670236</v>
      </c>
      <c r="H30" s="1">
        <v>-36.997195924823551</v>
      </c>
      <c r="I30" s="1">
        <v>-15.99855115294474</v>
      </c>
      <c r="J30" s="1">
        <v>5.0000936189340717</v>
      </c>
      <c r="K30" s="1">
        <v>4.4405370308887386</v>
      </c>
      <c r="L30" s="1">
        <v>4.3672201837552391</v>
      </c>
      <c r="M30" s="1">
        <v>4.2939033366217396</v>
      </c>
      <c r="N30" s="1">
        <v>4.2205864894882401</v>
      </c>
      <c r="O30" s="1">
        <v>4.1472696423547397</v>
      </c>
      <c r="P30" s="1">
        <v>4.0739527952212402</v>
      </c>
      <c r="Q30" s="1">
        <f>SUM(E30:P30)</f>
        <v>-132.9564838062478</v>
      </c>
    </row>
    <row r="31" spans="1:32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69.892132634411993</v>
      </c>
      <c r="F33" s="1">
        <v>69.892132634411993</v>
      </c>
      <c r="G33" s="1">
        <v>69.892132634411993</v>
      </c>
      <c r="H33" s="1">
        <v>69.892132634411993</v>
      </c>
      <c r="I33" s="1">
        <v>69.892132634411993</v>
      </c>
      <c r="J33" s="1">
        <v>69.892132634411993</v>
      </c>
      <c r="K33" s="1">
        <v>69.892132634411993</v>
      </c>
      <c r="L33" s="1">
        <v>69.892132634411993</v>
      </c>
      <c r="M33" s="1">
        <v>69.892132634411993</v>
      </c>
      <c r="N33" s="1">
        <v>69.892132634411993</v>
      </c>
      <c r="O33" s="1">
        <v>69.892132634411993</v>
      </c>
      <c r="P33" s="1">
        <v>69.892132634411993</v>
      </c>
      <c r="Q33" s="1">
        <f>SUM(E33:P33)</f>
        <v>838.70559161294375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270</v>
      </c>
      <c r="C37" s="23" t="s">
        <v>285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-112.48392635556412</v>
      </c>
      <c r="F39" s="1">
        <f t="shared" ref="F39:P39" si="6">SUM(F29:F37)</f>
        <v>-112.88692439233417</v>
      </c>
      <c r="G39" s="1">
        <f t="shared" si="6"/>
        <v>-113.28992242910421</v>
      </c>
      <c r="H39" s="1">
        <f t="shared" si="6"/>
        <v>-113.69292046587422</v>
      </c>
      <c r="I39" s="1">
        <f t="shared" si="6"/>
        <v>-9.4948260126442534</v>
      </c>
      <c r="J39" s="1">
        <f t="shared" si="6"/>
        <v>94.703268440585703</v>
      </c>
      <c r="K39" s="1">
        <f t="shared" si="6"/>
        <v>94.605054642351419</v>
      </c>
      <c r="L39" s="1">
        <f t="shared" si="6"/>
        <v>94.197024372031706</v>
      </c>
      <c r="M39" s="1">
        <f t="shared" si="6"/>
        <v>93.788994101712007</v>
      </c>
      <c r="N39" s="1">
        <f t="shared" si="6"/>
        <v>93.380963831392307</v>
      </c>
      <c r="O39" s="1">
        <f t="shared" si="6"/>
        <v>92.972933561072594</v>
      </c>
      <c r="P39" s="1">
        <f t="shared" si="6"/>
        <v>92.564903290752881</v>
      </c>
      <c r="Q39" s="1">
        <f>SUM(E39:P39)</f>
        <v>194.36462258437763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-8.6526097196587788</v>
      </c>
      <c r="F40" s="1">
        <f t="shared" ref="F40:P40" si="7">F39*1/13</f>
        <v>-8.6836095686410903</v>
      </c>
      <c r="G40" s="1">
        <f t="shared" si="7"/>
        <v>-8.7146094176234001</v>
      </c>
      <c r="H40" s="1">
        <f t="shared" si="7"/>
        <v>-8.7456092666057099</v>
      </c>
      <c r="I40" s="1">
        <f t="shared" si="7"/>
        <v>-0.73037123174186569</v>
      </c>
      <c r="J40" s="1">
        <f t="shared" si="7"/>
        <v>7.284866803121977</v>
      </c>
      <c r="K40" s="1">
        <f t="shared" si="7"/>
        <v>7.2773118955654938</v>
      </c>
      <c r="L40" s="1">
        <f t="shared" si="7"/>
        <v>7.2459249516947466</v>
      </c>
      <c r="M40" s="1">
        <f t="shared" si="7"/>
        <v>7.2145380078240002</v>
      </c>
      <c r="N40" s="1">
        <f t="shared" si="7"/>
        <v>7.1831510639532548</v>
      </c>
      <c r="O40" s="1">
        <f t="shared" si="7"/>
        <v>7.1517641200825075</v>
      </c>
      <c r="P40" s="1">
        <f t="shared" si="7"/>
        <v>7.1203771762117603</v>
      </c>
      <c r="Q40" s="1">
        <f>SUM(E40:P40)</f>
        <v>14.951124814182901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-103.83</v>
      </c>
      <c r="F41" s="1">
        <f t="shared" si="8"/>
        <v>-104.2</v>
      </c>
      <c r="G41" s="1">
        <f t="shared" si="8"/>
        <v>-104.58</v>
      </c>
      <c r="H41" s="1">
        <f t="shared" si="8"/>
        <v>-104.95</v>
      </c>
      <c r="I41" s="1">
        <f t="shared" si="8"/>
        <v>-8.76</v>
      </c>
      <c r="J41" s="1">
        <f t="shared" si="8"/>
        <v>87.42</v>
      </c>
      <c r="K41" s="1">
        <f t="shared" si="8"/>
        <v>87.33</v>
      </c>
      <c r="L41" s="1">
        <f t="shared" si="8"/>
        <v>86.95</v>
      </c>
      <c r="M41" s="1">
        <f t="shared" si="8"/>
        <v>86.57</v>
      </c>
      <c r="N41" s="1">
        <f t="shared" si="8"/>
        <v>86.2</v>
      </c>
      <c r="O41" s="1">
        <f t="shared" si="8"/>
        <v>85.82</v>
      </c>
      <c r="P41" s="1">
        <f t="shared" si="8"/>
        <v>85.44</v>
      </c>
      <c r="Q41" s="1">
        <f>SUM(E41:P41)</f>
        <v>179.40999999999997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-8.66299285132237</v>
      </c>
      <c r="F46" s="1">
        <v>-8.6940299001234607</v>
      </c>
      <c r="G46" s="1">
        <v>-8.7250669489245496</v>
      </c>
      <c r="H46" s="1">
        <v>-8.7561039977256367</v>
      </c>
      <c r="I46" s="1">
        <v>-0.73124767721995598</v>
      </c>
      <c r="J46" s="1">
        <v>7.2936086432857241</v>
      </c>
      <c r="K46" s="1">
        <v>7.2860446698401731</v>
      </c>
      <c r="L46" s="1">
        <v>7.2546200616367811</v>
      </c>
      <c r="M46" s="1">
        <v>7.22319545343339</v>
      </c>
      <c r="N46" s="1">
        <v>7.1917708452299989</v>
      </c>
      <c r="O46" s="1">
        <v>7.1603462370266069</v>
      </c>
      <c r="P46" s="1">
        <v>7.1289216288232149</v>
      </c>
      <c r="Q46" s="1">
        <f>SUM(E46:P46)</f>
        <v>14.969066163959912</v>
      </c>
    </row>
    <row r="47" spans="1:17" x14ac:dyDescent="0.25">
      <c r="A47" s="13">
        <v>13</v>
      </c>
      <c r="B47" s="23" t="s">
        <v>290</v>
      </c>
      <c r="E47" s="199">
        <f>E41*E44</f>
        <v>-100.95834254099999</v>
      </c>
      <c r="F47" s="199">
        <f t="shared" ref="F47:P47" si="9">F41*F44</f>
        <v>-101.31810934000001</v>
      </c>
      <c r="G47" s="199">
        <f t="shared" si="9"/>
        <v>-101.687599566</v>
      </c>
      <c r="H47" s="199">
        <f t="shared" si="9"/>
        <v>-102.047366365</v>
      </c>
      <c r="I47" s="199">
        <f t="shared" si="9"/>
        <v>-8.5177220519999999</v>
      </c>
      <c r="J47" s="199">
        <f t="shared" si="9"/>
        <v>85.002198833999998</v>
      </c>
      <c r="K47" s="199">
        <f t="shared" si="9"/>
        <v>84.914687990999994</v>
      </c>
      <c r="L47" s="199">
        <f t="shared" si="9"/>
        <v>84.545197764999998</v>
      </c>
      <c r="M47" s="199">
        <f t="shared" si="9"/>
        <v>84.175707538999987</v>
      </c>
      <c r="N47" s="199">
        <f t="shared" si="9"/>
        <v>83.815940740000002</v>
      </c>
      <c r="O47" s="199">
        <f t="shared" si="9"/>
        <v>83.446450513999991</v>
      </c>
      <c r="P47" s="199">
        <f t="shared" si="9"/>
        <v>83.076960287999995</v>
      </c>
      <c r="Q47" s="199">
        <f>SUM(E47:P47)</f>
        <v>174.44800380699994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-109.62133539232237</v>
      </c>
      <c r="F48" s="204">
        <f t="shared" si="10"/>
        <v>-110.01213924012347</v>
      </c>
      <c r="G48" s="204">
        <f t="shared" si="10"/>
        <v>-110.41266651492455</v>
      </c>
      <c r="H48" s="204">
        <f t="shared" si="10"/>
        <v>-110.80347036272563</v>
      </c>
      <c r="I48" s="204">
        <f t="shared" si="10"/>
        <v>-9.2489697292199562</v>
      </c>
      <c r="J48" s="204">
        <f t="shared" si="10"/>
        <v>92.29580747728572</v>
      </c>
      <c r="K48" s="204">
        <f t="shared" si="10"/>
        <v>92.200732660840174</v>
      </c>
      <c r="L48" s="204">
        <f t="shared" si="10"/>
        <v>91.799817826636783</v>
      </c>
      <c r="M48" s="204">
        <f t="shared" si="10"/>
        <v>91.398902992433378</v>
      </c>
      <c r="N48" s="204">
        <f t="shared" si="10"/>
        <v>91.007711585229998</v>
      </c>
      <c r="O48" s="204">
        <f t="shared" si="10"/>
        <v>90.606796751026593</v>
      </c>
      <c r="P48" s="204">
        <f t="shared" si="10"/>
        <v>90.205881916823216</v>
      </c>
      <c r="Q48" s="204">
        <f t="shared" si="10"/>
        <v>189.41706997095986</v>
      </c>
    </row>
    <row r="49" spans="1:2" ht="13" thickTop="1" x14ac:dyDescent="0.25">
      <c r="A49" s="200"/>
      <c r="B49" s="20"/>
    </row>
    <row r="50" spans="1:2" x14ac:dyDescent="0.25">
      <c r="A50" s="210" t="s">
        <v>76</v>
      </c>
      <c r="B50" s="23"/>
    </row>
    <row r="51" spans="1:2" x14ac:dyDescent="0.25">
      <c r="A51" s="23" t="s">
        <v>168</v>
      </c>
      <c r="B51" s="228" t="s">
        <v>327</v>
      </c>
    </row>
    <row r="52" spans="1:2" x14ac:dyDescent="0.25">
      <c r="A52" s="23" t="s">
        <v>170</v>
      </c>
      <c r="B52" s="23" t="s">
        <v>293</v>
      </c>
    </row>
    <row r="53" spans="1:2" x14ac:dyDescent="0.25">
      <c r="A53" s="23" t="s">
        <v>255</v>
      </c>
      <c r="B53" s="23" t="s">
        <v>294</v>
      </c>
    </row>
    <row r="54" spans="1:2" x14ac:dyDescent="0.25">
      <c r="A54" s="23" t="s">
        <v>295</v>
      </c>
      <c r="B54" s="23" t="s">
        <v>296</v>
      </c>
    </row>
    <row r="55" spans="1:2" x14ac:dyDescent="0.25">
      <c r="A55" s="23" t="s">
        <v>297</v>
      </c>
      <c r="B55" s="11" t="s">
        <v>298</v>
      </c>
    </row>
    <row r="56" spans="1:2" x14ac:dyDescent="0.25">
      <c r="A56" s="23" t="s">
        <v>299</v>
      </c>
      <c r="B56" s="23" t="s">
        <v>300</v>
      </c>
    </row>
    <row r="57" spans="1:2" x14ac:dyDescent="0.25">
      <c r="A57" s="23" t="s">
        <v>301</v>
      </c>
      <c r="B57" s="23" t="s">
        <v>302</v>
      </c>
    </row>
    <row r="58" spans="1:2" x14ac:dyDescent="0.25">
      <c r="A58" s="23" t="s">
        <v>303</v>
      </c>
      <c r="B58" s="23" t="s">
        <v>304</v>
      </c>
    </row>
    <row r="59" spans="1:2" x14ac:dyDescent="0.25">
      <c r="A59" s="23" t="s">
        <v>305</v>
      </c>
      <c r="B59" s="23" t="s">
        <v>306</v>
      </c>
    </row>
    <row r="60" spans="1:2" x14ac:dyDescent="0.25">
      <c r="A60" s="11" t="s">
        <v>307</v>
      </c>
      <c r="B60" s="23" t="s">
        <v>308</v>
      </c>
    </row>
    <row r="61" spans="1:2" x14ac:dyDescent="0.25">
      <c r="A61" s="11" t="s">
        <v>309</v>
      </c>
      <c r="B61" s="23" t="s">
        <v>310</v>
      </c>
    </row>
    <row r="62" spans="1:2" x14ac:dyDescent="0.25">
      <c r="B62" s="23"/>
    </row>
    <row r="63" spans="1:2" x14ac:dyDescent="0.25">
      <c r="B63" s="23"/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B82B-F146-446F-9DFA-27AA6A9CF95A}">
  <sheetPr transitionEvaluation="1" transitionEntry="1"/>
  <dimension ref="A1:XFD62"/>
  <sheetViews>
    <sheetView showGridLines="0" defaultGridColor="0" view="pageBreakPreview" topLeftCell="D1" colorId="8" zoomScale="90" zoomScaleNormal="100" zoomScaleSheetLayoutView="90" workbookViewId="0">
      <selection activeCell="Q28" sqref="Q28"/>
    </sheetView>
  </sheetViews>
  <sheetFormatPr defaultColWidth="11.58203125" defaultRowHeight="12.5" x14ac:dyDescent="0.25"/>
  <cols>
    <col min="1" max="1" width="4.25" style="1" customWidth="1"/>
    <col min="2" max="2" width="3.58203125" style="1" customWidth="1"/>
    <col min="3" max="3" width="39.25" style="1" customWidth="1"/>
    <col min="4" max="4" width="12.83203125" style="1" customWidth="1"/>
    <col min="5" max="10" width="11.58203125" style="1" customWidth="1"/>
    <col min="11" max="11" width="11.08203125" style="1" customWidth="1"/>
    <col min="12" max="12" width="11" style="1" customWidth="1"/>
    <col min="13" max="13" width="11.33203125" style="1" customWidth="1"/>
    <col min="14" max="14" width="12.33203125" style="1" customWidth="1"/>
    <col min="15" max="15" width="11.33203125" style="1" customWidth="1"/>
    <col min="16" max="16" width="11.58203125" style="1" bestFit="1" customWidth="1"/>
    <col min="17" max="17" width="12.08203125" style="1" customWidth="1"/>
    <col min="18" max="18" width="4.08203125" style="1" bestFit="1" customWidth="1"/>
    <col min="19" max="19" width="11.58203125" style="1" bestFit="1" customWidth="1"/>
    <col min="20" max="20" width="11" style="1" bestFit="1" customWidth="1"/>
    <col min="21" max="32" width="9.3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11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3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50747.54</v>
      </c>
      <c r="O17" s="1">
        <v>0</v>
      </c>
      <c r="P17" s="1">
        <v>0</v>
      </c>
      <c r="Q17" s="1">
        <f t="shared" si="0"/>
        <v>50747.54</v>
      </c>
    </row>
    <row r="18" spans="1:16384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si="0"/>
        <v>0</v>
      </c>
    </row>
    <row r="19" spans="1:16384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314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-5073.2607666666736</v>
      </c>
      <c r="O20" s="1">
        <v>0</v>
      </c>
      <c r="P20" s="1">
        <v>0</v>
      </c>
      <c r="Q20" s="1">
        <f t="shared" si="0"/>
        <v>-5073.2607666666736</v>
      </c>
    </row>
    <row r="21" spans="1:16384" x14ac:dyDescent="0.25">
      <c r="A21" s="13">
        <v>2</v>
      </c>
      <c r="B21" s="23" t="s">
        <v>272</v>
      </c>
      <c r="C21" s="13"/>
      <c r="D21" s="1">
        <v>101495.06</v>
      </c>
      <c r="E21" s="1">
        <f t="shared" ref="E21:P21" si="1">D21+E16-E17</f>
        <v>101495.06</v>
      </c>
      <c r="F21" s="1">
        <f t="shared" si="1"/>
        <v>101495.06</v>
      </c>
      <c r="G21" s="1">
        <f t="shared" si="1"/>
        <v>101495.06</v>
      </c>
      <c r="H21" s="1">
        <f t="shared" si="1"/>
        <v>101495.06</v>
      </c>
      <c r="I21" s="1">
        <f t="shared" si="1"/>
        <v>101495.06</v>
      </c>
      <c r="J21" s="1">
        <f t="shared" si="1"/>
        <v>101495.06</v>
      </c>
      <c r="K21" s="1">
        <f t="shared" si="1"/>
        <v>101495.06</v>
      </c>
      <c r="L21" s="1">
        <f t="shared" si="1"/>
        <v>101495.06</v>
      </c>
      <c r="M21" s="1">
        <f t="shared" si="1"/>
        <v>101495.06</v>
      </c>
      <c r="N21" s="1">
        <f t="shared" si="1"/>
        <v>50747.519999999997</v>
      </c>
      <c r="O21" s="1">
        <f t="shared" si="1"/>
        <v>50747.519999999997</v>
      </c>
      <c r="P21" s="1">
        <f t="shared" si="1"/>
        <v>50747.519999999997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16384" x14ac:dyDescent="0.25">
      <c r="A22" s="13">
        <v>3</v>
      </c>
      <c r="B22" s="23" t="s">
        <v>273</v>
      </c>
      <c r="C22" s="13"/>
      <c r="D22" s="21">
        <v>-88134.480706566828</v>
      </c>
      <c r="E22" s="1">
        <f t="shared" ref="E22:P22" si="2">D22-E34-E35-E36+E17+E18-E19</f>
        <v>-88472.797569850329</v>
      </c>
      <c r="F22" s="1">
        <f t="shared" si="2"/>
        <v>-88811.114433133829</v>
      </c>
      <c r="G22" s="1">
        <f t="shared" si="2"/>
        <v>-89149.43129641733</v>
      </c>
      <c r="H22" s="1">
        <f t="shared" si="2"/>
        <v>-89487.74815970083</v>
      </c>
      <c r="I22" s="1">
        <f t="shared" si="2"/>
        <v>-89826.06502298433</v>
      </c>
      <c r="J22" s="1">
        <f t="shared" si="2"/>
        <v>-90164.381886267831</v>
      </c>
      <c r="K22" s="1">
        <f t="shared" si="2"/>
        <v>-90502.698749551331</v>
      </c>
      <c r="L22" s="1">
        <f t="shared" si="2"/>
        <v>-90841.015612834832</v>
      </c>
      <c r="M22" s="1">
        <f t="shared" si="2"/>
        <v>-91179.332476118332</v>
      </c>
      <c r="N22" s="1">
        <f>M22-N34-N35-N36+N17+N18-N19+N20</f>
        <v>-45758.790873580969</v>
      </c>
      <c r="O22" s="1">
        <f t="shared" si="2"/>
        <v>-45927.949271889382</v>
      </c>
      <c r="P22" s="1">
        <f t="shared" si="2"/>
        <v>-46097.107670197795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5073.2607666666736</v>
      </c>
      <c r="O23" s="1">
        <f>N23</f>
        <v>5073.2607666666736</v>
      </c>
      <c r="P23" s="1">
        <f>O23</f>
        <v>5073.2607666666736</v>
      </c>
      <c r="Q23" s="213"/>
      <c r="R23" s="213"/>
      <c r="S23" s="213"/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99">
        <v>0</v>
      </c>
      <c r="E24" s="199">
        <f t="shared" ref="E24:P24" si="3">D24+E15-E16</f>
        <v>0</v>
      </c>
      <c r="F24" s="199">
        <f t="shared" si="3"/>
        <v>0</v>
      </c>
      <c r="G24" s="199">
        <f t="shared" si="3"/>
        <v>0</v>
      </c>
      <c r="H24" s="199">
        <f t="shared" si="3"/>
        <v>0</v>
      </c>
      <c r="I24" s="199">
        <f t="shared" si="3"/>
        <v>0</v>
      </c>
      <c r="J24" s="199">
        <f t="shared" si="3"/>
        <v>0</v>
      </c>
      <c r="K24" s="199">
        <f t="shared" si="3"/>
        <v>0</v>
      </c>
      <c r="L24" s="199">
        <f t="shared" si="3"/>
        <v>0</v>
      </c>
      <c r="M24" s="199">
        <f t="shared" si="3"/>
        <v>0</v>
      </c>
      <c r="N24" s="199">
        <f t="shared" si="3"/>
        <v>0</v>
      </c>
      <c r="O24" s="199">
        <f t="shared" si="3"/>
        <v>0</v>
      </c>
      <c r="P24" s="199">
        <f t="shared" si="3"/>
        <v>0</v>
      </c>
    </row>
    <row r="25" spans="1:16384" x14ac:dyDescent="0.25">
      <c r="A25" s="13">
        <v>5</v>
      </c>
      <c r="B25" s="23" t="s">
        <v>275</v>
      </c>
      <c r="C25" s="13"/>
      <c r="D25" s="199">
        <f t="shared" ref="D25:P25" si="4">SUM(D21:D24)</f>
        <v>13360.579293433169</v>
      </c>
      <c r="E25" s="199">
        <f t="shared" si="4"/>
        <v>13022.262430149669</v>
      </c>
      <c r="F25" s="199">
        <f t="shared" si="4"/>
        <v>12683.945566866169</v>
      </c>
      <c r="G25" s="199">
        <f t="shared" si="4"/>
        <v>12345.628703582668</v>
      </c>
      <c r="H25" s="199">
        <f t="shared" si="4"/>
        <v>12007.311840299168</v>
      </c>
      <c r="I25" s="199">
        <f t="shared" si="4"/>
        <v>11668.994977015667</v>
      </c>
      <c r="J25" s="199">
        <f t="shared" si="4"/>
        <v>11330.678113732167</v>
      </c>
      <c r="K25" s="199">
        <f t="shared" si="4"/>
        <v>10992.361250448666</v>
      </c>
      <c r="L25" s="199">
        <f t="shared" si="4"/>
        <v>10654.044387165166</v>
      </c>
      <c r="M25" s="199">
        <f t="shared" si="4"/>
        <v>10315.727523881666</v>
      </c>
      <c r="N25" s="199">
        <f>SUM(N21:N24)</f>
        <v>10061.989893085702</v>
      </c>
      <c r="O25" s="199">
        <f>SUM(O21:O24)</f>
        <v>9892.8314947772888</v>
      </c>
      <c r="P25" s="199">
        <f t="shared" si="4"/>
        <v>9723.6730964688759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13191.420861791419</v>
      </c>
      <c r="F27" s="1">
        <f t="shared" ref="F27:P27" si="5">(E25+F25)/2</f>
        <v>12853.103998507919</v>
      </c>
      <c r="G27" s="1">
        <f t="shared" si="5"/>
        <v>12514.787135224418</v>
      </c>
      <c r="H27" s="1">
        <f t="shared" si="5"/>
        <v>12176.470271940918</v>
      </c>
      <c r="I27" s="1">
        <f t="shared" si="5"/>
        <v>11838.153408657417</v>
      </c>
      <c r="J27" s="1">
        <f t="shared" si="5"/>
        <v>11499.836545373917</v>
      </c>
      <c r="K27" s="1">
        <f t="shared" si="5"/>
        <v>11161.519682090417</v>
      </c>
      <c r="L27" s="1">
        <f t="shared" si="5"/>
        <v>10823.202818806916</v>
      </c>
      <c r="M27" s="1">
        <f t="shared" si="5"/>
        <v>10484.885955523416</v>
      </c>
      <c r="N27" s="1">
        <f t="shared" si="5"/>
        <v>10188.858708483684</v>
      </c>
      <c r="O27" s="1">
        <f t="shared" si="5"/>
        <v>9977.4106939314952</v>
      </c>
      <c r="P27" s="1">
        <f t="shared" si="5"/>
        <v>9808.2522956230823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60.733301647687689</v>
      </c>
      <c r="F30" s="1">
        <v>59.175690809130451</v>
      </c>
      <c r="G30" s="1">
        <v>57.61807997057322</v>
      </c>
      <c r="H30" s="1">
        <v>56.060469132015982</v>
      </c>
      <c r="I30" s="1">
        <v>54.502858293458743</v>
      </c>
      <c r="J30" s="1">
        <v>52.945247454901512</v>
      </c>
      <c r="K30" s="1">
        <v>53.452517757531005</v>
      </c>
      <c r="L30" s="1">
        <v>51.832318299266319</v>
      </c>
      <c r="M30" s="1">
        <v>50.212118841001633</v>
      </c>
      <c r="N30" s="1">
        <v>48.794444354928359</v>
      </c>
      <c r="O30" s="1">
        <v>47.781819813237931</v>
      </c>
      <c r="P30" s="1">
        <v>46.971720243738943</v>
      </c>
      <c r="Q30" s="1">
        <f>SUM(E30:P30)</f>
        <v>640.08058661747168</v>
      </c>
    </row>
    <row r="31" spans="1:16384" x14ac:dyDescent="0.25">
      <c r="A31" s="200"/>
      <c r="B31" s="23" t="s">
        <v>264</v>
      </c>
      <c r="C31" s="23" t="s">
        <v>279</v>
      </c>
      <c r="E31" s="1">
        <v>15.328431041401629</v>
      </c>
      <c r="F31" s="1">
        <v>14.935306846266203</v>
      </c>
      <c r="G31" s="1">
        <v>14.542182651130775</v>
      </c>
      <c r="H31" s="1">
        <v>14.149058455995347</v>
      </c>
      <c r="I31" s="1">
        <v>13.75593426085992</v>
      </c>
      <c r="J31" s="1">
        <v>13.362810065724492</v>
      </c>
      <c r="K31" s="1">
        <v>11.708434146512847</v>
      </c>
      <c r="L31" s="1">
        <v>11.353539756928456</v>
      </c>
      <c r="M31" s="1">
        <v>10.998645367344063</v>
      </c>
      <c r="N31" s="1">
        <v>10.688112785199385</v>
      </c>
      <c r="O31" s="1">
        <v>10.466303817934138</v>
      </c>
      <c r="P31" s="1">
        <v>10.288856658108614</v>
      </c>
      <c r="Q31" s="1">
        <f>SUM(E31:P31)</f>
        <v>151.57761585340586</v>
      </c>
    </row>
    <row r="32" spans="1:16384" x14ac:dyDescent="0.25">
      <c r="A32" s="200"/>
      <c r="B32" s="2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E34" s="1">
        <v>338.31686328349792</v>
      </c>
      <c r="F34" s="1">
        <v>338.31686328349792</v>
      </c>
      <c r="G34" s="1">
        <v>338.31686328349792</v>
      </c>
      <c r="H34" s="1">
        <v>338.31686328349792</v>
      </c>
      <c r="I34" s="1">
        <v>338.31686328349792</v>
      </c>
      <c r="J34" s="1">
        <v>338.31686328349792</v>
      </c>
      <c r="K34" s="1">
        <v>338.31686328349792</v>
      </c>
      <c r="L34" s="1">
        <v>338.31686328349792</v>
      </c>
      <c r="M34" s="1">
        <v>338.31686328349792</v>
      </c>
      <c r="N34" s="1">
        <v>253.73763079595699</v>
      </c>
      <c r="O34" s="1">
        <v>169.15839830841597</v>
      </c>
      <c r="P34" s="1">
        <v>169.15839830841597</v>
      </c>
      <c r="Q34" s="1">
        <f>SUM(E34:P34)</f>
        <v>3636.9061969642703</v>
      </c>
    </row>
    <row r="35" spans="1:17" x14ac:dyDescent="0.25">
      <c r="A35" s="200"/>
      <c r="B35" s="23" t="s">
        <v>264</v>
      </c>
      <c r="C35" s="23" t="s">
        <v>282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268</v>
      </c>
      <c r="C37" s="23" t="s">
        <v>284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SUM(E37:P37)</f>
        <v>0</v>
      </c>
    </row>
    <row r="38" spans="1:17" x14ac:dyDescent="0.25">
      <c r="A38" s="200"/>
      <c r="B38" s="23" t="s">
        <v>270</v>
      </c>
      <c r="C38" s="23" t="s">
        <v>285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199">
        <f>SUM(E38:P38)</f>
        <v>0</v>
      </c>
    </row>
    <row r="39" spans="1:17" x14ac:dyDescent="0.25">
      <c r="A39" s="200"/>
      <c r="B39" s="20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414.37859597258728</v>
      </c>
      <c r="F40" s="1">
        <f t="shared" ref="F40:P40" si="6">SUM(F30:F38)</f>
        <v>412.42786093889458</v>
      </c>
      <c r="G40" s="1">
        <f t="shared" si="6"/>
        <v>410.47712590520189</v>
      </c>
      <c r="H40" s="1">
        <f t="shared" si="6"/>
        <v>408.52639087150925</v>
      </c>
      <c r="I40" s="1">
        <f t="shared" si="6"/>
        <v>406.57565583781661</v>
      </c>
      <c r="J40" s="1">
        <f t="shared" si="6"/>
        <v>404.62492080412392</v>
      </c>
      <c r="K40" s="1">
        <f t="shared" si="6"/>
        <v>403.47781518754175</v>
      </c>
      <c r="L40" s="1">
        <f t="shared" si="6"/>
        <v>401.5027213396927</v>
      </c>
      <c r="M40" s="1">
        <f t="shared" si="6"/>
        <v>399.52762749184365</v>
      </c>
      <c r="N40" s="1">
        <f t="shared" si="6"/>
        <v>313.22018793608476</v>
      </c>
      <c r="O40" s="1">
        <f t="shared" si="6"/>
        <v>227.40652193958803</v>
      </c>
      <c r="P40" s="1">
        <f t="shared" si="6"/>
        <v>226.41897521026351</v>
      </c>
      <c r="Q40" s="1">
        <f>SUM(E40:P40)</f>
        <v>4428.5643994351485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31.875276613275943</v>
      </c>
      <c r="F41" s="1">
        <f t="shared" ref="F41:P41" si="7">F40*1/13</f>
        <v>31.725220072222662</v>
      </c>
      <c r="G41" s="1">
        <f t="shared" si="7"/>
        <v>31.575163531169377</v>
      </c>
      <c r="H41" s="1">
        <f t="shared" si="7"/>
        <v>31.425106990116095</v>
      </c>
      <c r="I41" s="1">
        <f t="shared" si="7"/>
        <v>31.275050449062817</v>
      </c>
      <c r="J41" s="1">
        <f t="shared" si="7"/>
        <v>31.124993908009532</v>
      </c>
      <c r="K41" s="1">
        <f t="shared" si="7"/>
        <v>31.036755014426287</v>
      </c>
      <c r="L41" s="1">
        <f t="shared" si="7"/>
        <v>30.884824718437901</v>
      </c>
      <c r="M41" s="1">
        <f t="shared" si="7"/>
        <v>30.732894422449512</v>
      </c>
      <c r="N41" s="1">
        <f t="shared" si="7"/>
        <v>24.093860610468059</v>
      </c>
      <c r="O41" s="1">
        <f t="shared" si="7"/>
        <v>17.49280937996831</v>
      </c>
      <c r="P41" s="1">
        <f t="shared" si="7"/>
        <v>17.416844246943349</v>
      </c>
      <c r="Q41" s="1">
        <f>SUM(E41:P41)</f>
        <v>340.6587999565499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ROUND(E40-E41,2)</f>
        <v>382.5</v>
      </c>
      <c r="F42" s="1">
        <f t="shared" si="8"/>
        <v>380.7</v>
      </c>
      <c r="G42" s="1">
        <f t="shared" si="8"/>
        <v>378.9</v>
      </c>
      <c r="H42" s="1">
        <f t="shared" si="8"/>
        <v>377.1</v>
      </c>
      <c r="I42" s="1">
        <f t="shared" si="8"/>
        <v>375.3</v>
      </c>
      <c r="J42" s="1">
        <f t="shared" si="8"/>
        <v>373.5</v>
      </c>
      <c r="K42" s="1">
        <f t="shared" si="8"/>
        <v>372.44</v>
      </c>
      <c r="L42" s="1">
        <f t="shared" si="8"/>
        <v>370.62</v>
      </c>
      <c r="M42" s="1">
        <f t="shared" si="8"/>
        <v>368.79</v>
      </c>
      <c r="N42" s="1">
        <f t="shared" si="8"/>
        <v>289.13</v>
      </c>
      <c r="O42" s="1">
        <f t="shared" si="8"/>
        <v>209.91</v>
      </c>
      <c r="P42" s="1">
        <f t="shared" si="8"/>
        <v>209</v>
      </c>
      <c r="Q42" s="1">
        <f>SUM(E42:P42)</f>
        <v>4087.89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31.913526945211878</v>
      </c>
      <c r="F47" s="1">
        <v>31.763290336309332</v>
      </c>
      <c r="G47" s="1">
        <v>31.613053727406783</v>
      </c>
      <c r="H47" s="1">
        <v>31.462817118504237</v>
      </c>
      <c r="I47" s="1">
        <v>31.312580509601695</v>
      </c>
      <c r="J47" s="1">
        <v>31.162343900699145</v>
      </c>
      <c r="K47" s="1">
        <v>31.073999120443602</v>
      </c>
      <c r="L47" s="1">
        <v>30.92188650810003</v>
      </c>
      <c r="M47" s="1">
        <v>30.769773895756455</v>
      </c>
      <c r="N47" s="1">
        <v>24.122773243200623</v>
      </c>
      <c r="O47" s="1">
        <v>17.513800751224274</v>
      </c>
      <c r="P47" s="1">
        <v>17.437744460039681</v>
      </c>
      <c r="Q47" s="1">
        <f>SUM(E47:P47)</f>
        <v>341.06759051649772</v>
      </c>
    </row>
    <row r="48" spans="1:17" x14ac:dyDescent="0.25">
      <c r="A48" s="13">
        <v>13</v>
      </c>
      <c r="B48" s="23" t="s">
        <v>290</v>
      </c>
      <c r="E48" s="199">
        <f>E42*E45</f>
        <v>371.92108274999998</v>
      </c>
      <c r="F48" s="199">
        <f t="shared" ref="F48:P48" si="9">F42*F45</f>
        <v>370.17086589000002</v>
      </c>
      <c r="G48" s="199">
        <f t="shared" si="9"/>
        <v>368.42064902999999</v>
      </c>
      <c r="H48" s="199">
        <f t="shared" si="9"/>
        <v>366.67043217000003</v>
      </c>
      <c r="I48" s="199">
        <f t="shared" si="9"/>
        <v>364.92021531</v>
      </c>
      <c r="J48" s="199">
        <f t="shared" si="9"/>
        <v>363.16999844999998</v>
      </c>
      <c r="K48" s="199">
        <f t="shared" si="9"/>
        <v>362.13931518800001</v>
      </c>
      <c r="L48" s="199">
        <f t="shared" si="9"/>
        <v>360.36965147400002</v>
      </c>
      <c r="M48" s="199">
        <f t="shared" si="9"/>
        <v>358.59026433299999</v>
      </c>
      <c r="N48" s="199">
        <f t="shared" si="9"/>
        <v>281.13344485099998</v>
      </c>
      <c r="O48" s="199">
        <f t="shared" si="9"/>
        <v>204.10445615699999</v>
      </c>
      <c r="P48" s="199">
        <f t="shared" si="9"/>
        <v>203.21962429999999</v>
      </c>
      <c r="Q48" s="199">
        <f>SUM(E48:P48)</f>
        <v>3974.8299999030005</v>
      </c>
    </row>
    <row r="49" spans="1:17" ht="13" thickBot="1" x14ac:dyDescent="0.3">
      <c r="A49" s="13">
        <v>14</v>
      </c>
      <c r="B49" s="23" t="s">
        <v>291</v>
      </c>
      <c r="E49" s="204">
        <f t="shared" ref="E49:Q49" si="10">E47+E48</f>
        <v>403.83460969521184</v>
      </c>
      <c r="F49" s="204">
        <f t="shared" si="10"/>
        <v>401.93415622630937</v>
      </c>
      <c r="G49" s="204">
        <f t="shared" si="10"/>
        <v>400.03370275740679</v>
      </c>
      <c r="H49" s="204">
        <f t="shared" si="10"/>
        <v>398.13324928850426</v>
      </c>
      <c r="I49" s="204">
        <f t="shared" si="10"/>
        <v>396.23279581960168</v>
      </c>
      <c r="J49" s="204">
        <f t="shared" si="10"/>
        <v>394.33234235069915</v>
      </c>
      <c r="K49" s="204">
        <f t="shared" si="10"/>
        <v>393.21331430844361</v>
      </c>
      <c r="L49" s="204">
        <f t="shared" si="10"/>
        <v>391.29153798210007</v>
      </c>
      <c r="M49" s="204">
        <f t="shared" si="10"/>
        <v>389.36003822875642</v>
      </c>
      <c r="N49" s="204">
        <f t="shared" si="10"/>
        <v>305.25621809420062</v>
      </c>
      <c r="O49" s="204">
        <f t="shared" si="10"/>
        <v>221.61825690822425</v>
      </c>
      <c r="P49" s="204">
        <f t="shared" si="10"/>
        <v>220.65736876003967</v>
      </c>
      <c r="Q49" s="204">
        <f t="shared" si="10"/>
        <v>4315.8975904194986</v>
      </c>
    </row>
    <row r="50" spans="1:17" ht="13" thickTop="1" x14ac:dyDescent="0.25">
      <c r="A50" s="200"/>
      <c r="B50" s="20"/>
    </row>
    <row r="51" spans="1:17" x14ac:dyDescent="0.25">
      <c r="A51" s="210" t="s">
        <v>76</v>
      </c>
      <c r="B51" s="23"/>
    </row>
    <row r="52" spans="1:17" x14ac:dyDescent="0.25">
      <c r="A52" s="23" t="s">
        <v>168</v>
      </c>
      <c r="B52" s="23" t="s">
        <v>292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11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x14ac:dyDescent="0.25">
      <c r="A61" s="11" t="s">
        <v>307</v>
      </c>
      <c r="B61" s="23" t="s">
        <v>308</v>
      </c>
    </row>
    <row r="62" spans="1:17" x14ac:dyDescent="0.25">
      <c r="A62" s="11" t="s">
        <v>309</v>
      </c>
      <c r="B62" s="23" t="s">
        <v>310</v>
      </c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5F26-2D69-4894-AE3C-F03C742B1B8F}">
  <sheetPr transitionEvaluation="1" transitionEntry="1"/>
  <dimension ref="A1:AF79"/>
  <sheetViews>
    <sheetView showGridLines="0" defaultGridColor="0" view="pageBreakPreview" topLeftCell="D1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1" width="4" style="1" customWidth="1"/>
    <col min="2" max="2" width="3.58203125" style="1" customWidth="1"/>
    <col min="3" max="3" width="38.75" style="1" customWidth="1"/>
    <col min="4" max="4" width="14.83203125" style="1" bestFit="1" customWidth="1"/>
    <col min="5" max="6" width="11.08203125" style="1" customWidth="1"/>
    <col min="7" max="7" width="12.08203125" style="1" customWidth="1"/>
    <col min="8" max="8" width="11.75" style="1" customWidth="1"/>
    <col min="9" max="9" width="11" style="1" customWidth="1"/>
    <col min="10" max="10" width="11.08203125" style="1" customWidth="1"/>
    <col min="11" max="11" width="11" style="1" customWidth="1"/>
    <col min="12" max="12" width="10.83203125" style="1" customWidth="1"/>
    <col min="13" max="13" width="11" style="1" customWidth="1"/>
    <col min="14" max="14" width="11.08203125" style="1" customWidth="1"/>
    <col min="15" max="15" width="11.33203125" style="1" customWidth="1"/>
    <col min="16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9.33203125" style="1" bestFit="1" customWidth="1"/>
    <col min="21" max="32" width="8.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12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329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59542.78</v>
      </c>
      <c r="E20" s="1">
        <f t="shared" ref="E20:P20" si="0">D20+E16-E17</f>
        <v>59542.78</v>
      </c>
      <c r="F20" s="1">
        <f t="shared" si="0"/>
        <v>59542.78</v>
      </c>
      <c r="G20" s="1">
        <f t="shared" si="0"/>
        <v>59542.78</v>
      </c>
      <c r="H20" s="1">
        <f t="shared" si="0"/>
        <v>59542.78</v>
      </c>
      <c r="I20" s="1">
        <f t="shared" si="0"/>
        <v>59542.78</v>
      </c>
      <c r="J20" s="1">
        <f t="shared" si="0"/>
        <v>59542.78</v>
      </c>
      <c r="K20" s="1">
        <f t="shared" si="0"/>
        <v>59542.78</v>
      </c>
      <c r="L20" s="1">
        <f t="shared" si="0"/>
        <v>59542.78</v>
      </c>
      <c r="M20" s="1">
        <f t="shared" si="0"/>
        <v>59542.78</v>
      </c>
      <c r="N20" s="1">
        <f t="shared" si="0"/>
        <v>59542.78</v>
      </c>
      <c r="O20" s="1">
        <f t="shared" si="0"/>
        <v>59542.78</v>
      </c>
      <c r="P20" s="1">
        <f t="shared" si="0"/>
        <v>59542.78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-52023.103602697185</v>
      </c>
      <c r="E21" s="1">
        <f t="shared" ref="E21:M21" si="1">D21-E32-E33-E34+E17+E18-E19</f>
        <v>-52221.579534045763</v>
      </c>
      <c r="F21" s="1">
        <f t="shared" si="1"/>
        <v>-52420.05546539434</v>
      </c>
      <c r="G21" s="1">
        <f t="shared" si="1"/>
        <v>-52618.531396742917</v>
      </c>
      <c r="H21" s="1">
        <f t="shared" si="1"/>
        <v>-52817.007328091495</v>
      </c>
      <c r="I21" s="1">
        <f t="shared" si="1"/>
        <v>-53015.483259440072</v>
      </c>
      <c r="J21" s="1">
        <f t="shared" si="1"/>
        <v>-53213.95919078865</v>
      </c>
      <c r="K21" s="1">
        <f t="shared" si="1"/>
        <v>-53412.435122137227</v>
      </c>
      <c r="L21" s="1">
        <f t="shared" si="1"/>
        <v>-53610.911053485805</v>
      </c>
      <c r="M21" s="1">
        <f t="shared" si="1"/>
        <v>-53809.386984834382</v>
      </c>
      <c r="N21" s="1">
        <f>M21-N32-N33-N34+N17+N18-N19</f>
        <v>-54007.862916182959</v>
      </c>
      <c r="O21" s="1">
        <f>N21-O32-O33-O34+O17+O18-O19</f>
        <v>-54206.338847531537</v>
      </c>
      <c r="P21" s="1">
        <f>O21-P32-P33-P34+P17+P18-P19</f>
        <v>-54404.814778880114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7519.6763973028137</v>
      </c>
      <c r="E23" s="199">
        <f t="shared" si="3"/>
        <v>7321.2004659542363</v>
      </c>
      <c r="F23" s="199">
        <f t="shared" si="3"/>
        <v>7122.7245346056588</v>
      </c>
      <c r="G23" s="199">
        <f t="shared" si="3"/>
        <v>6924.2486032570814</v>
      </c>
      <c r="H23" s="199">
        <f t="shared" si="3"/>
        <v>6725.772671908504</v>
      </c>
      <c r="I23" s="199">
        <f t="shared" si="3"/>
        <v>6527.2967405599265</v>
      </c>
      <c r="J23" s="199">
        <f t="shared" si="3"/>
        <v>6328.8208092113491</v>
      </c>
      <c r="K23" s="199">
        <f t="shared" si="3"/>
        <v>6130.3448778627717</v>
      </c>
      <c r="L23" s="199">
        <f t="shared" si="3"/>
        <v>5931.8689465141942</v>
      </c>
      <c r="M23" s="199">
        <f t="shared" si="3"/>
        <v>5733.3930151656168</v>
      </c>
      <c r="N23" s="199">
        <f t="shared" si="3"/>
        <v>5534.9170838170394</v>
      </c>
      <c r="O23" s="199">
        <f t="shared" si="3"/>
        <v>5336.441152468462</v>
      </c>
      <c r="P23" s="199">
        <f t="shared" si="3"/>
        <v>5137.9652211198845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7420.438431628525</v>
      </c>
      <c r="F25" s="1">
        <f t="shared" ref="F25:P25" si="4">(E23+F23)/2</f>
        <v>7221.9625002799476</v>
      </c>
      <c r="G25" s="1">
        <f t="shared" si="4"/>
        <v>7023.4865689313701</v>
      </c>
      <c r="H25" s="1">
        <f t="shared" si="4"/>
        <v>6825.0106375827927</v>
      </c>
      <c r="I25" s="1">
        <f t="shared" si="4"/>
        <v>6626.5347062342153</v>
      </c>
      <c r="J25" s="1">
        <f t="shared" si="4"/>
        <v>6428.0587748856378</v>
      </c>
      <c r="K25" s="1">
        <f t="shared" si="4"/>
        <v>6229.5828435370604</v>
      </c>
      <c r="L25" s="1">
        <f t="shared" si="4"/>
        <v>6031.106912188483</v>
      </c>
      <c r="M25" s="1">
        <f t="shared" si="4"/>
        <v>5832.6309808399055</v>
      </c>
      <c r="N25" s="1">
        <f t="shared" si="4"/>
        <v>5634.1550494913281</v>
      </c>
      <c r="O25" s="1">
        <f t="shared" si="4"/>
        <v>5435.6791181427507</v>
      </c>
      <c r="P25" s="1">
        <f t="shared" si="4"/>
        <v>5237.2031867941732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34.163698539217727</v>
      </c>
      <c r="F28" s="1">
        <v>33.249915351288877</v>
      </c>
      <c r="G28" s="1">
        <v>32.336132163360027</v>
      </c>
      <c r="H28" s="1">
        <v>31.422348975431174</v>
      </c>
      <c r="I28" s="1">
        <v>30.508565787502324</v>
      </c>
      <c r="J28" s="1">
        <v>29.594782599573474</v>
      </c>
      <c r="K28" s="1">
        <v>29.833472237698981</v>
      </c>
      <c r="L28" s="1">
        <v>28.882971002470644</v>
      </c>
      <c r="M28" s="1">
        <v>27.932469767242306</v>
      </c>
      <c r="N28" s="1">
        <v>26.981968532013969</v>
      </c>
      <c r="O28" s="1">
        <v>26.031467296785632</v>
      </c>
      <c r="P28" s="1">
        <v>25.080966061557294</v>
      </c>
      <c r="Q28" s="1">
        <f>SUM(E28:P28)</f>
        <v>356.01875831414247</v>
      </c>
    </row>
    <row r="29" spans="1:32" x14ac:dyDescent="0.25">
      <c r="A29" s="200"/>
      <c r="B29" s="23" t="s">
        <v>264</v>
      </c>
      <c r="C29" s="23" t="s">
        <v>279</v>
      </c>
      <c r="E29" s="1">
        <v>8.6225494575523456</v>
      </c>
      <c r="F29" s="1">
        <v>8.3919204253252992</v>
      </c>
      <c r="G29" s="1">
        <v>8.1612913930982529</v>
      </c>
      <c r="H29" s="1">
        <v>7.9306623608712057</v>
      </c>
      <c r="I29" s="1">
        <v>7.7000333286441585</v>
      </c>
      <c r="J29" s="1">
        <v>7.4694042964171112</v>
      </c>
      <c r="K29" s="1">
        <v>6.5348324028703768</v>
      </c>
      <c r="L29" s="1">
        <v>6.3266311508857189</v>
      </c>
      <c r="M29" s="1">
        <v>6.118429898901061</v>
      </c>
      <c r="N29" s="1">
        <v>5.9102286469164032</v>
      </c>
      <c r="O29" s="1">
        <v>5.7020273949317453</v>
      </c>
      <c r="P29" s="1">
        <v>5.4938261429470883</v>
      </c>
      <c r="Q29" s="1">
        <f>SUM(E29:P29)</f>
        <v>84.361836899360767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  <c r="F31" s="24"/>
    </row>
    <row r="32" spans="1:32" x14ac:dyDescent="0.25">
      <c r="A32" s="200"/>
      <c r="B32" s="23" t="s">
        <v>262</v>
      </c>
      <c r="C32" s="23" t="s">
        <v>281</v>
      </c>
      <c r="E32" s="1">
        <v>198.47593134857397</v>
      </c>
      <c r="F32" s="1">
        <v>198.47593134857397</v>
      </c>
      <c r="G32" s="1">
        <v>198.47593134857397</v>
      </c>
      <c r="H32" s="1">
        <v>198.47593134857397</v>
      </c>
      <c r="I32" s="1">
        <v>198.47593134857397</v>
      </c>
      <c r="J32" s="1">
        <v>198.47593134857397</v>
      </c>
      <c r="K32" s="1">
        <v>198.47593134857397</v>
      </c>
      <c r="L32" s="1">
        <v>198.47593134857397</v>
      </c>
      <c r="M32" s="1">
        <v>198.47593134857397</v>
      </c>
      <c r="N32" s="1">
        <v>198.47593134857397</v>
      </c>
      <c r="O32" s="1">
        <v>198.47593134857397</v>
      </c>
      <c r="P32" s="1">
        <v>198.47593134857397</v>
      </c>
      <c r="Q32" s="1">
        <f>SUM(E32:P32)</f>
        <v>2381.7111761828878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241.26217934534404</v>
      </c>
      <c r="F38" s="1">
        <f t="shared" ref="F38:P38" si="5">SUM(F28:F36)</f>
        <v>240.11776712518815</v>
      </c>
      <c r="G38" s="1">
        <f t="shared" si="5"/>
        <v>238.97335490503224</v>
      </c>
      <c r="H38" s="1">
        <f t="shared" si="5"/>
        <v>237.82894268487635</v>
      </c>
      <c r="I38" s="1">
        <f t="shared" si="5"/>
        <v>236.68453046472044</v>
      </c>
      <c r="J38" s="1">
        <f t="shared" si="5"/>
        <v>235.54011824456455</v>
      </c>
      <c r="K38" s="1">
        <f t="shared" si="5"/>
        <v>234.84423598914333</v>
      </c>
      <c r="L38" s="1">
        <f t="shared" si="5"/>
        <v>233.68553350193034</v>
      </c>
      <c r="M38" s="1">
        <f t="shared" si="5"/>
        <v>232.52683101471735</v>
      </c>
      <c r="N38" s="1">
        <f t="shared" si="5"/>
        <v>231.36812852750433</v>
      </c>
      <c r="O38" s="1">
        <f t="shared" si="5"/>
        <v>230.20942604029133</v>
      </c>
      <c r="P38" s="1">
        <f t="shared" si="5"/>
        <v>229.05072355307834</v>
      </c>
      <c r="Q38" s="1">
        <f>SUM(E38:P38)</f>
        <v>2822.0917713963909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18.558629180411081</v>
      </c>
      <c r="F39" s="1">
        <f t="shared" ref="F39:P39" si="6">F38*1/13</f>
        <v>18.470597471168318</v>
      </c>
      <c r="G39" s="1">
        <f t="shared" si="6"/>
        <v>18.382565761925555</v>
      </c>
      <c r="H39" s="1">
        <f t="shared" si="6"/>
        <v>18.294534052682796</v>
      </c>
      <c r="I39" s="1">
        <f t="shared" si="6"/>
        <v>18.206502343440032</v>
      </c>
      <c r="J39" s="1">
        <f t="shared" si="6"/>
        <v>18.118470634197273</v>
      </c>
      <c r="K39" s="1">
        <f t="shared" si="6"/>
        <v>18.064941229934103</v>
      </c>
      <c r="L39" s="1">
        <f t="shared" si="6"/>
        <v>17.975810269379256</v>
      </c>
      <c r="M39" s="1">
        <f t="shared" si="6"/>
        <v>17.886679308824412</v>
      </c>
      <c r="N39" s="1">
        <f t="shared" si="6"/>
        <v>17.797548348269565</v>
      </c>
      <c r="O39" s="1">
        <f t="shared" si="6"/>
        <v>17.708417387714718</v>
      </c>
      <c r="P39" s="1">
        <f t="shared" si="6"/>
        <v>17.619286427159871</v>
      </c>
      <c r="Q39" s="1">
        <f>SUM(E39:P39)</f>
        <v>217.08398241510699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222.7</v>
      </c>
      <c r="F40" s="1">
        <f t="shared" si="7"/>
        <v>221.65</v>
      </c>
      <c r="G40" s="1">
        <f t="shared" si="7"/>
        <v>220.59</v>
      </c>
      <c r="H40" s="1">
        <f t="shared" si="7"/>
        <v>219.53</v>
      </c>
      <c r="I40" s="1">
        <f t="shared" si="7"/>
        <v>218.48</v>
      </c>
      <c r="J40" s="1">
        <f t="shared" si="7"/>
        <v>217.42</v>
      </c>
      <c r="K40" s="1">
        <f t="shared" si="7"/>
        <v>216.78</v>
      </c>
      <c r="L40" s="1">
        <f t="shared" si="7"/>
        <v>215.71</v>
      </c>
      <c r="M40" s="1">
        <f t="shared" si="7"/>
        <v>214.64</v>
      </c>
      <c r="N40" s="1">
        <f t="shared" si="7"/>
        <v>213.57</v>
      </c>
      <c r="O40" s="1">
        <f t="shared" si="7"/>
        <v>212.5</v>
      </c>
      <c r="P40" s="1">
        <f t="shared" si="7"/>
        <v>211.43</v>
      </c>
      <c r="Q40" s="1">
        <f>SUM(E40:P40)</f>
        <v>2605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18.580899535427577</v>
      </c>
      <c r="F45" s="1">
        <v>18.492762188133721</v>
      </c>
      <c r="G45" s="1">
        <v>18.404624840839869</v>
      </c>
      <c r="H45" s="1">
        <v>18.316487493546017</v>
      </c>
      <c r="I45" s="1">
        <v>18.228350146252161</v>
      </c>
      <c r="J45" s="1">
        <v>18.140212798958313</v>
      </c>
      <c r="K45" s="1">
        <v>18.086619159410027</v>
      </c>
      <c r="L45" s="1">
        <v>17.997381241702513</v>
      </c>
      <c r="M45" s="1">
        <v>17.908143323995002</v>
      </c>
      <c r="N45" s="1">
        <v>17.818905406287492</v>
      </c>
      <c r="O45" s="1">
        <v>17.729667488579977</v>
      </c>
      <c r="P45" s="1">
        <v>17.640429570872463</v>
      </c>
      <c r="Q45" s="1">
        <f>SUM(E45:P45)</f>
        <v>217.34448319400514</v>
      </c>
    </row>
    <row r="46" spans="1:17" x14ac:dyDescent="0.25">
      <c r="A46" s="13">
        <v>13</v>
      </c>
      <c r="B46" s="23" t="s">
        <v>290</v>
      </c>
      <c r="E46" s="199">
        <f>E40*E43</f>
        <v>216.54071929</v>
      </c>
      <c r="F46" s="199">
        <f t="shared" ref="F46:P46" si="8">F40*F43</f>
        <v>215.51975945500001</v>
      </c>
      <c r="G46" s="199">
        <f t="shared" si="8"/>
        <v>214.48907619300002</v>
      </c>
      <c r="H46" s="199">
        <f t="shared" si="8"/>
        <v>213.45839293099999</v>
      </c>
      <c r="I46" s="199">
        <f t="shared" si="8"/>
        <v>212.43743309599998</v>
      </c>
      <c r="J46" s="199">
        <f t="shared" si="8"/>
        <v>211.40674983399998</v>
      </c>
      <c r="K46" s="199">
        <f t="shared" si="8"/>
        <v>210.78445050600001</v>
      </c>
      <c r="L46" s="199">
        <f t="shared" si="8"/>
        <v>209.744043817</v>
      </c>
      <c r="M46" s="199">
        <f t="shared" si="8"/>
        <v>208.703637128</v>
      </c>
      <c r="N46" s="199">
        <f t="shared" si="8"/>
        <v>207.66323043899999</v>
      </c>
      <c r="O46" s="199">
        <f t="shared" si="8"/>
        <v>206.62282375000001</v>
      </c>
      <c r="P46" s="199">
        <f t="shared" si="8"/>
        <v>205.582417061</v>
      </c>
      <c r="Q46" s="199">
        <f>SUM(E46:P46)</f>
        <v>2532.9527334999998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235.12161882542756</v>
      </c>
      <c r="F47" s="204">
        <f t="shared" si="9"/>
        <v>234.01252164313374</v>
      </c>
      <c r="G47" s="204">
        <f t="shared" si="9"/>
        <v>232.89370103383987</v>
      </c>
      <c r="H47" s="204">
        <f t="shared" si="9"/>
        <v>231.77488042454601</v>
      </c>
      <c r="I47" s="204">
        <f t="shared" si="9"/>
        <v>230.66578324225213</v>
      </c>
      <c r="J47" s="204">
        <f t="shared" si="9"/>
        <v>229.5469626329583</v>
      </c>
      <c r="K47" s="204">
        <f t="shared" si="9"/>
        <v>228.87106966541003</v>
      </c>
      <c r="L47" s="204">
        <f t="shared" si="9"/>
        <v>227.74142505870253</v>
      </c>
      <c r="M47" s="204">
        <f t="shared" si="9"/>
        <v>226.611780451995</v>
      </c>
      <c r="N47" s="204">
        <f t="shared" si="9"/>
        <v>225.48213584528747</v>
      </c>
      <c r="O47" s="204">
        <f t="shared" si="9"/>
        <v>224.35249123858</v>
      </c>
      <c r="P47" s="204">
        <f t="shared" si="9"/>
        <v>223.22284663187247</v>
      </c>
      <c r="Q47" s="204">
        <f t="shared" si="9"/>
        <v>2750.2972166940049</v>
      </c>
    </row>
    <row r="48" spans="1:17" ht="13" thickTop="1" x14ac:dyDescent="0.25">
      <c r="A48" s="200"/>
      <c r="B48" s="20"/>
    </row>
    <row r="49" spans="1:2" x14ac:dyDescent="0.25">
      <c r="A49" s="210" t="s">
        <v>76</v>
      </c>
      <c r="B49" s="2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11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  <row r="61" spans="1:2" x14ac:dyDescent="0.25">
      <c r="B61" s="23"/>
    </row>
    <row r="62" spans="1:2" x14ac:dyDescent="0.25">
      <c r="B62" s="23"/>
    </row>
    <row r="63" spans="1:2" x14ac:dyDescent="0.25">
      <c r="B63" s="23"/>
    </row>
    <row r="64" spans="1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30B1B-55CA-4D18-ADF1-A4DC08DB6C47}">
  <sheetPr transitionEvaluation="1" transitionEntry="1"/>
  <dimension ref="A1:S99"/>
  <sheetViews>
    <sheetView showGridLines="0" view="pageBreakPreview" zoomScale="80" zoomScaleNormal="85" zoomScaleSheetLayoutView="80" workbookViewId="0">
      <selection activeCell="Q28" sqref="Q28"/>
    </sheetView>
  </sheetViews>
  <sheetFormatPr defaultColWidth="11.58203125" defaultRowHeight="12.5" x14ac:dyDescent="0.25"/>
  <cols>
    <col min="1" max="1" width="3.33203125" style="27" customWidth="1"/>
    <col min="2" max="2" width="46.33203125" style="27" bestFit="1" customWidth="1"/>
    <col min="3" max="3" width="48.5" style="27" hidden="1" customWidth="1"/>
    <col min="4" max="5" width="13.08203125" style="27" bestFit="1" customWidth="1"/>
    <col min="6" max="7" width="11.83203125" style="27" customWidth="1"/>
    <col min="8" max="8" width="12" style="27" customWidth="1"/>
    <col min="9" max="9" width="13.08203125" style="27" bestFit="1" customWidth="1"/>
    <col min="10" max="10" width="13.33203125" style="27" customWidth="1"/>
    <col min="11" max="11" width="13.58203125" style="27" customWidth="1"/>
    <col min="12" max="12" width="14.83203125" style="27" customWidth="1"/>
    <col min="13" max="13" width="13.58203125" style="27" customWidth="1"/>
    <col min="14" max="15" width="11.83203125" style="27" customWidth="1"/>
    <col min="16" max="16" width="12.58203125" style="27" customWidth="1"/>
    <col min="17" max="17" width="15.08203125" style="27" customWidth="1"/>
    <col min="18" max="18" width="12.58203125" style="27" customWidth="1"/>
    <col min="19" max="16384" width="11.58203125" style="27"/>
  </cols>
  <sheetData>
    <row r="1" spans="1:19" ht="13" x14ac:dyDescent="0.3">
      <c r="C1" s="28"/>
      <c r="J1" s="29"/>
      <c r="K1" s="29"/>
      <c r="L1" s="29"/>
      <c r="M1" s="29"/>
      <c r="O1" s="30"/>
      <c r="P1" s="30"/>
    </row>
    <row r="2" spans="1:19" ht="13" thickBot="1" x14ac:dyDescent="0.3">
      <c r="A2" s="31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ht="13" hidden="1" x14ac:dyDescent="0.3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9" hidden="1" x14ac:dyDescent="0.2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9" hidden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9" ht="13" x14ac:dyDescent="0.3">
      <c r="A6" s="35"/>
      <c r="B6" s="35"/>
      <c r="C6" s="35"/>
      <c r="D6" s="35"/>
      <c r="E6" s="35"/>
      <c r="F6" s="36" t="s">
        <v>11</v>
      </c>
      <c r="G6" s="36"/>
      <c r="H6" s="36"/>
      <c r="I6" s="36"/>
      <c r="J6" s="36"/>
      <c r="K6" s="37"/>
      <c r="L6" s="37"/>
      <c r="M6" s="38"/>
      <c r="N6" s="37"/>
      <c r="O6" s="37"/>
      <c r="P6" s="37"/>
    </row>
    <row r="7" spans="1:19" ht="32.15" hidden="1" customHeight="1" x14ac:dyDescent="0.25">
      <c r="A7" s="39" t="s">
        <v>12</v>
      </c>
      <c r="B7" s="39"/>
      <c r="C7" s="39"/>
      <c r="D7" s="34"/>
      <c r="E7" s="34"/>
      <c r="F7" s="34"/>
      <c r="G7" s="34"/>
      <c r="H7" s="34"/>
      <c r="I7" s="34"/>
      <c r="J7" s="39"/>
      <c r="K7" s="39"/>
      <c r="L7" s="39"/>
      <c r="M7" s="34"/>
      <c r="N7" s="39"/>
      <c r="O7" s="39"/>
      <c r="P7" s="39"/>
    </row>
    <row r="8" spans="1:19" ht="13" hidden="1" x14ac:dyDescent="0.3">
      <c r="A8" s="37" t="s">
        <v>13</v>
      </c>
      <c r="B8" s="37"/>
      <c r="C8" s="37"/>
      <c r="D8" s="38"/>
      <c r="E8" s="38"/>
      <c r="F8" s="38"/>
      <c r="G8" s="38"/>
      <c r="H8" s="38"/>
      <c r="I8" s="38"/>
      <c r="J8" s="37"/>
      <c r="K8" s="37"/>
      <c r="L8" s="37"/>
      <c r="M8" s="38"/>
      <c r="N8" s="37"/>
      <c r="O8" s="37"/>
      <c r="P8" s="37"/>
    </row>
    <row r="9" spans="1:19" hidden="1" x14ac:dyDescent="0.25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9" x14ac:dyDescent="0.25">
      <c r="L10" s="40"/>
    </row>
    <row r="11" spans="1:19" ht="13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41"/>
    </row>
    <row r="12" spans="1:19" x14ac:dyDescent="0.25">
      <c r="A12" s="42"/>
      <c r="C12" s="43"/>
      <c r="D12" s="44" t="s">
        <v>400</v>
      </c>
      <c r="E12" s="45" t="s">
        <v>400</v>
      </c>
      <c r="F12" s="45" t="s">
        <v>400</v>
      </c>
      <c r="G12" s="45" t="s">
        <v>400</v>
      </c>
      <c r="H12" s="45" t="s">
        <v>400</v>
      </c>
      <c r="I12" s="46" t="s">
        <v>401</v>
      </c>
      <c r="J12" s="45" t="s">
        <v>401</v>
      </c>
      <c r="K12" s="45" t="s">
        <v>401</v>
      </c>
      <c r="L12" s="45" t="s">
        <v>401</v>
      </c>
      <c r="M12" s="45" t="s">
        <v>401</v>
      </c>
      <c r="N12" s="45" t="s">
        <v>401</v>
      </c>
      <c r="O12" s="45" t="s">
        <v>401</v>
      </c>
      <c r="P12" s="45"/>
    </row>
    <row r="13" spans="1:19" x14ac:dyDescent="0.25">
      <c r="A13" s="47"/>
      <c r="B13" s="48"/>
      <c r="C13" s="49"/>
      <c r="D13" s="50" t="s">
        <v>15</v>
      </c>
      <c r="E13" s="51" t="s">
        <v>16</v>
      </c>
      <c r="F13" s="51" t="s">
        <v>17</v>
      </c>
      <c r="G13" s="51" t="s">
        <v>18</v>
      </c>
      <c r="H13" s="51" t="s">
        <v>19</v>
      </c>
      <c r="I13" s="52" t="s">
        <v>20</v>
      </c>
      <c r="J13" s="51" t="s">
        <v>21</v>
      </c>
      <c r="K13" s="51" t="s">
        <v>22</v>
      </c>
      <c r="L13" s="51" t="s">
        <v>23</v>
      </c>
      <c r="M13" s="51" t="s">
        <v>24</v>
      </c>
      <c r="N13" s="51" t="s">
        <v>25</v>
      </c>
      <c r="O13" s="51" t="s">
        <v>26</v>
      </c>
      <c r="P13" s="51" t="s">
        <v>27</v>
      </c>
      <c r="R13" s="53"/>
      <c r="S13" s="53"/>
    </row>
    <row r="14" spans="1:19" hidden="1" x14ac:dyDescent="0.25">
      <c r="A14" s="43"/>
      <c r="B14" s="43"/>
    </row>
    <row r="15" spans="1:19" x14ac:dyDescent="0.25">
      <c r="A15" s="54" t="s">
        <v>28</v>
      </c>
      <c r="B15" s="27" t="s">
        <v>29</v>
      </c>
      <c r="D15" s="55">
        <v>13111890.41</v>
      </c>
      <c r="E15" s="55">
        <v>11731758.23</v>
      </c>
      <c r="F15" s="55">
        <v>12146163.02</v>
      </c>
      <c r="G15" s="55">
        <v>12671423.970000001</v>
      </c>
      <c r="H15" s="55">
        <v>14987253.640000001</v>
      </c>
      <c r="I15" s="55">
        <v>17596185.620000001</v>
      </c>
      <c r="J15" s="55">
        <v>19263842.920000002</v>
      </c>
      <c r="K15" s="55">
        <v>19041858.859999999</v>
      </c>
      <c r="L15" s="55">
        <v>16553093.35</v>
      </c>
      <c r="M15" s="55">
        <v>13951673</v>
      </c>
      <c r="N15" s="55">
        <v>12159704.619999999</v>
      </c>
      <c r="O15" s="55">
        <v>13591194.17</v>
      </c>
      <c r="P15" s="55">
        <f>SUM(D15:O15)</f>
        <v>176806041.81</v>
      </c>
    </row>
    <row r="16" spans="1:19" ht="13" thickBot="1" x14ac:dyDescent="0.3">
      <c r="A16" s="54" t="s">
        <v>30</v>
      </c>
      <c r="B16" s="27" t="s">
        <v>31</v>
      </c>
      <c r="D16" s="55">
        <v>542141</v>
      </c>
      <c r="E16" s="55">
        <v>542142</v>
      </c>
      <c r="F16" s="55">
        <v>542142</v>
      </c>
      <c r="G16" s="55">
        <v>542142</v>
      </c>
      <c r="H16" s="55">
        <v>542142</v>
      </c>
      <c r="I16" s="55">
        <v>542142</v>
      </c>
      <c r="J16" s="55">
        <v>542142</v>
      </c>
      <c r="K16" s="55">
        <v>542142</v>
      </c>
      <c r="L16" s="55">
        <v>542142</v>
      </c>
      <c r="M16" s="55">
        <v>542142</v>
      </c>
      <c r="N16" s="55">
        <v>542142</v>
      </c>
      <c r="O16" s="55">
        <v>542142</v>
      </c>
      <c r="P16" s="56">
        <f>SUM(D16:O16)</f>
        <v>6505703</v>
      </c>
    </row>
    <row r="17" spans="1:18" x14ac:dyDescent="0.25">
      <c r="A17" s="54" t="s">
        <v>32</v>
      </c>
      <c r="B17" s="27" t="s">
        <v>33</v>
      </c>
      <c r="D17" s="57">
        <f>SUM(D15:D16)</f>
        <v>13654031.41</v>
      </c>
      <c r="E17" s="57">
        <f>SUM(E15:E16)</f>
        <v>12273900.23</v>
      </c>
      <c r="F17" s="57">
        <f t="shared" ref="F17:O17" si="0">SUM(F15:F16)</f>
        <v>12688305.02</v>
      </c>
      <c r="G17" s="57">
        <f>SUM(G15:G16)</f>
        <v>13213565.970000001</v>
      </c>
      <c r="H17" s="57">
        <f t="shared" si="0"/>
        <v>15529395.640000001</v>
      </c>
      <c r="I17" s="57">
        <f t="shared" si="0"/>
        <v>18138327.620000001</v>
      </c>
      <c r="J17" s="57">
        <f t="shared" si="0"/>
        <v>19805984.920000002</v>
      </c>
      <c r="K17" s="57">
        <f t="shared" si="0"/>
        <v>19584000.859999999</v>
      </c>
      <c r="L17" s="57">
        <f t="shared" si="0"/>
        <v>17095235.350000001</v>
      </c>
      <c r="M17" s="57">
        <f t="shared" si="0"/>
        <v>14493815</v>
      </c>
      <c r="N17" s="57">
        <f t="shared" si="0"/>
        <v>12701846.619999999</v>
      </c>
      <c r="O17" s="57">
        <f t="shared" si="0"/>
        <v>14133336.17</v>
      </c>
      <c r="P17" s="55">
        <f>SUM(P15:P16)</f>
        <v>183311744.81</v>
      </c>
    </row>
    <row r="18" spans="1:18" x14ac:dyDescent="0.25">
      <c r="A18" s="43"/>
      <c r="B18" s="4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8" x14ac:dyDescent="0.25">
      <c r="A19" s="54" t="s">
        <v>34</v>
      </c>
      <c r="B19" s="27" t="s">
        <v>35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8" x14ac:dyDescent="0.25">
      <c r="B20" s="15" t="s">
        <v>36</v>
      </c>
      <c r="C20" s="58" t="s">
        <v>37</v>
      </c>
      <c r="D20" s="55">
        <f>'42-5E'!E48</f>
        <v>2020448.2399999998</v>
      </c>
      <c r="E20" s="55">
        <f>'42-5E'!F48</f>
        <v>1457563.37</v>
      </c>
      <c r="F20" s="55">
        <f>'42-5E'!G48</f>
        <v>2492770.2000000002</v>
      </c>
      <c r="G20" s="55">
        <f>'42-5E'!H48</f>
        <v>1286152.49</v>
      </c>
      <c r="H20" s="55">
        <f>'42-5E'!I48</f>
        <v>3163769.0999999996</v>
      </c>
      <c r="I20" s="55">
        <f>'42-5E'!J48</f>
        <v>2038612.57</v>
      </c>
      <c r="J20" s="55">
        <f>'42-5E'!K48</f>
        <v>-1074.75</v>
      </c>
      <c r="K20" s="55">
        <f>'42-5E'!L48</f>
        <v>2221442.15</v>
      </c>
      <c r="L20" s="55">
        <f>'42-5E'!M48</f>
        <v>1950127.02</v>
      </c>
      <c r="M20" s="55">
        <f>'42-5E'!N48</f>
        <v>2041780.9000000001</v>
      </c>
      <c r="N20" s="55">
        <f>'42-5E'!O48</f>
        <v>3408911.29</v>
      </c>
      <c r="O20" s="55">
        <f>'42-5E'!P48</f>
        <v>2019681.1300000001</v>
      </c>
      <c r="P20" s="55">
        <f>SUM(D20:O20)</f>
        <v>24100183.709999997</v>
      </c>
    </row>
    <row r="21" spans="1:18" ht="13" thickBot="1" x14ac:dyDescent="0.3">
      <c r="B21" s="15" t="s">
        <v>38</v>
      </c>
      <c r="C21" s="27" t="s">
        <v>39</v>
      </c>
      <c r="D21" s="56">
        <f>'42-7E'!D57</f>
        <v>12815144.65</v>
      </c>
      <c r="E21" s="56">
        <f>'42-7E'!E57</f>
        <v>12931395.93</v>
      </c>
      <c r="F21" s="56">
        <f>'42-7E'!F57</f>
        <v>13036933.26</v>
      </c>
      <c r="G21" s="56">
        <f>'42-7E'!G57</f>
        <v>12934907.32</v>
      </c>
      <c r="H21" s="56">
        <f>'42-7E'!H57</f>
        <v>12923510.879999999</v>
      </c>
      <c r="I21" s="56">
        <f>'42-7E'!I57</f>
        <v>12825769.790000001</v>
      </c>
      <c r="J21" s="56">
        <f>'42-7E'!J57</f>
        <v>13017232.310000001</v>
      </c>
      <c r="K21" s="56">
        <f>'42-7E'!K57</f>
        <v>13060446.93</v>
      </c>
      <c r="L21" s="56">
        <f>'42-7E'!L57</f>
        <v>13093822.449999999</v>
      </c>
      <c r="M21" s="56">
        <f>'42-7E'!M57</f>
        <v>12192278.58</v>
      </c>
      <c r="N21" s="56">
        <f>'42-7E'!N57</f>
        <v>11339405.239999998</v>
      </c>
      <c r="O21" s="56">
        <f>'42-7E'!O57</f>
        <v>11428308.93</v>
      </c>
      <c r="P21" s="56">
        <f>SUM(D21:O21)</f>
        <v>151599156.27000001</v>
      </c>
    </row>
    <row r="22" spans="1:18" x14ac:dyDescent="0.25">
      <c r="B22" s="15" t="s">
        <v>40</v>
      </c>
      <c r="C22" s="27" t="s">
        <v>41</v>
      </c>
      <c r="D22" s="55">
        <f t="shared" ref="D22:O22" si="1">SUM(D20:D21)</f>
        <v>14835592.890000001</v>
      </c>
      <c r="E22" s="55">
        <f t="shared" si="1"/>
        <v>14388959.300000001</v>
      </c>
      <c r="F22" s="55">
        <f t="shared" si="1"/>
        <v>15529703.460000001</v>
      </c>
      <c r="G22" s="55">
        <f t="shared" si="1"/>
        <v>14221059.810000001</v>
      </c>
      <c r="H22" s="55">
        <f t="shared" si="1"/>
        <v>16087279.979999999</v>
      </c>
      <c r="I22" s="55">
        <f t="shared" si="1"/>
        <v>14864382.360000001</v>
      </c>
      <c r="J22" s="55">
        <f t="shared" si="1"/>
        <v>13016157.560000001</v>
      </c>
      <c r="K22" s="55">
        <f t="shared" si="1"/>
        <v>15281889.08</v>
      </c>
      <c r="L22" s="55">
        <f t="shared" si="1"/>
        <v>15043949.469999999</v>
      </c>
      <c r="M22" s="55">
        <f>SUM(M20:M21)</f>
        <v>14234059.48</v>
      </c>
      <c r="N22" s="55">
        <f t="shared" si="1"/>
        <v>14748316.529999997</v>
      </c>
      <c r="O22" s="55">
        <f t="shared" si="1"/>
        <v>13447990.060000001</v>
      </c>
      <c r="P22" s="55">
        <f>SUM(P20:P21)</f>
        <v>175699339.98000002</v>
      </c>
    </row>
    <row r="23" spans="1:18" x14ac:dyDescent="0.25">
      <c r="A23" s="43"/>
      <c r="B23" s="4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27" t="s">
        <v>42</v>
      </c>
    </row>
    <row r="24" spans="1:18" x14ac:dyDescent="0.25">
      <c r="A24" s="43">
        <v>5</v>
      </c>
      <c r="B24" s="27" t="s">
        <v>43</v>
      </c>
      <c r="D24" s="55">
        <f t="shared" ref="D24:N24" si="2">D17-D22</f>
        <v>-1181561.4800000004</v>
      </c>
      <c r="E24" s="55">
        <f t="shared" si="2"/>
        <v>-2115059.0700000003</v>
      </c>
      <c r="F24" s="55">
        <f t="shared" si="2"/>
        <v>-2841398.4400000013</v>
      </c>
      <c r="G24" s="55">
        <f>G17-G22</f>
        <v>-1007493.8399999999</v>
      </c>
      <c r="H24" s="55">
        <f t="shared" si="2"/>
        <v>-557884.33999999799</v>
      </c>
      <c r="I24" s="55">
        <f t="shared" si="2"/>
        <v>3273945.26</v>
      </c>
      <c r="J24" s="55">
        <f t="shared" si="2"/>
        <v>6789827.3600000013</v>
      </c>
      <c r="K24" s="55">
        <f t="shared" si="2"/>
        <v>4302111.7799999993</v>
      </c>
      <c r="L24" s="55">
        <f>L17-L22</f>
        <v>2051285.8800000027</v>
      </c>
      <c r="M24" s="55">
        <f>M17-M22</f>
        <v>259755.51999999955</v>
      </c>
      <c r="N24" s="55">
        <f t="shared" si="2"/>
        <v>-2046469.9099999983</v>
      </c>
      <c r="O24" s="55">
        <f>O17-O22</f>
        <v>685346.1099999994</v>
      </c>
      <c r="P24" s="55">
        <f>SUM(D24:O24)</f>
        <v>7612404.8300000038</v>
      </c>
      <c r="Q24" s="27">
        <f>P17-P22</f>
        <v>7612404.8299999833</v>
      </c>
      <c r="R24" s="59"/>
    </row>
    <row r="25" spans="1:18" x14ac:dyDescent="0.25">
      <c r="A25" s="43"/>
      <c r="B25" s="43"/>
    </row>
    <row r="26" spans="1:18" x14ac:dyDescent="0.25">
      <c r="A26" s="43">
        <v>6</v>
      </c>
      <c r="B26" s="27" t="s">
        <v>578</v>
      </c>
      <c r="D26" s="55">
        <f>'42-3E'!D27</f>
        <v>15527.04</v>
      </c>
      <c r="E26" s="55">
        <f>'42-3E'!E27</f>
        <v>12477.92</v>
      </c>
      <c r="F26" s="55">
        <f>'42-3E'!F27</f>
        <v>9980.3700000000008</v>
      </c>
      <c r="G26" s="55">
        <f>'42-3E'!G27</f>
        <v>3687.66</v>
      </c>
      <c r="H26" s="55">
        <f>'42-3E'!H27</f>
        <v>149.47</v>
      </c>
      <c r="I26" s="55">
        <f>'42-3E'!I27</f>
        <v>227.33</v>
      </c>
      <c r="J26" s="55">
        <f>'42-3E'!J27</f>
        <v>528.16</v>
      </c>
      <c r="K26" s="55">
        <f>'42-3E'!K27</f>
        <v>863.45</v>
      </c>
      <c r="L26" s="55">
        <f>'42-3E'!L27</f>
        <v>1040.03</v>
      </c>
      <c r="M26" s="55">
        <f>'42-3E'!M27</f>
        <v>1081.19</v>
      </c>
      <c r="N26" s="55">
        <f>'42-3E'!N27</f>
        <v>985.09</v>
      </c>
      <c r="O26" s="55">
        <f>'42-3E'!O27</f>
        <v>903.23</v>
      </c>
      <c r="P26" s="55">
        <f>SUM(D26:O26)</f>
        <v>47450.94000000001</v>
      </c>
      <c r="R26" s="59"/>
    </row>
    <row r="27" spans="1:18" x14ac:dyDescent="0.25">
      <c r="A27" s="4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8" x14ac:dyDescent="0.25">
      <c r="A28" s="43">
        <v>7</v>
      </c>
      <c r="B28" s="27" t="s">
        <v>44</v>
      </c>
      <c r="D28" s="55">
        <f>1896136+4609567</f>
        <v>6505703</v>
      </c>
      <c r="E28" s="55">
        <f t="shared" ref="E28:O28" si="3">D39-E29</f>
        <v>4797527.5600000005</v>
      </c>
      <c r="F28" s="55">
        <f t="shared" si="3"/>
        <v>2152804.41</v>
      </c>
      <c r="G28" s="55">
        <f t="shared" si="3"/>
        <v>-1218867.1400000015</v>
      </c>
      <c r="H28" s="55">
        <f t="shared" si="3"/>
        <v>-2764815.3200000012</v>
      </c>
      <c r="I28" s="55">
        <f t="shared" si="3"/>
        <v>-3864692.1899999995</v>
      </c>
      <c r="J28" s="55">
        <f t="shared" si="3"/>
        <v>-1132661.5999999996</v>
      </c>
      <c r="K28" s="55">
        <f t="shared" si="3"/>
        <v>5115551.9200000018</v>
      </c>
      <c r="L28" s="55">
        <f t="shared" si="3"/>
        <v>8876385.1500000022</v>
      </c>
      <c r="M28" s="55">
        <f t="shared" si="3"/>
        <v>10386569.060000004</v>
      </c>
      <c r="N28" s="55">
        <f t="shared" si="3"/>
        <v>10105263.770000003</v>
      </c>
      <c r="O28" s="55">
        <f t="shared" si="3"/>
        <v>7517636.9500000048</v>
      </c>
      <c r="P28" s="55">
        <f>D28</f>
        <v>6505703</v>
      </c>
      <c r="Q28" s="27">
        <f>D28+D29</f>
        <v>12397545.65</v>
      </c>
    </row>
    <row r="29" spans="1:18" x14ac:dyDescent="0.25">
      <c r="B29" s="60" t="s">
        <v>45</v>
      </c>
      <c r="C29" s="61" t="s">
        <v>46</v>
      </c>
      <c r="D29" s="55">
        <v>5891842.6500000004</v>
      </c>
      <c r="E29" s="55">
        <f>D29</f>
        <v>5891842.6500000004</v>
      </c>
      <c r="F29" s="55">
        <f t="shared" ref="F29:O29" si="4">E29</f>
        <v>5891842.6500000004</v>
      </c>
      <c r="G29" s="55">
        <f t="shared" si="4"/>
        <v>5891842.6500000004</v>
      </c>
      <c r="H29" s="55">
        <f t="shared" si="4"/>
        <v>5891842.6500000004</v>
      </c>
      <c r="I29" s="55">
        <f t="shared" si="4"/>
        <v>5891842.6500000004</v>
      </c>
      <c r="J29" s="55">
        <f t="shared" si="4"/>
        <v>5891842.6500000004</v>
      </c>
      <c r="K29" s="55">
        <f t="shared" si="4"/>
        <v>5891842.6500000004</v>
      </c>
      <c r="L29" s="55">
        <f t="shared" si="4"/>
        <v>5891842.6500000004</v>
      </c>
      <c r="M29" s="55">
        <f t="shared" si="4"/>
        <v>5891842.6500000004</v>
      </c>
      <c r="N29" s="55">
        <f t="shared" si="4"/>
        <v>5891842.6500000004</v>
      </c>
      <c r="O29" s="55">
        <f t="shared" si="4"/>
        <v>5891842.6500000004</v>
      </c>
      <c r="P29" s="55"/>
    </row>
    <row r="30" spans="1:18" x14ac:dyDescent="0.25">
      <c r="A30" s="15"/>
      <c r="B30" s="60"/>
      <c r="C30" s="62" t="s">
        <v>47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8" hidden="1" x14ac:dyDescent="0.25">
      <c r="A31" s="15"/>
      <c r="B31" s="15"/>
      <c r="C31" s="58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8" hidden="1" x14ac:dyDescent="0.25">
      <c r="A32" s="43"/>
      <c r="B32" s="58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7" ht="13" thickBot="1" x14ac:dyDescent="0.3">
      <c r="A33" s="43">
        <v>8</v>
      </c>
      <c r="B33" s="27" t="s">
        <v>49</v>
      </c>
      <c r="D33" s="56">
        <f t="shared" ref="D33:O33" si="5">-D16</f>
        <v>-542141</v>
      </c>
      <c r="E33" s="56">
        <f t="shared" si="5"/>
        <v>-542142</v>
      </c>
      <c r="F33" s="56">
        <f t="shared" si="5"/>
        <v>-542142</v>
      </c>
      <c r="G33" s="56">
        <f t="shared" si="5"/>
        <v>-542142</v>
      </c>
      <c r="H33" s="56">
        <f t="shared" si="5"/>
        <v>-542142</v>
      </c>
      <c r="I33" s="56">
        <f t="shared" si="5"/>
        <v>-542142</v>
      </c>
      <c r="J33" s="56">
        <f t="shared" si="5"/>
        <v>-542142</v>
      </c>
      <c r="K33" s="56">
        <f t="shared" si="5"/>
        <v>-542142</v>
      </c>
      <c r="L33" s="56">
        <f t="shared" si="5"/>
        <v>-542142</v>
      </c>
      <c r="M33" s="56">
        <f t="shared" si="5"/>
        <v>-542142</v>
      </c>
      <c r="N33" s="56">
        <f t="shared" si="5"/>
        <v>-542142</v>
      </c>
      <c r="O33" s="56">
        <f t="shared" si="5"/>
        <v>-542142</v>
      </c>
      <c r="P33" s="56">
        <f>SUM(D33:O33)</f>
        <v>-6505703</v>
      </c>
    </row>
    <row r="34" spans="1:17" x14ac:dyDescent="0.25">
      <c r="A34" s="4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7" x14ac:dyDescent="0.25">
      <c r="A35" s="43">
        <v>9</v>
      </c>
      <c r="B35" s="27" t="s">
        <v>50</v>
      </c>
      <c r="D35" s="55">
        <f>SUM(D24:D33)</f>
        <v>10689370.210000001</v>
      </c>
      <c r="E35" s="55">
        <f>SUM(E24:E33)</f>
        <v>8044647.0600000005</v>
      </c>
      <c r="F35" s="55">
        <f t="shared" ref="F35:O35" si="6">SUM(F24:F33)</f>
        <v>4671086.9899999993</v>
      </c>
      <c r="G35" s="55">
        <f t="shared" si="6"/>
        <v>3127027.3299999991</v>
      </c>
      <c r="H35" s="55">
        <f t="shared" si="6"/>
        <v>2027150.4600000009</v>
      </c>
      <c r="I35" s="55">
        <f t="shared" si="6"/>
        <v>4759181.0500000007</v>
      </c>
      <c r="J35" s="55">
        <f t="shared" si="6"/>
        <v>11007394.570000002</v>
      </c>
      <c r="K35" s="55">
        <f t="shared" si="6"/>
        <v>14768227.800000003</v>
      </c>
      <c r="L35" s="55">
        <f t="shared" si="6"/>
        <v>16278411.710000005</v>
      </c>
      <c r="M35" s="55">
        <f t="shared" si="6"/>
        <v>15997106.420000004</v>
      </c>
      <c r="N35" s="55">
        <f t="shared" si="6"/>
        <v>13409479.600000005</v>
      </c>
      <c r="O35" s="55">
        <f t="shared" si="6"/>
        <v>13553586.940000005</v>
      </c>
      <c r="P35" s="55">
        <f>SUM(P24:P33)</f>
        <v>7659855.7700000033</v>
      </c>
    </row>
    <row r="36" spans="1:17" x14ac:dyDescent="0.25">
      <c r="A36" s="4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7" ht="13" thickBot="1" x14ac:dyDescent="0.3">
      <c r="A37" s="43">
        <v>10</v>
      </c>
      <c r="B37" s="27" t="s">
        <v>51</v>
      </c>
      <c r="D37" s="56">
        <v>0</v>
      </c>
      <c r="E37" s="56">
        <v>0</v>
      </c>
      <c r="F37" s="56">
        <f>1888.52</f>
        <v>1888.52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f>SUM(D37:O37)</f>
        <v>1888.52</v>
      </c>
      <c r="Q37" s="63"/>
    </row>
    <row r="38" spans="1:17" ht="24.65" customHeight="1" thickBot="1" x14ac:dyDescent="0.3">
      <c r="A38" s="4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7" ht="24" customHeight="1" thickBot="1" x14ac:dyDescent="0.3">
      <c r="A39" s="43">
        <v>11</v>
      </c>
      <c r="B39" s="27" t="s">
        <v>52</v>
      </c>
      <c r="D39" s="64">
        <f>D35+D37</f>
        <v>10689370.210000001</v>
      </c>
      <c r="E39" s="64">
        <f t="shared" ref="E39:P39" si="7">E35+E37</f>
        <v>8044647.0600000005</v>
      </c>
      <c r="F39" s="64">
        <f t="shared" si="7"/>
        <v>4672975.5099999988</v>
      </c>
      <c r="G39" s="64">
        <f t="shared" si="7"/>
        <v>3127027.3299999991</v>
      </c>
      <c r="H39" s="64">
        <f t="shared" si="7"/>
        <v>2027150.4600000009</v>
      </c>
      <c r="I39" s="64">
        <f t="shared" si="7"/>
        <v>4759181.0500000007</v>
      </c>
      <c r="J39" s="64">
        <f t="shared" si="7"/>
        <v>11007394.570000002</v>
      </c>
      <c r="K39" s="64">
        <f t="shared" si="7"/>
        <v>14768227.800000003</v>
      </c>
      <c r="L39" s="64">
        <f t="shared" si="7"/>
        <v>16278411.710000005</v>
      </c>
      <c r="M39" s="64">
        <f t="shared" si="7"/>
        <v>15997106.420000004</v>
      </c>
      <c r="N39" s="64">
        <f t="shared" si="7"/>
        <v>13409479.600000005</v>
      </c>
      <c r="O39" s="64">
        <f t="shared" si="7"/>
        <v>13553586.940000005</v>
      </c>
      <c r="P39" s="64">
        <f t="shared" si="7"/>
        <v>7661744.2900000028</v>
      </c>
    </row>
    <row r="40" spans="1:17" ht="13" thickTop="1" x14ac:dyDescent="0.25">
      <c r="A40" s="43"/>
    </row>
    <row r="41" spans="1:17" x14ac:dyDescent="0.25">
      <c r="A41" s="27" t="s">
        <v>53</v>
      </c>
      <c r="J41" s="59"/>
    </row>
    <row r="42" spans="1:17" x14ac:dyDescent="0.25">
      <c r="A42" s="15" t="s">
        <v>54</v>
      </c>
      <c r="B42" s="58"/>
      <c r="K42" s="65"/>
      <c r="L42" s="65"/>
      <c r="M42" s="65"/>
      <c r="N42" s="65"/>
      <c r="O42" s="65"/>
    </row>
    <row r="43" spans="1:17" x14ac:dyDescent="0.25">
      <c r="A43" s="43"/>
      <c r="B43" s="58"/>
      <c r="K43" s="65"/>
      <c r="L43" s="65"/>
      <c r="M43" s="65"/>
      <c r="N43" s="65"/>
      <c r="O43" s="65"/>
    </row>
    <row r="44" spans="1:17" x14ac:dyDescent="0.25">
      <c r="A44" s="43"/>
      <c r="B44" s="58"/>
      <c r="K44" s="65"/>
      <c r="L44" s="65"/>
      <c r="M44" s="65"/>
      <c r="N44" s="65"/>
      <c r="O44" s="65"/>
    </row>
    <row r="45" spans="1:17" x14ac:dyDescent="0.25">
      <c r="A45" s="43"/>
      <c r="B45" s="58"/>
      <c r="K45" s="65"/>
      <c r="L45" s="65"/>
      <c r="M45" s="65"/>
      <c r="N45" s="65"/>
      <c r="O45" s="65"/>
    </row>
    <row r="46" spans="1:17" x14ac:dyDescent="0.25">
      <c r="A46" s="43"/>
      <c r="B46" s="66"/>
      <c r="P46" s="27" t="s">
        <v>8</v>
      </c>
    </row>
    <row r="47" spans="1:17" x14ac:dyDescent="0.25">
      <c r="A47" s="43"/>
      <c r="B47" s="66"/>
      <c r="F47" s="59"/>
      <c r="G47" s="59"/>
      <c r="H47" s="59"/>
    </row>
    <row r="48" spans="1:17" x14ac:dyDescent="0.25">
      <c r="A48" s="43"/>
      <c r="B48" s="43"/>
    </row>
    <row r="49" spans="1:16" x14ac:dyDescent="0.25">
      <c r="A49" s="43"/>
      <c r="B49" s="43"/>
    </row>
    <row r="50" spans="1:16" ht="13" x14ac:dyDescent="0.3">
      <c r="A50" s="43"/>
      <c r="B50" s="29"/>
      <c r="I50" s="59"/>
      <c r="J50" s="59"/>
      <c r="K50" s="59"/>
    </row>
    <row r="53" spans="1:16" ht="13" x14ac:dyDescent="0.3">
      <c r="E53" s="34"/>
      <c r="F53" s="43"/>
      <c r="G53" s="43"/>
      <c r="H53" s="43"/>
      <c r="I53" s="34"/>
      <c r="J53" s="29"/>
      <c r="K53" s="29"/>
      <c r="L53" s="29"/>
      <c r="M53" s="29"/>
      <c r="N53" s="29"/>
      <c r="O53" s="30"/>
      <c r="P53" s="30"/>
    </row>
    <row r="54" spans="1:16" ht="13" x14ac:dyDescent="0.3">
      <c r="E54" s="34"/>
      <c r="F54" s="43"/>
      <c r="G54" s="43"/>
      <c r="H54" s="43"/>
      <c r="I54" s="34"/>
      <c r="J54" s="29"/>
      <c r="K54" s="29"/>
      <c r="L54" s="29"/>
      <c r="M54" s="29"/>
      <c r="N54" s="29"/>
      <c r="O54" s="30"/>
      <c r="P54" s="30"/>
    </row>
    <row r="55" spans="1:16" ht="13" x14ac:dyDescent="0.3">
      <c r="E55" s="34"/>
      <c r="F55" s="43"/>
      <c r="G55" s="43"/>
      <c r="H55" s="43"/>
      <c r="I55" s="34"/>
      <c r="J55" s="29"/>
      <c r="K55" s="29"/>
      <c r="L55" s="29"/>
      <c r="M55" s="29"/>
      <c r="N55" s="29"/>
      <c r="O55" s="30"/>
      <c r="P55" s="30"/>
    </row>
    <row r="56" spans="1:16" ht="13" x14ac:dyDescent="0.3">
      <c r="E56" s="34"/>
      <c r="F56" s="43"/>
      <c r="G56" s="43"/>
      <c r="H56" s="43"/>
      <c r="I56" s="34"/>
      <c r="J56" s="29"/>
      <c r="K56" s="29"/>
      <c r="L56" s="29"/>
      <c r="M56" s="29"/>
      <c r="N56" s="29"/>
      <c r="O56" s="30"/>
      <c r="P56" s="30"/>
    </row>
    <row r="57" spans="1:16" ht="13" x14ac:dyDescent="0.3">
      <c r="P57" s="30"/>
    </row>
    <row r="59" spans="1:16" ht="13" hidden="1" x14ac:dyDescent="0.3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6" hidden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6" hidden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6" ht="13" hidden="1" x14ac:dyDescent="0.3">
      <c r="A62" s="37"/>
      <c r="B62" s="38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6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6" ht="13" hidden="1" x14ac:dyDescent="0.3">
      <c r="A64" s="38"/>
      <c r="B64" s="3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6" hidden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6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6" x14ac:dyDescent="0.25">
      <c r="P67" s="43"/>
    </row>
    <row r="68" spans="1:16" x14ac:dyDescent="0.2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x14ac:dyDescent="0.25">
      <c r="A69" s="67"/>
      <c r="B69" s="53"/>
      <c r="C69" s="5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idden="1" x14ac:dyDescent="0.2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hidden="1" x14ac:dyDescent="0.25"/>
    <row r="72" spans="1:16" x14ac:dyDescent="0.25">
      <c r="B72" s="58"/>
    </row>
    <row r="75" spans="1:16" x14ac:dyDescent="0.25">
      <c r="C75" s="58"/>
    </row>
    <row r="76" spans="1:16" hidden="1" x14ac:dyDescent="0.25"/>
    <row r="78" spans="1:16" hidden="1" x14ac:dyDescent="0.25"/>
    <row r="81" spans="4:16" x14ac:dyDescent="0.25">
      <c r="D81" s="40"/>
      <c r="E81" s="40"/>
      <c r="F81" s="40"/>
      <c r="G81" s="40"/>
      <c r="H81" s="40"/>
      <c r="I81" s="40"/>
      <c r="J81" s="68"/>
      <c r="K81" s="68"/>
      <c r="L81" s="68"/>
      <c r="M81" s="68"/>
      <c r="N81" s="68"/>
      <c r="O81" s="68"/>
      <c r="P81" s="69"/>
    </row>
    <row r="82" spans="4:16" hidden="1" x14ac:dyDescent="0.25">
      <c r="D82" s="40"/>
      <c r="E82" s="40"/>
      <c r="F82" s="40"/>
      <c r="G82" s="40"/>
      <c r="H82" s="40"/>
      <c r="I82" s="40"/>
      <c r="J82" s="70"/>
      <c r="K82" s="70"/>
      <c r="L82" s="70"/>
      <c r="M82" s="70"/>
      <c r="N82" s="70"/>
      <c r="O82" s="70"/>
    </row>
    <row r="83" spans="4:16" x14ac:dyDescent="0.25">
      <c r="D83" s="71"/>
      <c r="E83" s="71"/>
      <c r="F83" s="71"/>
      <c r="G83" s="71"/>
      <c r="H83" s="71"/>
      <c r="I83" s="71"/>
      <c r="J83" s="68"/>
      <c r="K83" s="68"/>
      <c r="L83" s="68"/>
      <c r="M83" s="68"/>
      <c r="N83" s="68"/>
      <c r="O83" s="68"/>
      <c r="P83" s="69"/>
    </row>
    <row r="84" spans="4:16" x14ac:dyDescent="0.25">
      <c r="D84" s="40"/>
      <c r="E84" s="40"/>
      <c r="F84" s="40"/>
      <c r="G84" s="40"/>
      <c r="H84" s="40"/>
      <c r="I84" s="40"/>
      <c r="J84" s="70"/>
      <c r="K84" s="70"/>
      <c r="L84" s="70"/>
      <c r="M84" s="70"/>
      <c r="N84" s="70"/>
      <c r="O84" s="70"/>
    </row>
    <row r="85" spans="4:16" x14ac:dyDescent="0.25">
      <c r="D85" s="40"/>
      <c r="E85" s="40"/>
      <c r="F85" s="40"/>
      <c r="G85" s="40"/>
      <c r="H85" s="40"/>
      <c r="I85" s="40"/>
      <c r="J85" s="70"/>
      <c r="K85" s="70"/>
      <c r="L85" s="70"/>
      <c r="M85" s="70"/>
      <c r="N85" s="70"/>
      <c r="O85" s="70"/>
      <c r="P85" s="69"/>
    </row>
    <row r="86" spans="4:16" hidden="1" x14ac:dyDescent="0.25">
      <c r="D86" s="40"/>
      <c r="E86" s="40"/>
      <c r="F86" s="40"/>
      <c r="G86" s="40"/>
      <c r="H86" s="40"/>
      <c r="I86" s="40"/>
    </row>
    <row r="87" spans="4:16" x14ac:dyDescent="0.25">
      <c r="D87" s="40"/>
      <c r="E87" s="40"/>
      <c r="F87" s="40"/>
      <c r="G87" s="40"/>
      <c r="H87" s="40"/>
      <c r="I87" s="40"/>
      <c r="J87" s="72"/>
      <c r="K87" s="72"/>
      <c r="L87" s="72"/>
      <c r="M87" s="72"/>
      <c r="N87" s="72"/>
      <c r="O87" s="72"/>
      <c r="P87" s="69"/>
    </row>
    <row r="88" spans="4:16" hidden="1" x14ac:dyDescent="0.25">
      <c r="D88" s="40"/>
      <c r="E88" s="40"/>
      <c r="F88" s="40"/>
      <c r="G88" s="40"/>
      <c r="H88" s="40"/>
      <c r="I88" s="40"/>
    </row>
    <row r="89" spans="4:16" x14ac:dyDescent="0.25">
      <c r="D89" s="40"/>
      <c r="E89" s="40"/>
      <c r="F89" s="40"/>
      <c r="G89" s="40"/>
      <c r="H89" s="40"/>
      <c r="I89" s="40"/>
      <c r="J89" s="72"/>
      <c r="K89" s="72"/>
      <c r="L89" s="72"/>
      <c r="M89" s="72"/>
      <c r="N89" s="72"/>
      <c r="O89" s="72"/>
      <c r="P89" s="69"/>
    </row>
    <row r="91" spans="4:16" x14ac:dyDescent="0.25">
      <c r="H91" s="59"/>
    </row>
    <row r="95" spans="4:16" x14ac:dyDescent="0.25">
      <c r="H95" s="59"/>
    </row>
    <row r="96" spans="4:16" x14ac:dyDescent="0.25">
      <c r="G96" s="40"/>
      <c r="H96" s="40"/>
      <c r="I96" s="40"/>
    </row>
    <row r="98" spans="2:8" ht="15.5" x14ac:dyDescent="0.35">
      <c r="B98" s="66"/>
      <c r="D98" s="73"/>
      <c r="E98" s="73"/>
      <c r="F98" s="73"/>
      <c r="G98" s="73"/>
      <c r="H98" s="73"/>
    </row>
    <row r="99" spans="2:8" x14ac:dyDescent="0.25">
      <c r="B99" s="66"/>
    </row>
  </sheetData>
  <mergeCells count="2">
    <mergeCell ref="F6:J6"/>
    <mergeCell ref="A63:O63"/>
  </mergeCells>
  <hyperlinks>
    <hyperlink ref="B16" r:id="rId1" display="True-Up Provision (Order No. PSC-09-0759-FOF-EI)" xr:uid="{9BB49D62-267C-4DA5-A639-301F2707B331}"/>
  </hyperlinks>
  <pageMargins left="0.5" right="0.5" top="1" bottom="0.75" header="0.55000000000000004" footer="0.3"/>
  <pageSetup scale="54" fitToHeight="0" orientation="landscape" r:id="rId2"/>
  <headerFooter alignWithMargins="0">
    <oddHeader>&amp;C&amp;"Arial,Regular"&amp;8GULF POWER COMPANY
 ENVIRONMENTAL COST RECOVERY CLAUSE
 CALCULATION OF THE ACTUAL / ESTIMATED TRUE-UP AMOUNT FOR THE PERIOD&amp;R&amp;"Arial,Regular"&amp;8REVISED FORM 42-2E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63F2-67C2-476F-9F23-1D6E9DAFE1D6}">
  <sheetPr transitionEvaluation="1" transitionEntry="1"/>
  <dimension ref="A1:XFD162"/>
  <sheetViews>
    <sheetView showGridLines="0" defaultGridColor="0" view="pageBreakPreview" topLeftCell="D1" colorId="8" zoomScale="85" zoomScaleNormal="100" zoomScaleSheetLayoutView="85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8.75" style="1" customWidth="1"/>
    <col min="4" max="4" width="13" style="1" customWidth="1"/>
    <col min="5" max="5" width="11.25" style="1" customWidth="1"/>
    <col min="6" max="12" width="11.58203125" style="1" customWidth="1"/>
    <col min="13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7.75" style="1" bestFit="1" customWidth="1"/>
    <col min="21" max="21" width="12.33203125" style="1" bestFit="1" customWidth="1"/>
    <col min="22" max="22" width="9.08203125" style="1" bestFit="1" customWidth="1"/>
    <col min="23" max="23" width="11.58203125" style="1"/>
    <col min="24" max="36" width="9.33203125" style="1" bestFit="1" customWidth="1"/>
    <col min="37" max="16384" width="11.58203125" style="1"/>
  </cols>
  <sheetData>
    <row r="1" spans="1:22" ht="13" x14ac:dyDescent="0.3">
      <c r="Q1" s="2"/>
    </row>
    <row r="2" spans="1:22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13</v>
      </c>
    </row>
    <row r="3" spans="1:22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2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2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2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2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2" x14ac:dyDescent="0.25">
      <c r="A8" s="211" t="s">
        <v>330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2" hidden="1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</row>
    <row r="10" spans="1:22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2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2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2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2" x14ac:dyDescent="0.25">
      <c r="A14" s="13">
        <v>1</v>
      </c>
      <c r="B14" s="23" t="s">
        <v>261</v>
      </c>
      <c r="C14" s="13"/>
    </row>
    <row r="15" spans="1:22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  <c r="U15" s="13"/>
      <c r="V15" s="13"/>
    </row>
    <row r="16" spans="1:22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  <c r="U16" s="5"/>
      <c r="V16" s="5"/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284621.74</v>
      </c>
      <c r="O17" s="1">
        <v>0</v>
      </c>
      <c r="P17" s="1">
        <v>0</v>
      </c>
      <c r="Q17" s="1">
        <f>SUM(E17:P17)</f>
        <v>284621.74</v>
      </c>
    </row>
    <row r="18" spans="1:16384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ref="Q18:Q20" si="0">SUM(E18:P18)</f>
        <v>0</v>
      </c>
    </row>
    <row r="19" spans="1:16384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314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-134738.16043333334</v>
      </c>
      <c r="O20" s="1">
        <v>0</v>
      </c>
      <c r="P20" s="1">
        <v>0</v>
      </c>
      <c r="Q20" s="1">
        <f t="shared" si="0"/>
        <v>-134738.16043333334</v>
      </c>
    </row>
    <row r="21" spans="1:16384" x14ac:dyDescent="0.25">
      <c r="A21" s="13">
        <v>2</v>
      </c>
      <c r="B21" s="23" t="s">
        <v>272</v>
      </c>
      <c r="C21" s="13"/>
      <c r="D21" s="1">
        <v>284621.74</v>
      </c>
      <c r="E21" s="1">
        <f t="shared" ref="E21:P21" si="1">D21+E16-E17</f>
        <v>284621.74</v>
      </c>
      <c r="F21" s="1">
        <f t="shared" si="1"/>
        <v>284621.74</v>
      </c>
      <c r="G21" s="1">
        <f t="shared" si="1"/>
        <v>284621.74</v>
      </c>
      <c r="H21" s="1">
        <f t="shared" si="1"/>
        <v>284621.74</v>
      </c>
      <c r="I21" s="1">
        <f t="shared" si="1"/>
        <v>284621.74</v>
      </c>
      <c r="J21" s="1">
        <f t="shared" si="1"/>
        <v>284621.74</v>
      </c>
      <c r="K21" s="1">
        <f t="shared" si="1"/>
        <v>284621.74</v>
      </c>
      <c r="L21" s="1">
        <f t="shared" si="1"/>
        <v>284621.74</v>
      </c>
      <c r="M21" s="1">
        <f t="shared" si="1"/>
        <v>284621.74</v>
      </c>
      <c r="N21" s="1">
        <f t="shared" si="1"/>
        <v>0</v>
      </c>
      <c r="O21" s="1">
        <f t="shared" si="1"/>
        <v>0</v>
      </c>
      <c r="P21" s="1">
        <f t="shared" si="1"/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1:16384" x14ac:dyDescent="0.25">
      <c r="A22" s="13">
        <v>3</v>
      </c>
      <c r="B22" s="23" t="s">
        <v>273</v>
      </c>
      <c r="C22" s="13"/>
      <c r="D22" s="21">
        <v>-140870.54566769188</v>
      </c>
      <c r="E22" s="1">
        <f t="shared" ref="E22:L22" si="2">D22-E34-E35-E36+E17+E18-E19</f>
        <v>-141819.28479153782</v>
      </c>
      <c r="F22" s="1">
        <f t="shared" si="2"/>
        <v>-142768.02391538376</v>
      </c>
      <c r="G22" s="1">
        <f t="shared" si="2"/>
        <v>-143716.7630392297</v>
      </c>
      <c r="H22" s="1">
        <f t="shared" si="2"/>
        <v>-144665.50216307564</v>
      </c>
      <c r="I22" s="1">
        <f t="shared" si="2"/>
        <v>-145614.24128692158</v>
      </c>
      <c r="J22" s="1">
        <f t="shared" si="2"/>
        <v>-146562.98041076752</v>
      </c>
      <c r="K22" s="1">
        <f t="shared" si="2"/>
        <v>-147511.71953461345</v>
      </c>
      <c r="L22" s="1">
        <f t="shared" si="2"/>
        <v>-148460.45865845939</v>
      </c>
      <c r="M22" s="1">
        <f>L22-M34-M35-M36+M17+M18-M19</f>
        <v>-149409.19778230533</v>
      </c>
      <c r="N22" s="1">
        <f>M22-N34-N35-N36+N17+N18-N19+N20</f>
        <v>1.2222438352182508E-2</v>
      </c>
      <c r="O22" s="1">
        <f>N22-O34-O35-O36+O17+O18-O19</f>
        <v>1.2222438352182508E-2</v>
      </c>
      <c r="P22" s="1">
        <f>O22-P34-P35-P36+P17+P18-P19</f>
        <v>1.2222438352182508E-2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134738.16043333334</v>
      </c>
      <c r="O23" s="1">
        <f>N23</f>
        <v>134738.16043333334</v>
      </c>
      <c r="P23" s="1">
        <f>O23</f>
        <v>134738.16043333334</v>
      </c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99">
        <v>0</v>
      </c>
      <c r="E24" s="199">
        <f t="shared" ref="E24:P24" si="3">D24+E15-E16</f>
        <v>0</v>
      </c>
      <c r="F24" s="199">
        <f t="shared" si="3"/>
        <v>0</v>
      </c>
      <c r="G24" s="199">
        <f t="shared" si="3"/>
        <v>0</v>
      </c>
      <c r="H24" s="199">
        <f t="shared" si="3"/>
        <v>0</v>
      </c>
      <c r="I24" s="199">
        <f t="shared" si="3"/>
        <v>0</v>
      </c>
      <c r="J24" s="199">
        <f t="shared" si="3"/>
        <v>0</v>
      </c>
      <c r="K24" s="199">
        <f t="shared" si="3"/>
        <v>0</v>
      </c>
      <c r="L24" s="199">
        <f t="shared" si="3"/>
        <v>0</v>
      </c>
      <c r="M24" s="199">
        <f t="shared" si="3"/>
        <v>0</v>
      </c>
      <c r="N24" s="199">
        <f t="shared" si="3"/>
        <v>0</v>
      </c>
      <c r="O24" s="199">
        <f t="shared" si="3"/>
        <v>0</v>
      </c>
      <c r="P24" s="199">
        <f t="shared" si="3"/>
        <v>0</v>
      </c>
      <c r="X24" s="1">
        <f>SUM(Y24:AJ24)</f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</row>
    <row r="25" spans="1:16384" x14ac:dyDescent="0.25">
      <c r="A25" s="13">
        <v>5</v>
      </c>
      <c r="B25" s="23" t="s">
        <v>275</v>
      </c>
      <c r="C25" s="13"/>
      <c r="D25" s="199">
        <f t="shared" ref="D25:P25" si="4">SUM(D21:D24)</f>
        <v>143751.19433230811</v>
      </c>
      <c r="E25" s="199">
        <f t="shared" si="4"/>
        <v>142802.45520846217</v>
      </c>
      <c r="F25" s="199">
        <f t="shared" si="4"/>
        <v>141853.71608461623</v>
      </c>
      <c r="G25" s="199">
        <f t="shared" si="4"/>
        <v>140904.97696077029</v>
      </c>
      <c r="H25" s="199">
        <f t="shared" si="4"/>
        <v>139956.23783692435</v>
      </c>
      <c r="I25" s="199">
        <f t="shared" si="4"/>
        <v>139007.49871307841</v>
      </c>
      <c r="J25" s="199">
        <f t="shared" si="4"/>
        <v>138058.75958923248</v>
      </c>
      <c r="K25" s="199">
        <f t="shared" si="4"/>
        <v>137110.02046538654</v>
      </c>
      <c r="L25" s="199">
        <f t="shared" si="4"/>
        <v>136161.2813415406</v>
      </c>
      <c r="M25" s="199">
        <f t="shared" si="4"/>
        <v>135212.54221769466</v>
      </c>
      <c r="N25" s="199">
        <f t="shared" si="4"/>
        <v>134738.17265577169</v>
      </c>
      <c r="O25" s="199">
        <f t="shared" si="4"/>
        <v>134738.17265577169</v>
      </c>
      <c r="P25" s="199">
        <f t="shared" si="4"/>
        <v>134738.17265577169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143276.82477038514</v>
      </c>
      <c r="F27" s="1">
        <f t="shared" ref="F27:P27" si="5">(E25+F25)/2</f>
        <v>142328.0856465392</v>
      </c>
      <c r="G27" s="1">
        <f t="shared" si="5"/>
        <v>141379.34652269326</v>
      </c>
      <c r="H27" s="1">
        <f t="shared" si="5"/>
        <v>140430.60739884732</v>
      </c>
      <c r="I27" s="1">
        <f t="shared" si="5"/>
        <v>139481.86827500138</v>
      </c>
      <c r="J27" s="1">
        <f t="shared" si="5"/>
        <v>138533.12915115544</v>
      </c>
      <c r="K27" s="1">
        <f t="shared" si="5"/>
        <v>137584.39002730951</v>
      </c>
      <c r="L27" s="1">
        <f t="shared" si="5"/>
        <v>136635.65090346357</v>
      </c>
      <c r="M27" s="1">
        <f t="shared" si="5"/>
        <v>135686.91177961763</v>
      </c>
      <c r="N27" s="1">
        <f t="shared" si="5"/>
        <v>134975.35743673317</v>
      </c>
      <c r="O27" s="1">
        <f t="shared" si="5"/>
        <v>134738.17265577169</v>
      </c>
      <c r="P27" s="1">
        <f t="shared" si="5"/>
        <v>134738.17265577169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659.64650124285311</v>
      </c>
      <c r="F30" s="1">
        <v>655.27850631666638</v>
      </c>
      <c r="G30" s="1">
        <v>650.91051139047966</v>
      </c>
      <c r="H30" s="1">
        <v>646.54251646429304</v>
      </c>
      <c r="I30" s="1">
        <v>642.17452153810632</v>
      </c>
      <c r="J30" s="1">
        <v>637.80652661191959</v>
      </c>
      <c r="K30" s="1">
        <v>658.89164384078515</v>
      </c>
      <c r="L30" s="1">
        <v>654.34813217668705</v>
      </c>
      <c r="M30" s="1">
        <v>649.80462051258883</v>
      </c>
      <c r="N30" s="1">
        <v>646.39698676451519</v>
      </c>
      <c r="O30" s="1">
        <v>645.26110884849061</v>
      </c>
      <c r="P30" s="1">
        <v>645.26110884849061</v>
      </c>
      <c r="Q30" s="1">
        <f>SUM(E30:P30)</f>
        <v>7792.3226845558765</v>
      </c>
    </row>
    <row r="31" spans="1:16384" x14ac:dyDescent="0.25">
      <c r="A31" s="200"/>
      <c r="B31" s="23" t="s">
        <v>264</v>
      </c>
      <c r="C31" s="23" t="s">
        <v>279</v>
      </c>
      <c r="E31" s="1">
        <v>166.48767038318755</v>
      </c>
      <c r="F31" s="1">
        <v>165.38523552127856</v>
      </c>
      <c r="G31" s="1">
        <v>164.28280065936957</v>
      </c>
      <c r="H31" s="1">
        <v>163.18036579746061</v>
      </c>
      <c r="I31" s="1">
        <v>162.07793093555162</v>
      </c>
      <c r="J31" s="1">
        <v>160.97549607364263</v>
      </c>
      <c r="K31" s="1">
        <v>144.32602513864768</v>
      </c>
      <c r="L31" s="1">
        <v>143.33079779773328</v>
      </c>
      <c r="M31" s="1">
        <v>142.33557045681889</v>
      </c>
      <c r="N31" s="1">
        <v>141.58914995113309</v>
      </c>
      <c r="O31" s="1">
        <v>141.34034311590452</v>
      </c>
      <c r="P31" s="1">
        <v>141.34034311590452</v>
      </c>
      <c r="Q31" s="1">
        <f>SUM(E31:P31)</f>
        <v>1836.6517289466326</v>
      </c>
    </row>
    <row r="32" spans="1:16384" x14ac:dyDescent="0.25">
      <c r="A32" s="200"/>
      <c r="B32" s="202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E34" s="1">
        <v>948.73912384594189</v>
      </c>
      <c r="F34" s="1">
        <v>948.73912384594189</v>
      </c>
      <c r="G34" s="1">
        <v>948.73912384594189</v>
      </c>
      <c r="H34" s="1">
        <v>948.73912384594189</v>
      </c>
      <c r="I34" s="1">
        <v>948.73912384594189</v>
      </c>
      <c r="J34" s="1">
        <v>948.73912384594189</v>
      </c>
      <c r="K34" s="1">
        <v>948.73912384594189</v>
      </c>
      <c r="L34" s="1">
        <v>948.73912384594189</v>
      </c>
      <c r="M34" s="1">
        <v>948.73912384594189</v>
      </c>
      <c r="N34" s="1">
        <v>474.36956192297095</v>
      </c>
      <c r="O34" s="1">
        <v>0</v>
      </c>
      <c r="P34" s="1">
        <v>0</v>
      </c>
      <c r="Q34" s="1">
        <f>SUM(E34:P34)</f>
        <v>9013.0216765364494</v>
      </c>
    </row>
    <row r="35" spans="1:17" x14ac:dyDescent="0.25">
      <c r="A35" s="200"/>
      <c r="B35" s="23" t="s">
        <v>264</v>
      </c>
      <c r="C35" s="23" t="s">
        <v>282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268</v>
      </c>
      <c r="C37" s="23" t="s">
        <v>284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SUM(E37:P37)</f>
        <v>0</v>
      </c>
    </row>
    <row r="38" spans="1:17" x14ac:dyDescent="0.25">
      <c r="A38" s="200"/>
      <c r="B38" s="23" t="s">
        <v>270</v>
      </c>
      <c r="C38" s="23" t="s">
        <v>285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f>SUM(E38:P38)</f>
        <v>0</v>
      </c>
    </row>
    <row r="39" spans="1:17" x14ac:dyDescent="0.25">
      <c r="A39" s="200"/>
      <c r="B39" s="202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1774.8732954719826</v>
      </c>
      <c r="F40" s="1">
        <f t="shared" ref="F40:P40" si="6">SUM(F30:F38)</f>
        <v>1769.4028656838868</v>
      </c>
      <c r="G40" s="1">
        <f t="shared" si="6"/>
        <v>1763.9324358957911</v>
      </c>
      <c r="H40" s="1">
        <f t="shared" si="6"/>
        <v>1758.4620061076955</v>
      </c>
      <c r="I40" s="1">
        <f t="shared" si="6"/>
        <v>1752.9915763196</v>
      </c>
      <c r="J40" s="1">
        <f t="shared" si="6"/>
        <v>1747.5211465315042</v>
      </c>
      <c r="K40" s="1">
        <f t="shared" si="6"/>
        <v>1751.9567928253746</v>
      </c>
      <c r="L40" s="1">
        <f t="shared" si="6"/>
        <v>1746.4180538203623</v>
      </c>
      <c r="M40" s="1">
        <f t="shared" si="6"/>
        <v>1740.8793148153495</v>
      </c>
      <c r="N40" s="1">
        <f t="shared" si="6"/>
        <v>1262.3556986386193</v>
      </c>
      <c r="O40" s="1">
        <f t="shared" si="6"/>
        <v>786.6014519643951</v>
      </c>
      <c r="P40" s="1">
        <f t="shared" si="6"/>
        <v>786.6014519643951</v>
      </c>
      <c r="Q40" s="1">
        <f>SUM(E40:P40)</f>
        <v>18641.996090038952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136.52871503630635</v>
      </c>
      <c r="F41" s="1">
        <f t="shared" ref="F41:P41" si="7">F40*1/13</f>
        <v>136.10791274491436</v>
      </c>
      <c r="G41" s="1">
        <f t="shared" si="7"/>
        <v>135.68711045352239</v>
      </c>
      <c r="H41" s="1">
        <f t="shared" si="7"/>
        <v>135.26630816213043</v>
      </c>
      <c r="I41" s="1">
        <f t="shared" si="7"/>
        <v>134.84550587073846</v>
      </c>
      <c r="J41" s="1">
        <f t="shared" si="7"/>
        <v>134.42470357934647</v>
      </c>
      <c r="K41" s="1">
        <f t="shared" si="7"/>
        <v>134.76590714041342</v>
      </c>
      <c r="L41" s="1">
        <f t="shared" si="7"/>
        <v>134.33985029387401</v>
      </c>
      <c r="M41" s="1">
        <f t="shared" si="7"/>
        <v>133.91379344733457</v>
      </c>
      <c r="N41" s="1">
        <f t="shared" si="7"/>
        <v>97.104284510663021</v>
      </c>
      <c r="O41" s="1">
        <f t="shared" si="7"/>
        <v>60.507803997261163</v>
      </c>
      <c r="P41" s="1">
        <f t="shared" si="7"/>
        <v>60.507803997261163</v>
      </c>
      <c r="Q41" s="1">
        <f>SUM(E41:P41)</f>
        <v>1433.9996992337656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E40-E41</f>
        <v>1638.3445804356763</v>
      </c>
      <c r="F42" s="1">
        <f t="shared" si="8"/>
        <v>1633.2949529389725</v>
      </c>
      <c r="G42" s="1">
        <f t="shared" si="8"/>
        <v>1628.2453254422687</v>
      </c>
      <c r="H42" s="1">
        <f t="shared" si="8"/>
        <v>1623.1956979455651</v>
      </c>
      <c r="I42" s="1">
        <f t="shared" si="8"/>
        <v>1618.1460704488616</v>
      </c>
      <c r="J42" s="1">
        <f t="shared" si="8"/>
        <v>1613.0964429521578</v>
      </c>
      <c r="K42" s="1">
        <f t="shared" si="8"/>
        <v>1617.1908856849611</v>
      </c>
      <c r="L42" s="1">
        <f t="shared" si="8"/>
        <v>1612.0782035264883</v>
      </c>
      <c r="M42" s="1">
        <f t="shared" si="8"/>
        <v>1606.9655213680148</v>
      </c>
      <c r="N42" s="1">
        <f t="shared" si="8"/>
        <v>1165.2514141279562</v>
      </c>
      <c r="O42" s="1">
        <f t="shared" si="8"/>
        <v>726.09364796713396</v>
      </c>
      <c r="P42" s="1">
        <f t="shared" si="8"/>
        <v>726.09364796713396</v>
      </c>
      <c r="Q42" s="1">
        <f>SUM(E42:P42)</f>
        <v>17207.996390805187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136.69254949434992</v>
      </c>
      <c r="F47" s="1">
        <v>136.27124224020827</v>
      </c>
      <c r="G47" s="1">
        <v>135.84993498606664</v>
      </c>
      <c r="H47" s="1">
        <v>135.42862773192499</v>
      </c>
      <c r="I47" s="1">
        <v>135.00732047778337</v>
      </c>
      <c r="J47" s="1">
        <v>134.58601322364169</v>
      </c>
      <c r="K47" s="1">
        <v>134.92762622898192</v>
      </c>
      <c r="L47" s="1">
        <v>134.50105811422668</v>
      </c>
      <c r="M47" s="1">
        <v>134.07448999947138</v>
      </c>
      <c r="N47" s="1">
        <v>97.220809652075829</v>
      </c>
      <c r="O47" s="1">
        <v>60.580413362057882</v>
      </c>
      <c r="P47" s="1">
        <v>60.580413362057882</v>
      </c>
      <c r="Q47" s="1">
        <f>SUM(E47:P47)</f>
        <v>1435.7204988728465</v>
      </c>
    </row>
    <row r="48" spans="1:17" x14ac:dyDescent="0.25">
      <c r="A48" s="13">
        <v>13</v>
      </c>
      <c r="B48" s="23" t="s">
        <v>290</v>
      </c>
      <c r="E48" s="199">
        <f>E42*E45</f>
        <v>1593.0323928711928</v>
      </c>
      <c r="F48" s="199">
        <f t="shared" ref="F48:P48" si="9">F42*F45</f>
        <v>1588.1224244370535</v>
      </c>
      <c r="G48" s="199">
        <f t="shared" si="9"/>
        <v>1583.2124560029142</v>
      </c>
      <c r="H48" s="199">
        <f t="shared" si="9"/>
        <v>1578.3024875687752</v>
      </c>
      <c r="I48" s="199">
        <f t="shared" si="9"/>
        <v>1573.3925191346364</v>
      </c>
      <c r="J48" s="199">
        <f t="shared" si="9"/>
        <v>1568.4825507004971</v>
      </c>
      <c r="K48" s="199">
        <f t="shared" si="9"/>
        <v>1572.4637522023065</v>
      </c>
      <c r="L48" s="199">
        <f t="shared" si="9"/>
        <v>1567.4924730280952</v>
      </c>
      <c r="M48" s="199">
        <f t="shared" si="9"/>
        <v>1562.5211938538832</v>
      </c>
      <c r="N48" s="199">
        <f t="shared" si="9"/>
        <v>1133.0237061919952</v>
      </c>
      <c r="O48" s="199">
        <f t="shared" si="9"/>
        <v>706.01185811721257</v>
      </c>
      <c r="P48" s="199">
        <f t="shared" si="9"/>
        <v>706.01185811721257</v>
      </c>
      <c r="Q48" s="199">
        <f>SUM(E48:P48)</f>
        <v>16732.069672225771</v>
      </c>
    </row>
    <row r="49" spans="1:17" ht="13" thickBot="1" x14ac:dyDescent="0.3">
      <c r="A49" s="13">
        <v>14</v>
      </c>
      <c r="B49" s="23" t="s">
        <v>291</v>
      </c>
      <c r="E49" s="204">
        <f t="shared" ref="E49:Q49" si="10">E47+E48</f>
        <v>1729.7249423655426</v>
      </c>
      <c r="F49" s="204">
        <f t="shared" si="10"/>
        <v>1724.3936666772618</v>
      </c>
      <c r="G49" s="204">
        <f t="shared" si="10"/>
        <v>1719.062390988981</v>
      </c>
      <c r="H49" s="204">
        <f t="shared" si="10"/>
        <v>1713.7311153007001</v>
      </c>
      <c r="I49" s="204">
        <f t="shared" si="10"/>
        <v>1708.3998396124198</v>
      </c>
      <c r="J49" s="204">
        <f t="shared" si="10"/>
        <v>1703.0685639241387</v>
      </c>
      <c r="K49" s="204">
        <f t="shared" si="10"/>
        <v>1707.3913784312886</v>
      </c>
      <c r="L49" s="204">
        <f t="shared" si="10"/>
        <v>1701.9935311423219</v>
      </c>
      <c r="M49" s="204">
        <f t="shared" si="10"/>
        <v>1696.5956838533546</v>
      </c>
      <c r="N49" s="204">
        <f t="shared" si="10"/>
        <v>1230.244515844071</v>
      </c>
      <c r="O49" s="204">
        <f t="shared" si="10"/>
        <v>766.59227147927049</v>
      </c>
      <c r="P49" s="204">
        <f t="shared" si="10"/>
        <v>766.59227147927049</v>
      </c>
      <c r="Q49" s="204">
        <f t="shared" si="10"/>
        <v>18167.790171098619</v>
      </c>
    </row>
    <row r="50" spans="1:17" ht="13" thickTop="1" x14ac:dyDescent="0.25">
      <c r="A50" s="200"/>
      <c r="B50" s="200"/>
    </row>
    <row r="51" spans="1:17" x14ac:dyDescent="0.25">
      <c r="A51" s="210" t="s">
        <v>76</v>
      </c>
      <c r="B51" s="13"/>
    </row>
    <row r="52" spans="1:17" x14ac:dyDescent="0.25">
      <c r="A52" s="23" t="s">
        <v>168</v>
      </c>
      <c r="B52" s="23" t="s">
        <v>292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23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x14ac:dyDescent="0.25">
      <c r="A61" s="11" t="s">
        <v>307</v>
      </c>
      <c r="B61" s="23" t="s">
        <v>308</v>
      </c>
    </row>
    <row r="62" spans="1:17" ht="13" x14ac:dyDescent="0.3">
      <c r="A62" s="11" t="s">
        <v>309</v>
      </c>
      <c r="B62" s="23" t="s">
        <v>310</v>
      </c>
      <c r="Q62" s="226"/>
    </row>
    <row r="63" spans="1:17" x14ac:dyDescent="0.25">
      <c r="Q63" s="16"/>
    </row>
    <row r="64" spans="1:17" ht="13" x14ac:dyDescent="0.3">
      <c r="B64" s="187"/>
      <c r="C64" s="188"/>
      <c r="D64" s="188"/>
      <c r="E64" s="188"/>
      <c r="F64" s="188"/>
      <c r="G64" s="188"/>
      <c r="H64" s="187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188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23"/>
    </row>
    <row r="71" spans="1:17" x14ac:dyDescent="0.25">
      <c r="B71" s="206"/>
      <c r="C71" s="188"/>
      <c r="D71" s="188"/>
      <c r="E71" s="188"/>
      <c r="F71" s="188"/>
      <c r="G71" s="188"/>
      <c r="H71" s="10"/>
      <c r="I71" s="230"/>
    </row>
    <row r="72" spans="1:17" x14ac:dyDescent="0.25">
      <c r="B72" s="206"/>
      <c r="C72" s="188"/>
      <c r="D72" s="188"/>
      <c r="E72" s="188"/>
      <c r="F72" s="188"/>
      <c r="G72" s="188"/>
      <c r="H72" s="10"/>
      <c r="I72" s="230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2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  <c r="C86" s="13"/>
    </row>
    <row r="87" spans="1:16" x14ac:dyDescent="0.25">
      <c r="A87" s="13"/>
      <c r="B87" s="23"/>
    </row>
    <row r="88" spans="1:16" x14ac:dyDescent="0.25">
      <c r="A88" s="13"/>
      <c r="B88" s="23"/>
      <c r="C88" s="23"/>
    </row>
    <row r="89" spans="1:16" x14ac:dyDescent="0.25">
      <c r="A89" s="200"/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A91" s="200"/>
      <c r="B91" s="23"/>
      <c r="C91" s="23"/>
    </row>
    <row r="92" spans="1:16" x14ac:dyDescent="0.25">
      <c r="A92" s="200"/>
      <c r="B92" s="23"/>
      <c r="C92" s="23"/>
    </row>
    <row r="93" spans="1:16" x14ac:dyDescent="0.25">
      <c r="A93" s="200"/>
      <c r="B93" s="202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x14ac:dyDescent="0.25">
      <c r="A94" s="13"/>
      <c r="B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</row>
    <row r="99" spans="1:16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200"/>
      <c r="B100" s="202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6" x14ac:dyDescent="0.25">
      <c r="A101" s="13"/>
      <c r="B101" s="23"/>
    </row>
    <row r="102" spans="1:16" x14ac:dyDescent="0.25">
      <c r="A102" s="200"/>
      <c r="B102" s="23"/>
      <c r="C102" s="23"/>
    </row>
    <row r="103" spans="1:16" x14ac:dyDescent="0.25">
      <c r="A103" s="200"/>
      <c r="B103" s="23"/>
      <c r="C103" s="23"/>
    </row>
    <row r="104" spans="1:16" x14ac:dyDescent="0.25">
      <c r="A104" s="200"/>
      <c r="B104" s="20"/>
      <c r="C104" s="202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13"/>
      <c r="B110" s="23"/>
    </row>
    <row r="111" spans="1:16" x14ac:dyDescent="0.25">
      <c r="A111" s="200"/>
      <c r="B111" s="200"/>
    </row>
    <row r="113" spans="1:17" ht="13" x14ac:dyDescent="0.3">
      <c r="Q113" s="226"/>
    </row>
    <row r="114" spans="1:17" x14ac:dyDescent="0.25">
      <c r="Q114" s="16"/>
    </row>
    <row r="115" spans="1:17" ht="13" x14ac:dyDescent="0.3">
      <c r="B115" s="187"/>
      <c r="C115" s="188"/>
      <c r="D115" s="188"/>
      <c r="E115" s="188"/>
      <c r="F115" s="188"/>
      <c r="G115" s="188"/>
      <c r="H115" s="187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ht="13" x14ac:dyDescent="0.3">
      <c r="B118" s="186"/>
      <c r="C118" s="188"/>
      <c r="D118" s="188"/>
      <c r="E118" s="188"/>
      <c r="F118" s="188"/>
      <c r="G118" s="188"/>
      <c r="H118" s="186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B121" s="188"/>
      <c r="C121" s="188"/>
      <c r="F121" s="188"/>
      <c r="G121" s="188"/>
      <c r="H121" s="188"/>
      <c r="I121" s="23"/>
    </row>
    <row r="122" spans="1:17" x14ac:dyDescent="0.25">
      <c r="B122" s="206"/>
      <c r="C122" s="188"/>
      <c r="D122" s="188"/>
      <c r="E122" s="188"/>
      <c r="F122" s="188"/>
      <c r="G122" s="188"/>
      <c r="H122" s="10"/>
      <c r="I122" s="230"/>
    </row>
    <row r="123" spans="1:17" x14ac:dyDescent="0.25">
      <c r="B123" s="206"/>
      <c r="C123" s="188"/>
      <c r="D123" s="188"/>
      <c r="E123" s="188"/>
      <c r="F123" s="188"/>
      <c r="G123" s="188"/>
      <c r="H123" s="10"/>
      <c r="I123" s="230"/>
    </row>
    <row r="124" spans="1:17" ht="16.149999999999999" customHeight="1" x14ac:dyDescent="0.25">
      <c r="B124" s="188"/>
      <c r="C124" s="188"/>
      <c r="D124" s="188"/>
      <c r="E124" s="188"/>
      <c r="F124" s="188"/>
      <c r="G124" s="188"/>
      <c r="H124" s="188"/>
      <c r="I124" s="188"/>
    </row>
    <row r="125" spans="1:17" x14ac:dyDescent="0.25">
      <c r="A125" s="206"/>
      <c r="B125" s="206"/>
      <c r="C125" s="188"/>
      <c r="D125" s="188"/>
      <c r="E125" s="188"/>
      <c r="F125" s="188"/>
      <c r="G125" s="188"/>
      <c r="H125" s="188"/>
      <c r="I125" s="188"/>
    </row>
    <row r="126" spans="1:17" x14ac:dyDescent="0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5"/>
      <c r="B127" s="5"/>
      <c r="C127" s="5"/>
      <c r="D127" s="1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13"/>
      <c r="B128" s="23"/>
      <c r="C128" s="1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23"/>
    </row>
    <row r="134" spans="1:16" x14ac:dyDescent="0.25">
      <c r="A134" s="13"/>
      <c r="B134" s="23"/>
      <c r="C134" s="13"/>
    </row>
    <row r="135" spans="1:16" x14ac:dyDescent="0.25">
      <c r="A135" s="13"/>
      <c r="B135" s="23"/>
      <c r="C135" s="13"/>
    </row>
    <row r="136" spans="1:16" x14ac:dyDescent="0.25">
      <c r="A136" s="13"/>
      <c r="B136" s="23"/>
      <c r="C136" s="13"/>
    </row>
    <row r="137" spans="1:16" x14ac:dyDescent="0.25">
      <c r="A137" s="13"/>
      <c r="B137" s="23"/>
      <c r="C137" s="13"/>
    </row>
    <row r="138" spans="1:16" x14ac:dyDescent="0.25">
      <c r="A138" s="13"/>
      <c r="B138" s="23"/>
    </row>
    <row r="139" spans="1:16" x14ac:dyDescent="0.25">
      <c r="A139" s="13"/>
      <c r="B139" s="23"/>
      <c r="C139" s="23"/>
    </row>
    <row r="140" spans="1:16" x14ac:dyDescent="0.25">
      <c r="A140" s="200"/>
      <c r="B140" s="20"/>
    </row>
    <row r="141" spans="1:16" x14ac:dyDescent="0.25">
      <c r="A141" s="13"/>
      <c r="B141" s="23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</row>
    <row r="142" spans="1:16" x14ac:dyDescent="0.25">
      <c r="A142" s="200"/>
      <c r="B142" s="23"/>
      <c r="C142" s="23"/>
    </row>
    <row r="143" spans="1:16" x14ac:dyDescent="0.25">
      <c r="A143" s="200"/>
      <c r="B143" s="23"/>
      <c r="C143" s="23"/>
    </row>
    <row r="144" spans="1:16" x14ac:dyDescent="0.25">
      <c r="A144" s="200"/>
      <c r="B144" s="202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</row>
    <row r="145" spans="1:16" x14ac:dyDescent="0.25">
      <c r="A145" s="13"/>
      <c r="B145" s="23"/>
    </row>
    <row r="146" spans="1:16" x14ac:dyDescent="0.25">
      <c r="A146" s="200"/>
      <c r="B146" s="23"/>
      <c r="C146" s="23"/>
    </row>
    <row r="147" spans="1:16" x14ac:dyDescent="0.25">
      <c r="A147" s="200"/>
      <c r="B147" s="23"/>
      <c r="C147" s="23"/>
    </row>
    <row r="148" spans="1:16" x14ac:dyDescent="0.25">
      <c r="A148" s="200"/>
      <c r="B148" s="23"/>
      <c r="C148" s="23"/>
    </row>
    <row r="149" spans="1:16" x14ac:dyDescent="0.25">
      <c r="A149" s="200"/>
      <c r="B149" s="23"/>
      <c r="C149" s="23"/>
    </row>
    <row r="150" spans="1:16" x14ac:dyDescent="0.25">
      <c r="A150" s="200"/>
      <c r="B150" s="23"/>
      <c r="C150" s="23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</row>
    <row r="151" spans="1:16" x14ac:dyDescent="0.25">
      <c r="A151" s="200"/>
      <c r="B151" s="202"/>
      <c r="C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</row>
    <row r="152" spans="1:16" x14ac:dyDescent="0.25">
      <c r="A152" s="13"/>
      <c r="B152" s="23"/>
    </row>
    <row r="153" spans="1:16" x14ac:dyDescent="0.25">
      <c r="A153" s="200"/>
      <c r="B153" s="23"/>
      <c r="C153" s="23"/>
    </row>
    <row r="154" spans="1:16" x14ac:dyDescent="0.25">
      <c r="A154" s="200"/>
      <c r="B154" s="23"/>
      <c r="C154" s="23"/>
    </row>
    <row r="155" spans="1:16" x14ac:dyDescent="0.25">
      <c r="A155" s="200"/>
      <c r="B155" s="20"/>
      <c r="C155" s="202"/>
    </row>
    <row r="156" spans="1:16" x14ac:dyDescent="0.25">
      <c r="A156" s="13"/>
      <c r="B156" s="2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x14ac:dyDescent="0.25">
      <c r="A157" s="13"/>
      <c r="B157" s="2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</row>
    <row r="158" spans="1:16" x14ac:dyDescent="0.25">
      <c r="A158" s="13"/>
      <c r="B158" s="23"/>
      <c r="C158" s="202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1:16" x14ac:dyDescent="0.25">
      <c r="A159" s="13"/>
      <c r="B159" s="23"/>
    </row>
    <row r="160" spans="1:16" x14ac:dyDescent="0.25">
      <c r="A160" s="13"/>
      <c r="B160" s="23"/>
    </row>
    <row r="161" spans="1:2" x14ac:dyDescent="0.25">
      <c r="A161" s="13"/>
      <c r="B161" s="23"/>
    </row>
    <row r="162" spans="1:2" x14ac:dyDescent="0.25">
      <c r="A162" s="200"/>
      <c r="B162" s="200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1" manualBreakCount="1">
    <brk id="113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FB08-0E41-4D85-99FC-0F36F07C380E}">
  <sheetPr transitionEvaluation="1" transitionEntry="1"/>
  <dimension ref="A1:AF60"/>
  <sheetViews>
    <sheetView showGridLines="0" defaultGridColor="0" view="pageBreakPreview" topLeftCell="D1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1" width="3.5" style="1" customWidth="1"/>
    <col min="2" max="2" width="3.58203125" style="1" customWidth="1"/>
    <col min="3" max="3" width="40.08203125" style="1" customWidth="1"/>
    <col min="4" max="4" width="12.5" style="1" customWidth="1"/>
    <col min="5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2.08203125" style="1" bestFit="1" customWidth="1"/>
    <col min="21" max="32" width="11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14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2764378.66</v>
      </c>
      <c r="E20" s="1">
        <f t="shared" ref="E20:P20" si="0">D20+E16-E17</f>
        <v>2764378.66</v>
      </c>
      <c r="F20" s="1">
        <f t="shared" si="0"/>
        <v>2764378.66</v>
      </c>
      <c r="G20" s="1">
        <f t="shared" si="0"/>
        <v>2764378.66</v>
      </c>
      <c r="H20" s="1">
        <f t="shared" si="0"/>
        <v>2764378.66</v>
      </c>
      <c r="I20" s="1">
        <f t="shared" si="0"/>
        <v>2764378.66</v>
      </c>
      <c r="J20" s="1">
        <f t="shared" si="0"/>
        <v>2764378.66</v>
      </c>
      <c r="K20" s="1">
        <f t="shared" si="0"/>
        <v>2764378.66</v>
      </c>
      <c r="L20" s="1">
        <f t="shared" si="0"/>
        <v>2764378.66</v>
      </c>
      <c r="M20" s="1">
        <f t="shared" si="0"/>
        <v>2764378.66</v>
      </c>
      <c r="N20" s="1">
        <f t="shared" si="0"/>
        <v>2764378.66</v>
      </c>
      <c r="O20" s="1">
        <f t="shared" si="0"/>
        <v>2764378.66</v>
      </c>
      <c r="P20" s="1">
        <f t="shared" si="0"/>
        <v>2764378.66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-2186795.1874276274</v>
      </c>
      <c r="E21" s="1">
        <f t="shared" ref="E21:P21" si="1">D21-E32-E33-E34+E17+E18-E19</f>
        <v>-2197622.3372714398</v>
      </c>
      <c r="F21" s="1">
        <f t="shared" si="1"/>
        <v>-2208449.4871152523</v>
      </c>
      <c r="G21" s="1">
        <f t="shared" si="1"/>
        <v>-2219276.6369590648</v>
      </c>
      <c r="H21" s="1">
        <f t="shared" si="1"/>
        <v>-2230103.7868028772</v>
      </c>
      <c r="I21" s="1">
        <f t="shared" si="1"/>
        <v>-2240930.9366466897</v>
      </c>
      <c r="J21" s="1">
        <f t="shared" si="1"/>
        <v>-2251758.0864905021</v>
      </c>
      <c r="K21" s="1">
        <f t="shared" si="1"/>
        <v>-2262585.2363343146</v>
      </c>
      <c r="L21" s="1">
        <f t="shared" si="1"/>
        <v>-2273412.386178127</v>
      </c>
      <c r="M21" s="1">
        <f t="shared" si="1"/>
        <v>-2284239.5360219395</v>
      </c>
      <c r="N21" s="1">
        <f t="shared" si="1"/>
        <v>-2295066.6858657519</v>
      </c>
      <c r="O21" s="1">
        <f t="shared" si="1"/>
        <v>-2305893.8357095644</v>
      </c>
      <c r="P21" s="1">
        <f t="shared" si="1"/>
        <v>-2316720.9855533768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577583.47257237276</v>
      </c>
      <c r="E23" s="199">
        <f t="shared" si="3"/>
        <v>566756.32272856031</v>
      </c>
      <c r="F23" s="199">
        <f t="shared" si="3"/>
        <v>555929.17288474785</v>
      </c>
      <c r="G23" s="199">
        <f t="shared" si="3"/>
        <v>545102.0230409354</v>
      </c>
      <c r="H23" s="199">
        <f t="shared" si="3"/>
        <v>534274.87319712294</v>
      </c>
      <c r="I23" s="199">
        <f t="shared" si="3"/>
        <v>523447.72335331049</v>
      </c>
      <c r="J23" s="199">
        <f t="shared" si="3"/>
        <v>512620.57350949803</v>
      </c>
      <c r="K23" s="199">
        <f t="shared" si="3"/>
        <v>501793.42366568558</v>
      </c>
      <c r="L23" s="199">
        <f t="shared" si="3"/>
        <v>490966.27382187312</v>
      </c>
      <c r="M23" s="199">
        <f t="shared" si="3"/>
        <v>480139.12397806067</v>
      </c>
      <c r="N23" s="199">
        <f t="shared" si="3"/>
        <v>469311.97413424822</v>
      </c>
      <c r="O23" s="199">
        <f t="shared" si="3"/>
        <v>458484.82429043576</v>
      </c>
      <c r="P23" s="199">
        <f t="shared" si="3"/>
        <v>447657.67444662331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572169.89765046653</v>
      </c>
      <c r="F25" s="1">
        <f t="shared" ref="F25:P25" si="4">(E23+F23)/2</f>
        <v>561342.74780665408</v>
      </c>
      <c r="G25" s="1">
        <f t="shared" si="4"/>
        <v>550515.59796284162</v>
      </c>
      <c r="H25" s="1">
        <f t="shared" si="4"/>
        <v>539688.44811902917</v>
      </c>
      <c r="I25" s="1">
        <f t="shared" si="4"/>
        <v>528861.29827521672</v>
      </c>
      <c r="J25" s="1">
        <f t="shared" si="4"/>
        <v>518034.14843140426</v>
      </c>
      <c r="K25" s="1">
        <f t="shared" si="4"/>
        <v>507206.99858759181</v>
      </c>
      <c r="L25" s="1">
        <f t="shared" si="4"/>
        <v>496379.84874377935</v>
      </c>
      <c r="M25" s="1">
        <f t="shared" si="4"/>
        <v>485552.6988999669</v>
      </c>
      <c r="N25" s="1">
        <f t="shared" si="4"/>
        <v>474725.54905615444</v>
      </c>
      <c r="O25" s="1">
        <f t="shared" si="4"/>
        <v>463898.39921234199</v>
      </c>
      <c r="P25" s="1">
        <f t="shared" si="4"/>
        <v>453071.24936852953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2634.2702087827479</v>
      </c>
      <c r="F28" s="1">
        <v>2584.4220109018352</v>
      </c>
      <c r="G28" s="1">
        <v>2534.5738130209224</v>
      </c>
      <c r="H28" s="1">
        <v>2484.7256151400102</v>
      </c>
      <c r="I28" s="1">
        <v>2434.8774172590975</v>
      </c>
      <c r="J28" s="1">
        <v>2385.0292193781852</v>
      </c>
      <c r="K28" s="1">
        <v>2429.0143162359773</v>
      </c>
      <c r="L28" s="1">
        <v>2377.1630956339591</v>
      </c>
      <c r="M28" s="1">
        <v>2325.3118750319413</v>
      </c>
      <c r="N28" s="1">
        <v>2273.4606544299236</v>
      </c>
      <c r="O28" s="1">
        <v>2221.6094338279058</v>
      </c>
      <c r="P28" s="1">
        <v>2169.7582132258881</v>
      </c>
      <c r="Q28" s="1">
        <f>SUM(E28:P28)</f>
        <v>28854.215872868393</v>
      </c>
    </row>
    <row r="29" spans="1:32" x14ac:dyDescent="0.25">
      <c r="A29" s="200"/>
      <c r="B29" s="23" t="s">
        <v>264</v>
      </c>
      <c r="C29" s="23" t="s">
        <v>279</v>
      </c>
      <c r="E29" s="1">
        <v>664.86142106984209</v>
      </c>
      <c r="F29" s="1">
        <v>652.28027295133211</v>
      </c>
      <c r="G29" s="1">
        <v>639.69912483282201</v>
      </c>
      <c r="H29" s="1">
        <v>627.11797671431191</v>
      </c>
      <c r="I29" s="1">
        <v>614.53682859580181</v>
      </c>
      <c r="J29" s="1">
        <v>601.95568047729182</v>
      </c>
      <c r="K29" s="1">
        <v>532.06014151838383</v>
      </c>
      <c r="L29" s="1">
        <v>520.70246133222452</v>
      </c>
      <c r="M29" s="1">
        <v>509.34478114606526</v>
      </c>
      <c r="N29" s="1">
        <v>497.987100959906</v>
      </c>
      <c r="O29" s="1">
        <v>486.62942077374674</v>
      </c>
      <c r="P29" s="1">
        <v>475.27174058758749</v>
      </c>
      <c r="Q29" s="1">
        <f>SUM(E29:P29)</f>
        <v>6822.4469509593155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10827.149843812622</v>
      </c>
      <c r="F32" s="1">
        <v>10827.149843812622</v>
      </c>
      <c r="G32" s="1">
        <v>10827.149843812622</v>
      </c>
      <c r="H32" s="1">
        <v>10827.149843812622</v>
      </c>
      <c r="I32" s="1">
        <v>10827.149843812622</v>
      </c>
      <c r="J32" s="1">
        <v>10827.149843812622</v>
      </c>
      <c r="K32" s="1">
        <v>10827.149843812622</v>
      </c>
      <c r="L32" s="1">
        <v>10827.149843812622</v>
      </c>
      <c r="M32" s="1">
        <v>10827.149843812622</v>
      </c>
      <c r="N32" s="1">
        <v>10827.149843812622</v>
      </c>
      <c r="O32" s="1">
        <v>10827.149843812622</v>
      </c>
      <c r="P32" s="1">
        <v>10827.149843812622</v>
      </c>
      <c r="Q32" s="1">
        <f>SUM(E32:P32)</f>
        <v>129925.79812575149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14126.281473665211</v>
      </c>
      <c r="F38" s="1">
        <f t="shared" ref="F38:P38" si="5">SUM(F28:F36)</f>
        <v>14063.852127665788</v>
      </c>
      <c r="G38" s="1">
        <f t="shared" si="5"/>
        <v>14001.422781666366</v>
      </c>
      <c r="H38" s="1">
        <f t="shared" si="5"/>
        <v>13938.993435666944</v>
      </c>
      <c r="I38" s="1">
        <f t="shared" si="5"/>
        <v>13876.564089667521</v>
      </c>
      <c r="J38" s="1">
        <f t="shared" si="5"/>
        <v>13814.134743668099</v>
      </c>
      <c r="K38" s="1">
        <f t="shared" si="5"/>
        <v>13788.224301566983</v>
      </c>
      <c r="L38" s="1">
        <f t="shared" si="5"/>
        <v>13725.015400778806</v>
      </c>
      <c r="M38" s="1">
        <f t="shared" si="5"/>
        <v>13661.806499990627</v>
      </c>
      <c r="N38" s="1">
        <f t="shared" si="5"/>
        <v>13598.597599202451</v>
      </c>
      <c r="O38" s="1">
        <f t="shared" si="5"/>
        <v>13535.388698414274</v>
      </c>
      <c r="P38" s="1">
        <f t="shared" si="5"/>
        <v>13472.179797626097</v>
      </c>
      <c r="Q38" s="1">
        <f>SUM(E38:P38)</f>
        <v>165602.46094957914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1086.6370364357854</v>
      </c>
      <c r="F39" s="1">
        <f t="shared" ref="F39:P39" si="6">F38*1/13</f>
        <v>1081.8347790512146</v>
      </c>
      <c r="G39" s="1">
        <f t="shared" si="6"/>
        <v>1077.0325216666436</v>
      </c>
      <c r="H39" s="1">
        <f t="shared" si="6"/>
        <v>1072.2302642820725</v>
      </c>
      <c r="I39" s="1">
        <f t="shared" si="6"/>
        <v>1067.4280068975017</v>
      </c>
      <c r="J39" s="1">
        <f t="shared" si="6"/>
        <v>1062.6257495129307</v>
      </c>
      <c r="K39" s="1">
        <f t="shared" si="6"/>
        <v>1060.6326385820755</v>
      </c>
      <c r="L39" s="1">
        <f t="shared" si="6"/>
        <v>1055.7704154445235</v>
      </c>
      <c r="M39" s="1">
        <f t="shared" si="6"/>
        <v>1050.9081923069714</v>
      </c>
      <c r="N39" s="1">
        <f t="shared" si="6"/>
        <v>1046.0459691694193</v>
      </c>
      <c r="O39" s="1">
        <f t="shared" si="6"/>
        <v>1041.1837460318673</v>
      </c>
      <c r="P39" s="1">
        <f t="shared" si="6"/>
        <v>1036.3215228943152</v>
      </c>
      <c r="Q39" s="1">
        <f>SUM(E39:P39)</f>
        <v>12738.650842275321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13039.64</v>
      </c>
      <c r="F40" s="1">
        <f t="shared" si="7"/>
        <v>12982.02</v>
      </c>
      <c r="G40" s="1">
        <f t="shared" si="7"/>
        <v>12924.39</v>
      </c>
      <c r="H40" s="1">
        <f t="shared" si="7"/>
        <v>12866.76</v>
      </c>
      <c r="I40" s="1">
        <f t="shared" si="7"/>
        <v>12809.14</v>
      </c>
      <c r="J40" s="1">
        <f t="shared" si="7"/>
        <v>12751.51</v>
      </c>
      <c r="K40" s="1">
        <f t="shared" si="7"/>
        <v>12727.59</v>
      </c>
      <c r="L40" s="1">
        <f t="shared" si="7"/>
        <v>12669.24</v>
      </c>
      <c r="M40" s="1">
        <f t="shared" si="7"/>
        <v>12610.9</v>
      </c>
      <c r="N40" s="1">
        <f t="shared" si="7"/>
        <v>12552.55</v>
      </c>
      <c r="O40" s="1">
        <f t="shared" si="7"/>
        <v>12494.2</v>
      </c>
      <c r="P40" s="1">
        <f t="shared" si="7"/>
        <v>12435.86</v>
      </c>
      <c r="Q40" s="1">
        <f>SUM(E40:P40)</f>
        <v>152863.79999999999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1087.9410008795085</v>
      </c>
      <c r="F45" s="1">
        <v>1083.1329807860761</v>
      </c>
      <c r="G45" s="1">
        <v>1078.3249606926436</v>
      </c>
      <c r="H45" s="1">
        <v>1073.516940599211</v>
      </c>
      <c r="I45" s="1">
        <v>1068.7089205057789</v>
      </c>
      <c r="J45" s="1">
        <v>1063.9009004123463</v>
      </c>
      <c r="K45" s="1">
        <v>1061.9053977483741</v>
      </c>
      <c r="L45" s="1">
        <v>1057.0373399430571</v>
      </c>
      <c r="M45" s="1">
        <v>1052.1692821377399</v>
      </c>
      <c r="N45" s="1">
        <v>1047.3012243324226</v>
      </c>
      <c r="O45" s="1">
        <v>1042.4331665271056</v>
      </c>
      <c r="P45" s="1">
        <v>1037.5651087217884</v>
      </c>
      <c r="Q45" s="1">
        <f>SUM(E45:P45)</f>
        <v>12753.937223286053</v>
      </c>
    </row>
    <row r="46" spans="1:17" x14ac:dyDescent="0.25">
      <c r="A46" s="13">
        <v>13</v>
      </c>
      <c r="B46" s="23" t="s">
        <v>290</v>
      </c>
      <c r="E46" s="199">
        <f>E40*E43</f>
        <v>12678.998764627999</v>
      </c>
      <c r="F46" s="199">
        <f t="shared" ref="F46:P46" si="8">F40*F43</f>
        <v>12622.972378254</v>
      </c>
      <c r="G46" s="199">
        <f t="shared" si="8"/>
        <v>12566.936268452999</v>
      </c>
      <c r="H46" s="199">
        <f t="shared" si="8"/>
        <v>12510.900158652001</v>
      </c>
      <c r="I46" s="199">
        <f t="shared" si="8"/>
        <v>12454.873772277999</v>
      </c>
      <c r="J46" s="199">
        <f t="shared" si="8"/>
        <v>12398.837662477001</v>
      </c>
      <c r="K46" s="199">
        <f t="shared" si="8"/>
        <v>12375.579225093001</v>
      </c>
      <c r="L46" s="199">
        <f t="shared" si="8"/>
        <v>12318.843028547999</v>
      </c>
      <c r="M46" s="199">
        <f t="shared" si="8"/>
        <v>12262.116555430001</v>
      </c>
      <c r="N46" s="199">
        <f t="shared" si="8"/>
        <v>12205.380358884999</v>
      </c>
      <c r="O46" s="199">
        <f t="shared" si="8"/>
        <v>12148.644162340001</v>
      </c>
      <c r="P46" s="199">
        <f t="shared" si="8"/>
        <v>12091.917689222</v>
      </c>
      <c r="Q46" s="199">
        <f>SUM(E46:P46)</f>
        <v>148636.00002425999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13766.939765507508</v>
      </c>
      <c r="F47" s="204">
        <f t="shared" si="9"/>
        <v>13706.105359040077</v>
      </c>
      <c r="G47" s="204">
        <f t="shared" si="9"/>
        <v>13645.261229145643</v>
      </c>
      <c r="H47" s="204">
        <f t="shared" si="9"/>
        <v>13584.417099251212</v>
      </c>
      <c r="I47" s="204">
        <f t="shared" si="9"/>
        <v>13523.582692783777</v>
      </c>
      <c r="J47" s="204">
        <f t="shared" si="9"/>
        <v>13462.738562889346</v>
      </c>
      <c r="K47" s="204">
        <f t="shared" si="9"/>
        <v>13437.484622841375</v>
      </c>
      <c r="L47" s="204">
        <f t="shared" si="9"/>
        <v>13375.880368491056</v>
      </c>
      <c r="M47" s="204">
        <f t="shared" si="9"/>
        <v>13314.285837567741</v>
      </c>
      <c r="N47" s="204">
        <f t="shared" si="9"/>
        <v>13252.681583217422</v>
      </c>
      <c r="O47" s="204">
        <f t="shared" si="9"/>
        <v>13191.077328867106</v>
      </c>
      <c r="P47" s="204">
        <f t="shared" si="9"/>
        <v>13129.482797943789</v>
      </c>
      <c r="Q47" s="204">
        <f t="shared" si="9"/>
        <v>161389.93724754604</v>
      </c>
    </row>
    <row r="48" spans="1:17" ht="13" thickTop="1" x14ac:dyDescent="0.25">
      <c r="B48" s="23"/>
    </row>
    <row r="49" spans="1:2" x14ac:dyDescent="0.25">
      <c r="A49" s="210" t="s">
        <v>76</v>
      </c>
      <c r="B49" s="2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11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611D-702B-49DD-ADC0-6078240502EB}">
  <sheetPr transitionEvaluation="1" transitionEntry="1"/>
  <dimension ref="A1:AF170"/>
  <sheetViews>
    <sheetView showGridLines="0" defaultGridColor="0" view="pageBreakPreview" topLeftCell="D1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2" width="3.58203125" style="1" customWidth="1"/>
    <col min="3" max="3" width="38.25" style="1" customWidth="1"/>
    <col min="4" max="4" width="12.83203125" style="1" customWidth="1"/>
    <col min="5" max="5" width="10.58203125" style="1" customWidth="1"/>
    <col min="6" max="6" width="11" style="1" customWidth="1"/>
    <col min="7" max="7" width="10.75" style="1" customWidth="1"/>
    <col min="8" max="8" width="10.83203125" style="1" customWidth="1"/>
    <col min="9" max="9" width="11" style="1" customWidth="1"/>
    <col min="10" max="10" width="11.08203125" style="1" customWidth="1"/>
    <col min="11" max="11" width="11.33203125" style="1" customWidth="1"/>
    <col min="12" max="12" width="10.83203125" style="1" customWidth="1"/>
    <col min="13" max="14" width="11" style="1" customWidth="1"/>
    <col min="15" max="15" width="11.33203125" style="1" customWidth="1"/>
    <col min="16" max="16" width="11.08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1" style="1" bestFit="1" customWidth="1"/>
    <col min="21" max="32" width="9.3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15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1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464657.67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464657.67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-7018.09</v>
      </c>
      <c r="F18" s="1">
        <v>13505</v>
      </c>
      <c r="G18" s="1">
        <v>9029.73</v>
      </c>
      <c r="H18" s="1">
        <v>7069.15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22585.79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-464657.67</v>
      </c>
      <c r="G19" s="1">
        <v>0</v>
      </c>
      <c r="H19" s="1">
        <v>0</v>
      </c>
      <c r="I19" s="1">
        <f>464657.67</f>
        <v>464657.67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f>4596.11</f>
        <v>4596.1099999999997</v>
      </c>
      <c r="F20" s="1">
        <v>0</v>
      </c>
      <c r="G20" s="1">
        <v>0</v>
      </c>
      <c r="H20" s="1">
        <v>0</v>
      </c>
      <c r="I20" s="1">
        <v>-3552.99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1043.1199999999999</v>
      </c>
    </row>
    <row r="21" spans="1:32" x14ac:dyDescent="0.25">
      <c r="A21" s="13">
        <v>2</v>
      </c>
      <c r="B21" s="23" t="s">
        <v>272</v>
      </c>
      <c r="C21" s="13"/>
      <c r="D21" s="1">
        <v>178961.88999999998</v>
      </c>
      <c r="E21" s="27">
        <f>D21+E16-E17+E19</f>
        <v>178961.88999999998</v>
      </c>
      <c r="F21" s="27">
        <f>E21+F16-F17+F19</f>
        <v>178961.88999999996</v>
      </c>
      <c r="G21" s="1">
        <f t="shared" ref="G21:P21" si="1">F21+G16-G17</f>
        <v>178961.88999999996</v>
      </c>
      <c r="H21" s="1">
        <f t="shared" si="1"/>
        <v>178961.88999999996</v>
      </c>
      <c r="I21" s="27">
        <f>H21+I16-I17+I19</f>
        <v>643619.55999999994</v>
      </c>
      <c r="J21" s="1">
        <f t="shared" si="1"/>
        <v>643619.55999999994</v>
      </c>
      <c r="K21" s="1">
        <f t="shared" si="1"/>
        <v>643619.55999999994</v>
      </c>
      <c r="L21" s="1">
        <f t="shared" si="1"/>
        <v>643619.55999999994</v>
      </c>
      <c r="M21" s="1">
        <f t="shared" si="1"/>
        <v>643619.55999999994</v>
      </c>
      <c r="N21" s="1">
        <f t="shared" si="1"/>
        <v>643619.55999999994</v>
      </c>
      <c r="O21" s="1">
        <f t="shared" si="1"/>
        <v>643619.55999999994</v>
      </c>
      <c r="P21" s="1">
        <f t="shared" si="1"/>
        <v>643619.55999999994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128006.57813973579</v>
      </c>
      <c r="E22" s="27">
        <f>D22-E33-E34-E35+E17+E18+E20</f>
        <v>124883.66406460374</v>
      </c>
      <c r="F22" s="27">
        <f>E22-F33-F34-F35+F17+F18+F20</f>
        <v>137687.73406460375</v>
      </c>
      <c r="G22" s="1">
        <f t="shared" ref="G22:P22" si="2">F22-G33-G34-G35+G17+G18-G19</f>
        <v>146016.53406460377</v>
      </c>
      <c r="H22" s="27">
        <f>G22-H33-H34-H35+H17+H18-H19</f>
        <v>152384.75406460377</v>
      </c>
      <c r="I22" s="27">
        <f>H22-I33-I34-I35+I17+I18+I20</f>
        <v>146310.92406460378</v>
      </c>
      <c r="J22" s="1">
        <f t="shared" si="2"/>
        <v>143790.08406460378</v>
      </c>
      <c r="K22" s="1">
        <f t="shared" si="2"/>
        <v>141269.24406460379</v>
      </c>
      <c r="L22" s="1">
        <f t="shared" si="2"/>
        <v>138748.40406460379</v>
      </c>
      <c r="M22" s="1">
        <f t="shared" si="2"/>
        <v>136227.56406460379</v>
      </c>
      <c r="N22" s="1">
        <f t="shared" si="2"/>
        <v>133706.7240646038</v>
      </c>
      <c r="O22" s="1">
        <f t="shared" si="2"/>
        <v>131185.8840646038</v>
      </c>
      <c r="P22" s="1">
        <f t="shared" si="2"/>
        <v>128665.0440646038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99">
        <v>464657.67</v>
      </c>
      <c r="E23" s="199">
        <f>D23+E15-E16</f>
        <v>464657.67</v>
      </c>
      <c r="F23" s="199">
        <f>E23+F15-F16</f>
        <v>0</v>
      </c>
      <c r="G23" s="199">
        <f t="shared" ref="G23:P23" si="3">F23+G15-G16</f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  <c r="Q23" s="205"/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199">
        <f t="shared" ref="D24:P24" si="4">SUM(D21:D23)</f>
        <v>771626.13813973567</v>
      </c>
      <c r="E24" s="199">
        <f t="shared" si="4"/>
        <v>768503.22406460368</v>
      </c>
      <c r="F24" s="199">
        <f t="shared" si="4"/>
        <v>316649.6240646037</v>
      </c>
      <c r="G24" s="199">
        <f t="shared" si="4"/>
        <v>324978.42406460375</v>
      </c>
      <c r="H24" s="199">
        <f t="shared" si="4"/>
        <v>331346.64406460372</v>
      </c>
      <c r="I24" s="199">
        <f t="shared" si="4"/>
        <v>789930.48406460369</v>
      </c>
      <c r="J24" s="199">
        <f t="shared" si="4"/>
        <v>787409.64406460372</v>
      </c>
      <c r="K24" s="199">
        <f t="shared" si="4"/>
        <v>784888.80406460376</v>
      </c>
      <c r="L24" s="199">
        <f t="shared" si="4"/>
        <v>782367.96406460367</v>
      </c>
      <c r="M24" s="199">
        <f t="shared" si="4"/>
        <v>779847.1240646037</v>
      </c>
      <c r="N24" s="199">
        <f t="shared" si="4"/>
        <v>777326.28406460374</v>
      </c>
      <c r="O24" s="199">
        <f t="shared" si="4"/>
        <v>774805.44406460377</v>
      </c>
      <c r="P24" s="199">
        <f t="shared" si="4"/>
        <v>772284.6040646038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770064.68110216968</v>
      </c>
      <c r="F26" s="1">
        <f t="shared" ref="F26:P26" si="5">(E24+F24)/2</f>
        <v>542576.42406460363</v>
      </c>
      <c r="G26" s="1">
        <f t="shared" si="5"/>
        <v>320814.02406460373</v>
      </c>
      <c r="H26" s="1">
        <f t="shared" si="5"/>
        <v>328162.53406460374</v>
      </c>
      <c r="I26" s="1">
        <f t="shared" si="5"/>
        <v>560638.56406460376</v>
      </c>
      <c r="J26" s="1">
        <f t="shared" si="5"/>
        <v>788670.06406460376</v>
      </c>
      <c r="K26" s="1">
        <f t="shared" si="5"/>
        <v>786149.22406460368</v>
      </c>
      <c r="L26" s="1">
        <f t="shared" si="5"/>
        <v>783628.38406460371</v>
      </c>
      <c r="M26" s="1">
        <f t="shared" si="5"/>
        <v>781107.54406460375</v>
      </c>
      <c r="N26" s="1">
        <f t="shared" si="5"/>
        <v>778586.70406460366</v>
      </c>
      <c r="O26" s="1">
        <f t="shared" si="5"/>
        <v>776065.86406460381</v>
      </c>
      <c r="P26" s="1">
        <f t="shared" si="5"/>
        <v>773545.02406460373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3545.3777917943889</v>
      </c>
      <c r="F29" s="1">
        <v>2498.021856393435</v>
      </c>
      <c r="G29" s="1">
        <v>1477.0277667934354</v>
      </c>
      <c r="H29" s="1">
        <v>1510.8603068334355</v>
      </c>
      <c r="I29" s="1">
        <v>2581.1799489534355</v>
      </c>
      <c r="J29" s="1">
        <v>3631.0369749534352</v>
      </c>
      <c r="K29" s="1">
        <v>3764.8686340453869</v>
      </c>
      <c r="L29" s="1">
        <v>3752.7963312853872</v>
      </c>
      <c r="M29" s="1">
        <v>3740.7240285253874</v>
      </c>
      <c r="N29" s="1">
        <v>3728.6517257653868</v>
      </c>
      <c r="O29" s="1">
        <v>3716.5794230053875</v>
      </c>
      <c r="P29" s="1">
        <v>3704.5071202453873</v>
      </c>
      <c r="Q29" s="1">
        <f>SUM(E29:P29)</f>
        <v>37651.631908593889</v>
      </c>
    </row>
    <row r="30" spans="1:32" x14ac:dyDescent="0.25">
      <c r="A30" s="200"/>
      <c r="B30" s="23" t="s">
        <v>264</v>
      </c>
      <c r="C30" s="23" t="s">
        <v>279</v>
      </c>
      <c r="E30" s="1">
        <v>894.81515944072123</v>
      </c>
      <c r="F30" s="1">
        <v>630.47380476306944</v>
      </c>
      <c r="G30" s="1">
        <v>372.78589596306955</v>
      </c>
      <c r="H30" s="1">
        <v>381.32486458306954</v>
      </c>
      <c r="I30" s="1">
        <v>651.46201144306963</v>
      </c>
      <c r="J30" s="1">
        <v>916.43461444306956</v>
      </c>
      <c r="K30" s="1">
        <v>824.67053604376929</v>
      </c>
      <c r="L30" s="1">
        <v>822.02617488376927</v>
      </c>
      <c r="M30" s="1">
        <v>819.38181372376937</v>
      </c>
      <c r="N30" s="1">
        <v>816.73745256376924</v>
      </c>
      <c r="O30" s="1">
        <v>814.09309140376945</v>
      </c>
      <c r="P30" s="1">
        <v>811.44873024376932</v>
      </c>
      <c r="Q30" s="1">
        <f>SUM(E30:P30)</f>
        <v>8755.654149498685</v>
      </c>
    </row>
    <row r="31" spans="1:32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700.93407513206284</v>
      </c>
      <c r="F33" s="1">
        <v>700.93</v>
      </c>
      <c r="G33" s="1">
        <v>700.93</v>
      </c>
      <c r="H33" s="1">
        <v>700.93</v>
      </c>
      <c r="I33" s="1">
        <v>2520.84</v>
      </c>
      <c r="J33" s="1">
        <v>2520.84</v>
      </c>
      <c r="K33" s="1">
        <v>2520.84</v>
      </c>
      <c r="L33" s="1">
        <v>2520.84</v>
      </c>
      <c r="M33" s="1">
        <v>2520.84</v>
      </c>
      <c r="N33" s="1">
        <v>2520.84</v>
      </c>
      <c r="O33" s="1">
        <v>2520.84</v>
      </c>
      <c r="P33" s="1">
        <v>2520.84</v>
      </c>
      <c r="Q33" s="1">
        <f>SUM(E33:P33)</f>
        <v>22970.444075132065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270</v>
      </c>
      <c r="C37" s="23" t="s">
        <v>285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5141.1270263671722</v>
      </c>
      <c r="F39" s="1">
        <f t="shared" ref="F39:P39" si="6">SUM(F29:F37)</f>
        <v>3829.4256611565042</v>
      </c>
      <c r="G39" s="1">
        <f t="shared" si="6"/>
        <v>2550.7436627565048</v>
      </c>
      <c r="H39" s="1">
        <f t="shared" si="6"/>
        <v>2593.1151714165048</v>
      </c>
      <c r="I39" s="1">
        <f t="shared" si="6"/>
        <v>5753.4819603965052</v>
      </c>
      <c r="J39" s="1">
        <f t="shared" si="6"/>
        <v>7068.311589396505</v>
      </c>
      <c r="K39" s="1">
        <f t="shared" si="6"/>
        <v>7110.3791700891561</v>
      </c>
      <c r="L39" s="1">
        <f t="shared" si="6"/>
        <v>7095.6625061691566</v>
      </c>
      <c r="M39" s="1">
        <f t="shared" si="6"/>
        <v>7080.9458422491571</v>
      </c>
      <c r="N39" s="1">
        <f t="shared" si="6"/>
        <v>7066.2291783291566</v>
      </c>
      <c r="O39" s="1">
        <f t="shared" si="6"/>
        <v>7051.5125144091571</v>
      </c>
      <c r="P39" s="1">
        <f t="shared" si="6"/>
        <v>7036.7958504891567</v>
      </c>
      <c r="Q39" s="1">
        <f>SUM(E39:P39)</f>
        <v>69377.730133224642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395.47130972055169</v>
      </c>
      <c r="F40" s="1">
        <f t="shared" ref="F40:P40" si="7">F39*1/13</f>
        <v>294.57120470434648</v>
      </c>
      <c r="G40" s="1">
        <f t="shared" si="7"/>
        <v>196.21105098126961</v>
      </c>
      <c r="H40" s="1">
        <f t="shared" si="7"/>
        <v>199.4703978012696</v>
      </c>
      <c r="I40" s="1">
        <f t="shared" si="7"/>
        <v>442.57553541511578</v>
      </c>
      <c r="J40" s="1">
        <f t="shared" si="7"/>
        <v>543.71627610742348</v>
      </c>
      <c r="K40" s="1">
        <f t="shared" si="7"/>
        <v>546.95224385301196</v>
      </c>
      <c r="L40" s="1">
        <f t="shared" si="7"/>
        <v>545.82019278224277</v>
      </c>
      <c r="M40" s="1">
        <f t="shared" si="7"/>
        <v>544.68814171147358</v>
      </c>
      <c r="N40" s="1">
        <f t="shared" si="7"/>
        <v>543.55609064070438</v>
      </c>
      <c r="O40" s="1">
        <f t="shared" si="7"/>
        <v>542.42403956993519</v>
      </c>
      <c r="P40" s="1">
        <f t="shared" si="7"/>
        <v>541.29198849916588</v>
      </c>
      <c r="Q40" s="1">
        <f>SUM(E40:P40)</f>
        <v>5336.7484717865109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4745.66</v>
      </c>
      <c r="F41" s="1">
        <f t="shared" si="8"/>
        <v>3534.85</v>
      </c>
      <c r="G41" s="1">
        <f t="shared" si="8"/>
        <v>2354.5300000000002</v>
      </c>
      <c r="H41" s="1">
        <f t="shared" si="8"/>
        <v>2393.64</v>
      </c>
      <c r="I41" s="1">
        <f t="shared" si="8"/>
        <v>5310.91</v>
      </c>
      <c r="J41" s="1">
        <f t="shared" si="8"/>
        <v>6524.6</v>
      </c>
      <c r="K41" s="1">
        <f t="shared" si="8"/>
        <v>6563.43</v>
      </c>
      <c r="L41" s="1">
        <f t="shared" si="8"/>
        <v>6549.84</v>
      </c>
      <c r="M41" s="1">
        <f t="shared" si="8"/>
        <v>6536.26</v>
      </c>
      <c r="N41" s="1">
        <f t="shared" si="8"/>
        <v>6522.67</v>
      </c>
      <c r="O41" s="1">
        <f t="shared" si="8"/>
        <v>6509.09</v>
      </c>
      <c r="P41" s="1">
        <f t="shared" si="8"/>
        <v>6495.5</v>
      </c>
      <c r="Q41" s="1">
        <f>SUM(E41:P41)</f>
        <v>64040.98000000001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395.94587529221639</v>
      </c>
      <c r="F46" s="1">
        <v>294.9246901499917</v>
      </c>
      <c r="G46" s="1">
        <v>196.44650424244716</v>
      </c>
      <c r="H46" s="1">
        <v>199.70976227863113</v>
      </c>
      <c r="I46" s="1">
        <v>443.10662605761394</v>
      </c>
      <c r="J46" s="1">
        <v>544.36873563875247</v>
      </c>
      <c r="K46" s="1">
        <v>547.6085865456356</v>
      </c>
      <c r="L46" s="1">
        <v>546.47517701358151</v>
      </c>
      <c r="M46" s="1">
        <v>545.34176748152743</v>
      </c>
      <c r="N46" s="1">
        <v>544.20835794947322</v>
      </c>
      <c r="O46" s="1">
        <v>543.07494841741914</v>
      </c>
      <c r="P46" s="1">
        <v>541.94153888536493</v>
      </c>
      <c r="Q46" s="1">
        <f>SUM(E46:P46)</f>
        <v>5343.1525699526546</v>
      </c>
    </row>
    <row r="47" spans="1:17" x14ac:dyDescent="0.25">
      <c r="A47" s="13">
        <v>13</v>
      </c>
      <c r="B47" s="23" t="s">
        <v>290</v>
      </c>
      <c r="E47" s="199">
        <f>E41*E44</f>
        <v>4614.4078576820002</v>
      </c>
      <c r="F47" s="199">
        <f t="shared" ref="F47:P47" si="9">F41*F44</f>
        <v>3437.0855930950001</v>
      </c>
      <c r="G47" s="199">
        <f t="shared" si="9"/>
        <v>2289.410057431</v>
      </c>
      <c r="H47" s="199">
        <f t="shared" si="9"/>
        <v>2327.4383804280001</v>
      </c>
      <c r="I47" s="199">
        <f t="shared" si="9"/>
        <v>5164.0245688570003</v>
      </c>
      <c r="J47" s="199">
        <f t="shared" si="9"/>
        <v>6344.14718042</v>
      </c>
      <c r="K47" s="199">
        <f t="shared" si="9"/>
        <v>6381.9032474610003</v>
      </c>
      <c r="L47" s="199">
        <f t="shared" si="9"/>
        <v>6368.6891101680003</v>
      </c>
      <c r="M47" s="199">
        <f t="shared" si="9"/>
        <v>6355.484696302</v>
      </c>
      <c r="N47" s="199">
        <f t="shared" si="9"/>
        <v>6342.270559009</v>
      </c>
      <c r="O47" s="199">
        <f t="shared" si="9"/>
        <v>6329.0661451430005</v>
      </c>
      <c r="P47" s="199">
        <f t="shared" si="9"/>
        <v>6315.8520078499996</v>
      </c>
      <c r="Q47" s="199">
        <f>SUM(E47:P47)</f>
        <v>62269.779403845998</v>
      </c>
    </row>
    <row r="48" spans="1:17" ht="13" thickBot="1" x14ac:dyDescent="0.3">
      <c r="A48" s="13">
        <v>14</v>
      </c>
      <c r="B48" s="23" t="s">
        <v>291</v>
      </c>
      <c r="E48" s="204">
        <f t="shared" ref="E48:P48" si="10">ROUND(E46+E47,2)</f>
        <v>5010.3500000000004</v>
      </c>
      <c r="F48" s="204">
        <f t="shared" si="10"/>
        <v>3732.01</v>
      </c>
      <c r="G48" s="204">
        <f t="shared" si="10"/>
        <v>2485.86</v>
      </c>
      <c r="H48" s="204">
        <f t="shared" si="10"/>
        <v>2527.15</v>
      </c>
      <c r="I48" s="204">
        <f t="shared" si="10"/>
        <v>5607.13</v>
      </c>
      <c r="J48" s="204">
        <f t="shared" si="10"/>
        <v>6888.52</v>
      </c>
      <c r="K48" s="204">
        <f t="shared" si="10"/>
        <v>6929.51</v>
      </c>
      <c r="L48" s="204">
        <f t="shared" si="10"/>
        <v>6915.16</v>
      </c>
      <c r="M48" s="204">
        <f t="shared" si="10"/>
        <v>6900.83</v>
      </c>
      <c r="N48" s="204">
        <f t="shared" si="10"/>
        <v>6886.48</v>
      </c>
      <c r="O48" s="204">
        <f t="shared" si="10"/>
        <v>6872.14</v>
      </c>
      <c r="P48" s="204">
        <f t="shared" si="10"/>
        <v>6857.79</v>
      </c>
      <c r="Q48" s="204">
        <f>Q46+Q47</f>
        <v>67612.931973798652</v>
      </c>
    </row>
    <row r="49" spans="1:9" ht="13" thickTop="1" x14ac:dyDescent="0.25">
      <c r="A49" s="200"/>
      <c r="B49" s="20"/>
    </row>
    <row r="50" spans="1:9" x14ac:dyDescent="0.25">
      <c r="A50" s="210" t="s">
        <v>76</v>
      </c>
      <c r="B50" s="23"/>
    </row>
    <row r="51" spans="1:9" x14ac:dyDescent="0.25">
      <c r="A51" s="23" t="s">
        <v>168</v>
      </c>
      <c r="B51" s="23" t="s">
        <v>321</v>
      </c>
    </row>
    <row r="52" spans="1:9" x14ac:dyDescent="0.25">
      <c r="A52" s="23"/>
      <c r="B52" s="228" t="s">
        <v>333</v>
      </c>
    </row>
    <row r="53" spans="1:9" x14ac:dyDescent="0.25">
      <c r="A53" s="23" t="s">
        <v>170</v>
      </c>
      <c r="B53" s="23" t="s">
        <v>293</v>
      </c>
    </row>
    <row r="54" spans="1:9" x14ac:dyDescent="0.25">
      <c r="A54" s="23" t="s">
        <v>255</v>
      </c>
      <c r="B54" s="23" t="s">
        <v>294</v>
      </c>
    </row>
    <row r="55" spans="1:9" x14ac:dyDescent="0.25">
      <c r="A55" s="23" t="s">
        <v>295</v>
      </c>
      <c r="B55" s="23" t="s">
        <v>296</v>
      </c>
    </row>
    <row r="56" spans="1:9" x14ac:dyDescent="0.25">
      <c r="A56" s="23" t="s">
        <v>297</v>
      </c>
      <c r="B56" s="11" t="s">
        <v>298</v>
      </c>
    </row>
    <row r="57" spans="1:9" x14ac:dyDescent="0.25">
      <c r="A57" s="23" t="s">
        <v>299</v>
      </c>
      <c r="B57" s="23" t="s">
        <v>300</v>
      </c>
    </row>
    <row r="58" spans="1:9" x14ac:dyDescent="0.25">
      <c r="A58" s="23" t="s">
        <v>301</v>
      </c>
      <c r="B58" s="23" t="s">
        <v>302</v>
      </c>
    </row>
    <row r="59" spans="1:9" x14ac:dyDescent="0.25">
      <c r="A59" s="23" t="s">
        <v>303</v>
      </c>
      <c r="B59" s="23" t="s">
        <v>304</v>
      </c>
    </row>
    <row r="60" spans="1:9" x14ac:dyDescent="0.25">
      <c r="A60" s="23" t="s">
        <v>305</v>
      </c>
      <c r="B60" s="23" t="s">
        <v>306</v>
      </c>
    </row>
    <row r="61" spans="1:9" x14ac:dyDescent="0.25">
      <c r="A61" s="11" t="s">
        <v>307</v>
      </c>
      <c r="B61" s="23" t="s">
        <v>308</v>
      </c>
    </row>
    <row r="62" spans="1:9" x14ac:dyDescent="0.25">
      <c r="A62" s="11" t="s">
        <v>309</v>
      </c>
      <c r="B62" s="23" t="s">
        <v>310</v>
      </c>
    </row>
    <row r="64" spans="1:9" ht="13" x14ac:dyDescent="0.3">
      <c r="B64" s="187"/>
      <c r="C64" s="188"/>
      <c r="D64" s="188"/>
      <c r="E64" s="188"/>
      <c r="F64" s="188"/>
      <c r="G64" s="188"/>
      <c r="H64" s="187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188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23"/>
    </row>
    <row r="71" spans="1:17" x14ac:dyDescent="0.25"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B72" s="188"/>
      <c r="C72" s="188"/>
      <c r="D72" s="188"/>
      <c r="E72" s="188"/>
      <c r="F72" s="188"/>
      <c r="G72" s="188"/>
      <c r="H72" s="188"/>
      <c r="I72" s="188"/>
    </row>
    <row r="73" spans="1:17" x14ac:dyDescent="0.25">
      <c r="A73" s="206"/>
      <c r="B73" s="206"/>
      <c r="C73" s="188"/>
      <c r="D73" s="188"/>
      <c r="E73" s="188"/>
      <c r="F73" s="188"/>
      <c r="G73" s="188"/>
      <c r="H73" s="188"/>
      <c r="I73" s="188"/>
    </row>
    <row r="74" spans="1:17" x14ac:dyDescent="0.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13"/>
      <c r="B76" s="23"/>
      <c r="C76" s="1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</row>
    <row r="87" spans="1:16" x14ac:dyDescent="0.25">
      <c r="A87" s="13"/>
      <c r="B87" s="23"/>
      <c r="C87" s="23"/>
    </row>
    <row r="88" spans="1:16" x14ac:dyDescent="0.25">
      <c r="A88" s="200"/>
      <c r="B88" s="20"/>
    </row>
    <row r="89" spans="1:16" x14ac:dyDescent="0.25">
      <c r="A89" s="13"/>
      <c r="B89" s="23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200"/>
      <c r="B90" s="23"/>
      <c r="C90" s="23"/>
    </row>
    <row r="91" spans="1:16" x14ac:dyDescent="0.25">
      <c r="A91" s="200"/>
      <c r="B91" s="23"/>
      <c r="C91" s="23"/>
    </row>
    <row r="92" spans="1:16" x14ac:dyDescent="0.25">
      <c r="A92" s="200"/>
      <c r="B92" s="20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x14ac:dyDescent="0.25">
      <c r="A93" s="13"/>
      <c r="B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0"/>
      <c r="C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13"/>
      <c r="B100" s="23"/>
    </row>
    <row r="101" spans="1:16" x14ac:dyDescent="0.25">
      <c r="A101" s="200"/>
      <c r="B101" s="23"/>
      <c r="C101" s="23"/>
    </row>
    <row r="102" spans="1:16" x14ac:dyDescent="0.25">
      <c r="A102" s="200"/>
      <c r="B102" s="23"/>
      <c r="C102" s="23"/>
    </row>
    <row r="103" spans="1:16" x14ac:dyDescent="0.25">
      <c r="A103" s="200"/>
      <c r="B103" s="20"/>
      <c r="C103" s="202"/>
    </row>
    <row r="104" spans="1:16" x14ac:dyDescent="0.25">
      <c r="A104" s="13"/>
      <c r="B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C106" s="202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B110" s="23"/>
    </row>
    <row r="111" spans="1:16" x14ac:dyDescent="0.25">
      <c r="A111" s="5"/>
      <c r="B111" s="23"/>
    </row>
    <row r="112" spans="1:16" x14ac:dyDescent="0.25">
      <c r="A112" s="23"/>
      <c r="B112" s="23"/>
    </row>
    <row r="113" spans="1:17" x14ac:dyDescent="0.25">
      <c r="A113" s="23"/>
      <c r="B113" s="23"/>
    </row>
    <row r="114" spans="1:17" x14ac:dyDescent="0.25">
      <c r="A114" s="23"/>
      <c r="B114" s="23"/>
    </row>
    <row r="115" spans="1:17" x14ac:dyDescent="0.25">
      <c r="A115" s="23"/>
      <c r="B115" s="23"/>
    </row>
    <row r="116" spans="1:17" x14ac:dyDescent="0.25">
      <c r="A116" s="23"/>
      <c r="B116" s="11"/>
    </row>
    <row r="117" spans="1:17" x14ac:dyDescent="0.25">
      <c r="A117" s="23"/>
      <c r="B117" s="23"/>
    </row>
    <row r="118" spans="1:17" x14ac:dyDescent="0.25">
      <c r="A118" s="23"/>
      <c r="B118" s="23"/>
    </row>
    <row r="119" spans="1:17" x14ac:dyDescent="0.25">
      <c r="A119" s="23"/>
      <c r="B119" s="23"/>
    </row>
    <row r="120" spans="1:17" x14ac:dyDescent="0.25">
      <c r="A120" s="23"/>
      <c r="B120" s="23"/>
    </row>
    <row r="121" spans="1:17" x14ac:dyDescent="0.25">
      <c r="B121" s="23"/>
    </row>
    <row r="122" spans="1:17" ht="13" x14ac:dyDescent="0.3">
      <c r="Q122" s="226"/>
    </row>
    <row r="123" spans="1:17" x14ac:dyDescent="0.25">
      <c r="Q123" s="16"/>
    </row>
    <row r="124" spans="1:17" ht="13" x14ac:dyDescent="0.3">
      <c r="B124" s="187"/>
      <c r="C124" s="188"/>
      <c r="D124" s="188"/>
      <c r="E124" s="188"/>
      <c r="F124" s="188"/>
      <c r="G124" s="188"/>
      <c r="H124" s="187"/>
      <c r="I124" s="188"/>
    </row>
    <row r="125" spans="1:17" x14ac:dyDescent="0.25">
      <c r="B125" s="188"/>
      <c r="C125" s="188"/>
      <c r="D125" s="188"/>
      <c r="E125" s="188"/>
      <c r="F125" s="188"/>
      <c r="G125" s="188"/>
      <c r="H125" s="188"/>
      <c r="I125" s="188"/>
    </row>
    <row r="126" spans="1:17" x14ac:dyDescent="0.25">
      <c r="B126" s="188"/>
      <c r="C126" s="188"/>
      <c r="D126" s="188"/>
      <c r="E126" s="188"/>
      <c r="F126" s="188"/>
      <c r="G126" s="188"/>
      <c r="H126" s="188"/>
      <c r="I126" s="188"/>
    </row>
    <row r="127" spans="1:17" ht="13" x14ac:dyDescent="0.3">
      <c r="B127" s="186"/>
      <c r="C127" s="188"/>
      <c r="D127" s="188"/>
      <c r="E127" s="188"/>
      <c r="F127" s="188"/>
      <c r="G127" s="188"/>
      <c r="H127" s="186"/>
      <c r="I127" s="188"/>
    </row>
    <row r="128" spans="1:17" x14ac:dyDescent="0.25">
      <c r="B128" s="188"/>
      <c r="C128" s="188"/>
      <c r="D128" s="188"/>
      <c r="E128" s="188"/>
      <c r="F128" s="188"/>
      <c r="G128" s="188"/>
      <c r="H128" s="188"/>
      <c r="I128" s="188"/>
    </row>
    <row r="129" spans="1:17" x14ac:dyDescent="0.25">
      <c r="B129" s="188"/>
      <c r="C129" s="188"/>
      <c r="D129" s="188"/>
      <c r="E129" s="188"/>
      <c r="F129" s="188"/>
      <c r="G129" s="188"/>
      <c r="H129" s="188"/>
      <c r="I129" s="188"/>
    </row>
    <row r="130" spans="1:17" x14ac:dyDescent="0.25">
      <c r="B130" s="188"/>
      <c r="C130" s="188"/>
      <c r="F130" s="188"/>
      <c r="G130" s="188"/>
      <c r="H130" s="188"/>
      <c r="I130" s="23"/>
    </row>
    <row r="131" spans="1:17" x14ac:dyDescent="0.25">
      <c r="B131" s="206"/>
      <c r="C131" s="188"/>
      <c r="D131" s="188"/>
      <c r="E131" s="188"/>
      <c r="F131" s="188"/>
      <c r="G131" s="188"/>
      <c r="H131" s="10"/>
      <c r="I131" s="231"/>
    </row>
    <row r="132" spans="1:17" x14ac:dyDescent="0.25">
      <c r="B132" s="188"/>
      <c r="C132" s="188"/>
      <c r="D132" s="188"/>
      <c r="E132" s="188"/>
      <c r="F132" s="188"/>
      <c r="G132" s="188"/>
      <c r="H132" s="188"/>
      <c r="I132" s="188"/>
    </row>
    <row r="133" spans="1:17" x14ac:dyDescent="0.25">
      <c r="A133" s="206"/>
      <c r="B133" s="206"/>
      <c r="C133" s="188"/>
      <c r="D133" s="188"/>
      <c r="E133" s="188"/>
      <c r="F133" s="188"/>
      <c r="G133" s="188"/>
      <c r="H133" s="188"/>
      <c r="I133" s="188"/>
    </row>
    <row r="134" spans="1:17" x14ac:dyDescent="0.2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5">
      <c r="A136" s="13"/>
      <c r="B136" s="23"/>
      <c r="C136" s="13"/>
    </row>
    <row r="137" spans="1:17" x14ac:dyDescent="0.25">
      <c r="A137" s="13"/>
      <c r="B137" s="23"/>
      <c r="C137" s="23"/>
    </row>
    <row r="138" spans="1:17" x14ac:dyDescent="0.25">
      <c r="A138" s="13"/>
      <c r="B138" s="23"/>
      <c r="C138" s="23"/>
    </row>
    <row r="139" spans="1:17" x14ac:dyDescent="0.25">
      <c r="A139" s="13"/>
      <c r="B139" s="23"/>
      <c r="C139" s="23"/>
    </row>
    <row r="140" spans="1:17" x14ac:dyDescent="0.25">
      <c r="A140" s="13"/>
      <c r="B140" s="23"/>
      <c r="C140" s="23"/>
    </row>
    <row r="141" spans="1:17" x14ac:dyDescent="0.25">
      <c r="A141" s="13"/>
      <c r="B141" s="23"/>
      <c r="C141" s="23"/>
    </row>
    <row r="142" spans="1:17" x14ac:dyDescent="0.25">
      <c r="A142" s="13"/>
      <c r="B142" s="23"/>
      <c r="C142" s="13"/>
    </row>
    <row r="143" spans="1:17" x14ac:dyDescent="0.25">
      <c r="A143" s="13"/>
      <c r="B143" s="23"/>
      <c r="C143" s="13"/>
    </row>
    <row r="144" spans="1:17" x14ac:dyDescent="0.25">
      <c r="A144" s="13"/>
      <c r="B144" s="23"/>
      <c r="C144" s="13"/>
    </row>
    <row r="145" spans="1:16" x14ac:dyDescent="0.25">
      <c r="A145" s="13"/>
      <c r="B145" s="23"/>
      <c r="C145" s="13"/>
    </row>
    <row r="146" spans="1:16" x14ac:dyDescent="0.25">
      <c r="A146" s="13"/>
      <c r="B146" s="23"/>
    </row>
    <row r="147" spans="1:16" x14ac:dyDescent="0.25">
      <c r="A147" s="13"/>
      <c r="B147" s="23"/>
      <c r="C147" s="23"/>
    </row>
    <row r="148" spans="1:16" x14ac:dyDescent="0.25">
      <c r="A148" s="200"/>
      <c r="B148" s="20"/>
    </row>
    <row r="149" spans="1:16" x14ac:dyDescent="0.25">
      <c r="A149" s="13"/>
      <c r="B149" s="23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</row>
    <row r="150" spans="1:16" x14ac:dyDescent="0.25">
      <c r="A150" s="200"/>
      <c r="B150" s="23"/>
      <c r="C150" s="23"/>
    </row>
    <row r="151" spans="1:16" x14ac:dyDescent="0.25">
      <c r="A151" s="200"/>
      <c r="B151" s="23"/>
      <c r="C151" s="23"/>
    </row>
    <row r="152" spans="1:16" x14ac:dyDescent="0.25">
      <c r="A152" s="200"/>
      <c r="B152" s="20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</row>
    <row r="153" spans="1:16" x14ac:dyDescent="0.25">
      <c r="A153" s="13"/>
      <c r="B153" s="23"/>
    </row>
    <row r="154" spans="1:16" x14ac:dyDescent="0.25">
      <c r="A154" s="200"/>
      <c r="B154" s="23"/>
      <c r="C154" s="23"/>
    </row>
    <row r="155" spans="1:16" x14ac:dyDescent="0.25">
      <c r="A155" s="200"/>
      <c r="B155" s="23"/>
      <c r="C155" s="23"/>
    </row>
    <row r="156" spans="1:16" x14ac:dyDescent="0.25">
      <c r="A156" s="200"/>
      <c r="B156" s="23"/>
      <c r="C156" s="23"/>
    </row>
    <row r="157" spans="1:16" x14ac:dyDescent="0.25">
      <c r="A157" s="200"/>
      <c r="B157" s="23"/>
      <c r="C157" s="23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</row>
    <row r="158" spans="1:16" x14ac:dyDescent="0.25">
      <c r="A158" s="200"/>
      <c r="B158" s="23"/>
      <c r="C158" s="23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</row>
    <row r="159" spans="1:16" x14ac:dyDescent="0.25">
      <c r="A159" s="200"/>
      <c r="B159" s="20"/>
      <c r="C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</row>
    <row r="160" spans="1:16" x14ac:dyDescent="0.25">
      <c r="A160" s="13"/>
      <c r="B160" s="23"/>
    </row>
    <row r="161" spans="1:16" x14ac:dyDescent="0.25">
      <c r="A161" s="200"/>
      <c r="B161" s="23"/>
      <c r="C161" s="23"/>
    </row>
    <row r="162" spans="1:16" x14ac:dyDescent="0.25">
      <c r="A162" s="200"/>
      <c r="B162" s="23"/>
      <c r="C162" s="23"/>
    </row>
    <row r="163" spans="1:16" x14ac:dyDescent="0.25">
      <c r="A163" s="200"/>
      <c r="B163" s="20"/>
      <c r="C163" s="202"/>
    </row>
    <row r="164" spans="1:16" x14ac:dyDescent="0.25">
      <c r="A164" s="13"/>
      <c r="B164" s="2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</row>
    <row r="165" spans="1:16" x14ac:dyDescent="0.25">
      <c r="A165" s="13"/>
      <c r="B165" s="2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</row>
    <row r="166" spans="1:16" x14ac:dyDescent="0.25">
      <c r="A166" s="13"/>
      <c r="B166" s="23"/>
      <c r="C166" s="202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</row>
    <row r="167" spans="1:16" x14ac:dyDescent="0.25">
      <c r="A167" s="13"/>
      <c r="B167" s="23"/>
    </row>
    <row r="168" spans="1:16" x14ac:dyDescent="0.25">
      <c r="A168" s="13"/>
      <c r="B168" s="23"/>
    </row>
    <row r="169" spans="1:16" x14ac:dyDescent="0.25">
      <c r="A169" s="13"/>
      <c r="B169" s="23"/>
    </row>
    <row r="170" spans="1:16" x14ac:dyDescent="0.25">
      <c r="B170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20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30D9-CA42-4414-994A-45332BBA5A66}">
  <sheetPr transitionEvaluation="1" transitionEntry="1"/>
  <dimension ref="A1:AF263"/>
  <sheetViews>
    <sheetView showGridLines="0" defaultGridColor="0" view="pageBreakPreview" topLeftCell="E1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1" width="3.75" style="1" customWidth="1"/>
    <col min="2" max="2" width="3.58203125" style="1" customWidth="1"/>
    <col min="3" max="3" width="39.58203125" style="1" customWidth="1"/>
    <col min="4" max="4" width="12.75" style="1" customWidth="1"/>
    <col min="5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3.25" style="1" bestFit="1" customWidth="1"/>
    <col min="21" max="32" width="12.08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16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v>-6.02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-6.02</v>
      </c>
    </row>
    <row r="21" spans="1:32" x14ac:dyDescent="0.25">
      <c r="A21" s="13">
        <v>2</v>
      </c>
      <c r="B21" s="23" t="s">
        <v>272</v>
      </c>
      <c r="C21" s="13"/>
      <c r="D21" s="1">
        <v>14939561.080000002</v>
      </c>
      <c r="E21" s="27">
        <f>D21+E16-E17+E19</f>
        <v>14939561.080000002</v>
      </c>
      <c r="F21" s="1">
        <f t="shared" ref="F21:P21" si="1">E21+F16-F17</f>
        <v>14939561.080000002</v>
      </c>
      <c r="G21" s="1">
        <f t="shared" si="1"/>
        <v>14939561.080000002</v>
      </c>
      <c r="H21" s="1">
        <f t="shared" si="1"/>
        <v>14939561.080000002</v>
      </c>
      <c r="I21" s="1">
        <f t="shared" si="1"/>
        <v>14939561.080000002</v>
      </c>
      <c r="J21" s="1">
        <f t="shared" si="1"/>
        <v>14939561.080000002</v>
      </c>
      <c r="K21" s="1">
        <f t="shared" si="1"/>
        <v>14939561.080000002</v>
      </c>
      <c r="L21" s="1">
        <f t="shared" si="1"/>
        <v>14939561.080000002</v>
      </c>
      <c r="M21" s="1">
        <f t="shared" si="1"/>
        <v>14939561.080000002</v>
      </c>
      <c r="N21" s="1">
        <f t="shared" si="1"/>
        <v>14939561.080000002</v>
      </c>
      <c r="O21" s="1">
        <f t="shared" si="1"/>
        <v>14939561.080000002</v>
      </c>
      <c r="P21" s="1">
        <f t="shared" si="1"/>
        <v>14939561.080000002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-6833020.7424125001</v>
      </c>
      <c r="E22" s="27">
        <f>D22-E33-E34-E35+E17+E18+E20</f>
        <v>-6870381.6824124996</v>
      </c>
      <c r="F22" s="1">
        <f t="shared" ref="F22:P22" si="2">E22-F33-F34-F35+F17+F18-F19</f>
        <v>-6907736.6024124995</v>
      </c>
      <c r="G22" s="1">
        <f t="shared" si="2"/>
        <v>-6945091.5224124994</v>
      </c>
      <c r="H22" s="1">
        <f t="shared" si="2"/>
        <v>-6982446.4424124993</v>
      </c>
      <c r="I22" s="27">
        <f t="shared" si="2"/>
        <v>-7019801.3624124993</v>
      </c>
      <c r="J22" s="1">
        <f t="shared" si="2"/>
        <v>-7057156.2824124992</v>
      </c>
      <c r="K22" s="1">
        <f t="shared" si="2"/>
        <v>-7094511.2024124991</v>
      </c>
      <c r="L22" s="1">
        <f t="shared" si="2"/>
        <v>-7131866.122412499</v>
      </c>
      <c r="M22" s="1">
        <f t="shared" si="2"/>
        <v>-7169221.042412499</v>
      </c>
      <c r="N22" s="1">
        <f t="shared" si="2"/>
        <v>-7206575.9624124989</v>
      </c>
      <c r="O22" s="1">
        <f t="shared" si="2"/>
        <v>-7243930.8824124988</v>
      </c>
      <c r="P22" s="1">
        <f t="shared" si="2"/>
        <v>-7281285.8024124987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99">
        <v>0</v>
      </c>
      <c r="E23" s="199">
        <f>D23+E15-E16</f>
        <v>0</v>
      </c>
      <c r="F23" s="199">
        <f t="shared" ref="F23:P23" si="3">E23+F15-F16</f>
        <v>0</v>
      </c>
      <c r="G23" s="199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199">
        <f t="shared" ref="D24:P24" si="4">SUM(D21:D23)</f>
        <v>8106540.3375875019</v>
      </c>
      <c r="E24" s="199">
        <f t="shared" si="4"/>
        <v>8069179.3975875024</v>
      </c>
      <c r="F24" s="199">
        <f t="shared" si="4"/>
        <v>8031824.4775875024</v>
      </c>
      <c r="G24" s="199">
        <f t="shared" si="4"/>
        <v>7994469.5575875025</v>
      </c>
      <c r="H24" s="199">
        <f t="shared" si="4"/>
        <v>7957114.6375875026</v>
      </c>
      <c r="I24" s="199">
        <f t="shared" si="4"/>
        <v>7919759.7175875027</v>
      </c>
      <c r="J24" s="199">
        <f t="shared" si="4"/>
        <v>7882404.7975875027</v>
      </c>
      <c r="K24" s="199">
        <f t="shared" si="4"/>
        <v>7845049.8775875028</v>
      </c>
      <c r="L24" s="199">
        <f t="shared" si="4"/>
        <v>7807694.9575875029</v>
      </c>
      <c r="M24" s="199">
        <f t="shared" si="4"/>
        <v>7770340.037587503</v>
      </c>
      <c r="N24" s="199">
        <f t="shared" si="4"/>
        <v>7732985.117587503</v>
      </c>
      <c r="O24" s="199">
        <f t="shared" si="4"/>
        <v>7695630.1975875031</v>
      </c>
      <c r="P24" s="199">
        <f t="shared" si="4"/>
        <v>7658275.2775875032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8087859.8675875021</v>
      </c>
      <c r="F26" s="1">
        <f t="shared" ref="F26:P26" si="5">(E24+F24)/2</f>
        <v>8050501.9375875024</v>
      </c>
      <c r="G26" s="1">
        <f t="shared" si="5"/>
        <v>8013147.0175875025</v>
      </c>
      <c r="H26" s="1">
        <f t="shared" si="5"/>
        <v>7975792.0975875026</v>
      </c>
      <c r="I26" s="1">
        <f t="shared" si="5"/>
        <v>7938437.1775875026</v>
      </c>
      <c r="J26" s="1">
        <f t="shared" si="5"/>
        <v>7901082.2575875027</v>
      </c>
      <c r="K26" s="1">
        <f t="shared" si="5"/>
        <v>7863727.3375875028</v>
      </c>
      <c r="L26" s="1">
        <f t="shared" si="5"/>
        <v>7826372.4175875029</v>
      </c>
      <c r="M26" s="1">
        <f t="shared" si="5"/>
        <v>7789017.4975875029</v>
      </c>
      <c r="N26" s="1">
        <f t="shared" si="5"/>
        <v>7751662.577587503</v>
      </c>
      <c r="O26" s="1">
        <f t="shared" si="5"/>
        <v>7714307.6575875031</v>
      </c>
      <c r="P26" s="1">
        <f t="shared" si="5"/>
        <v>7676952.7375875032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37236.506830372855</v>
      </c>
      <c r="F29" s="1">
        <v>37064.510920652858</v>
      </c>
      <c r="G29" s="1">
        <v>36892.528868972855</v>
      </c>
      <c r="H29" s="1">
        <v>36720.546817292859</v>
      </c>
      <c r="I29" s="1">
        <v>36548.564765612857</v>
      </c>
      <c r="J29" s="1">
        <v>36376.582713932861</v>
      </c>
      <c r="K29" s="1">
        <v>37659.390219706547</v>
      </c>
      <c r="L29" s="1">
        <v>37480.497507826549</v>
      </c>
      <c r="M29" s="1">
        <v>37301.60479594655</v>
      </c>
      <c r="N29" s="1">
        <v>37122.712084066552</v>
      </c>
      <c r="O29" s="1">
        <v>36943.819372186554</v>
      </c>
      <c r="P29" s="1">
        <v>36764.926660306548</v>
      </c>
      <c r="Q29" s="1">
        <f>SUM(E29:P29)</f>
        <v>444112.19155687641</v>
      </c>
    </row>
    <row r="30" spans="1:32" x14ac:dyDescent="0.25">
      <c r="A30" s="200"/>
      <c r="B30" s="23" t="s">
        <v>264</v>
      </c>
      <c r="C30" s="23" t="s">
        <v>279</v>
      </c>
      <c r="E30" s="1">
        <v>9398.0931661366776</v>
      </c>
      <c r="F30" s="1">
        <v>9354.6832514766775</v>
      </c>
      <c r="G30" s="1">
        <v>9311.2768344366777</v>
      </c>
      <c r="H30" s="1">
        <v>9267.870417396678</v>
      </c>
      <c r="I30" s="1">
        <v>9224.4640003566783</v>
      </c>
      <c r="J30" s="1">
        <v>9181.0575833166786</v>
      </c>
      <c r="K30" s="1">
        <v>8249.0499771292907</v>
      </c>
      <c r="L30" s="1">
        <v>8209.8646660492905</v>
      </c>
      <c r="M30" s="1">
        <v>8170.6793549692911</v>
      </c>
      <c r="N30" s="1">
        <v>8131.4940438892909</v>
      </c>
      <c r="O30" s="1">
        <v>8092.3087328092906</v>
      </c>
      <c r="P30" s="1">
        <v>8053.1234217292913</v>
      </c>
      <c r="Q30" s="1">
        <f>SUM(E30:P30)</f>
        <v>104643.96544969582</v>
      </c>
    </row>
    <row r="31" spans="1:32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37354.920000000006</v>
      </c>
      <c r="F33" s="1">
        <v>37354.920000000006</v>
      </c>
      <c r="G33" s="1">
        <v>37354.920000000006</v>
      </c>
      <c r="H33" s="1">
        <v>37354.920000000006</v>
      </c>
      <c r="I33" s="1">
        <v>37354.920000000006</v>
      </c>
      <c r="J33" s="1">
        <v>37354.920000000006</v>
      </c>
      <c r="K33" s="1">
        <v>37354.920000000006</v>
      </c>
      <c r="L33" s="1">
        <v>37354.920000000006</v>
      </c>
      <c r="M33" s="1">
        <v>37354.920000000006</v>
      </c>
      <c r="N33" s="1">
        <v>37354.920000000006</v>
      </c>
      <c r="O33" s="1">
        <v>37354.920000000006</v>
      </c>
      <c r="P33" s="1">
        <v>37354.920000000006</v>
      </c>
      <c r="Q33" s="1">
        <f>SUM(E33:P33)</f>
        <v>448259.04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20540.099846126563</v>
      </c>
      <c r="F36" s="1">
        <v>20540.099846126563</v>
      </c>
      <c r="G36" s="1">
        <v>20540.099846126563</v>
      </c>
      <c r="H36" s="1">
        <v>20540.099846126563</v>
      </c>
      <c r="I36" s="1">
        <v>20540.099846126563</v>
      </c>
      <c r="J36" s="1">
        <v>20540.099846126563</v>
      </c>
      <c r="K36" s="1">
        <v>20540.099846126563</v>
      </c>
      <c r="L36" s="1">
        <v>20540.099846126563</v>
      </c>
      <c r="M36" s="1">
        <v>20540.099846126563</v>
      </c>
      <c r="N36" s="1">
        <v>20540.099846126563</v>
      </c>
      <c r="O36" s="1">
        <v>20540.099846126563</v>
      </c>
      <c r="P36" s="1">
        <v>20540.099846126563</v>
      </c>
      <c r="Q36" s="1">
        <f>SUM(E36:P36)</f>
        <v>246481.19815351881</v>
      </c>
    </row>
    <row r="37" spans="1:17" x14ac:dyDescent="0.25">
      <c r="A37" s="200"/>
      <c r="B37" s="23" t="s">
        <v>270</v>
      </c>
      <c r="C37" s="23" t="s">
        <v>285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104529.61984263611</v>
      </c>
      <c r="F39" s="1">
        <f t="shared" ref="F39:P39" si="6">SUM(F29:F37)</f>
        <v>104314.21401825611</v>
      </c>
      <c r="G39" s="1">
        <f t="shared" si="6"/>
        <v>104098.82554953609</v>
      </c>
      <c r="H39" s="1">
        <f t="shared" si="6"/>
        <v>103883.4370808161</v>
      </c>
      <c r="I39" s="1">
        <f t="shared" si="6"/>
        <v>103668.04861209611</v>
      </c>
      <c r="J39" s="1">
        <f t="shared" si="6"/>
        <v>103452.66014337612</v>
      </c>
      <c r="K39" s="1">
        <f t="shared" si="6"/>
        <v>103803.4600429624</v>
      </c>
      <c r="L39" s="1">
        <f t="shared" si="6"/>
        <v>103585.38202000241</v>
      </c>
      <c r="M39" s="1">
        <f t="shared" si="6"/>
        <v>103367.30399704241</v>
      </c>
      <c r="N39" s="1">
        <f t="shared" si="6"/>
        <v>103149.22597408242</v>
      </c>
      <c r="O39" s="1">
        <f t="shared" si="6"/>
        <v>102931.1479511224</v>
      </c>
      <c r="P39" s="1">
        <f t="shared" si="6"/>
        <v>102713.06992816241</v>
      </c>
      <c r="Q39" s="1">
        <f>SUM(E39:P39)</f>
        <v>1243496.3951600911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8040.7399878950855</v>
      </c>
      <c r="F40" s="1">
        <f t="shared" ref="F40:P40" si="7">F39*1/13</f>
        <v>8024.1703090966239</v>
      </c>
      <c r="G40" s="1">
        <f t="shared" si="7"/>
        <v>8007.6019653489302</v>
      </c>
      <c r="H40" s="1">
        <f t="shared" si="7"/>
        <v>7991.0336216012383</v>
      </c>
      <c r="I40" s="1">
        <f t="shared" si="7"/>
        <v>7974.4652778535474</v>
      </c>
      <c r="J40" s="1">
        <f t="shared" si="7"/>
        <v>7957.8969341058555</v>
      </c>
      <c r="K40" s="1">
        <f t="shared" si="7"/>
        <v>7984.8815417663382</v>
      </c>
      <c r="L40" s="1">
        <f t="shared" si="7"/>
        <v>7968.1063092309541</v>
      </c>
      <c r="M40" s="1">
        <f t="shared" si="7"/>
        <v>7951.3310766955701</v>
      </c>
      <c r="N40" s="1">
        <f t="shared" si="7"/>
        <v>7934.5558441601861</v>
      </c>
      <c r="O40" s="1">
        <f t="shared" si="7"/>
        <v>7917.7806116248003</v>
      </c>
      <c r="P40" s="1">
        <f t="shared" si="7"/>
        <v>7901.0053790894162</v>
      </c>
      <c r="Q40" s="1">
        <f>SUM(E40:P40)</f>
        <v>95653.568858468541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96488.88</v>
      </c>
      <c r="F41" s="1">
        <f t="shared" si="8"/>
        <v>96290.04</v>
      </c>
      <c r="G41" s="1">
        <f t="shared" si="8"/>
        <v>96091.22</v>
      </c>
      <c r="H41" s="1">
        <f t="shared" si="8"/>
        <v>95892.4</v>
      </c>
      <c r="I41" s="1">
        <f t="shared" si="8"/>
        <v>95693.58</v>
      </c>
      <c r="J41" s="1">
        <f t="shared" si="8"/>
        <v>95494.76</v>
      </c>
      <c r="K41" s="1">
        <f t="shared" si="8"/>
        <v>95818.58</v>
      </c>
      <c r="L41" s="1">
        <f t="shared" si="8"/>
        <v>95617.279999999999</v>
      </c>
      <c r="M41" s="1">
        <f t="shared" si="8"/>
        <v>95415.97</v>
      </c>
      <c r="N41" s="1">
        <f t="shared" si="8"/>
        <v>95214.67</v>
      </c>
      <c r="O41" s="1">
        <f t="shared" si="8"/>
        <v>95013.37</v>
      </c>
      <c r="P41" s="1">
        <f t="shared" si="8"/>
        <v>94812.06</v>
      </c>
      <c r="Q41" s="1">
        <f>SUM(E41:P41)</f>
        <v>1147842.81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8050.3888758805606</v>
      </c>
      <c r="F46" s="1">
        <v>8033.7993134675407</v>
      </c>
      <c r="G46" s="1">
        <v>8017.2110877073501</v>
      </c>
      <c r="H46" s="1">
        <v>8000.6228619471603</v>
      </c>
      <c r="I46" s="1">
        <v>7984.0346361869724</v>
      </c>
      <c r="J46" s="1">
        <v>7967.4464104267836</v>
      </c>
      <c r="K46" s="1">
        <v>7994.4633996164584</v>
      </c>
      <c r="L46" s="1">
        <v>7977.6680368020316</v>
      </c>
      <c r="M46" s="1">
        <v>7960.8726739876056</v>
      </c>
      <c r="N46" s="1">
        <v>7944.0773111731787</v>
      </c>
      <c r="O46" s="1">
        <v>7927.2819483587509</v>
      </c>
      <c r="P46" s="1">
        <v>7910.486585544324</v>
      </c>
      <c r="Q46" s="1">
        <f>SUM(E46:P46)</f>
        <v>95768.35314109872</v>
      </c>
    </row>
    <row r="47" spans="1:17" x14ac:dyDescent="0.25">
      <c r="A47" s="13">
        <v>13</v>
      </c>
      <c r="B47" s="23" t="s">
        <v>290</v>
      </c>
      <c r="E47" s="199">
        <f>E41*E44</f>
        <v>93820.258099176004</v>
      </c>
      <c r="F47" s="199">
        <f t="shared" ref="F47:P47" si="9">F41*F44</f>
        <v>93626.917476707997</v>
      </c>
      <c r="G47" s="199">
        <f t="shared" si="9"/>
        <v>93433.596301094003</v>
      </c>
      <c r="H47" s="199">
        <f t="shared" si="9"/>
        <v>93240.275125479995</v>
      </c>
      <c r="I47" s="199">
        <f t="shared" si="9"/>
        <v>93046.953949866001</v>
      </c>
      <c r="J47" s="199">
        <f t="shared" si="9"/>
        <v>92853.632774251993</v>
      </c>
      <c r="K47" s="199">
        <f t="shared" si="9"/>
        <v>93168.496787366006</v>
      </c>
      <c r="L47" s="199">
        <f t="shared" si="9"/>
        <v>92972.764201856</v>
      </c>
      <c r="M47" s="199">
        <f t="shared" si="9"/>
        <v>92777.021892919001</v>
      </c>
      <c r="N47" s="199">
        <f t="shared" si="9"/>
        <v>92581.289307408995</v>
      </c>
      <c r="O47" s="199">
        <f t="shared" si="9"/>
        <v>92385.556721898989</v>
      </c>
      <c r="P47" s="199">
        <f t="shared" si="9"/>
        <v>92189.814412962005</v>
      </c>
      <c r="Q47" s="199">
        <f>SUM(E47:P47)</f>
        <v>1116096.5770509869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101870.64697505656</v>
      </c>
      <c r="F48" s="204">
        <f t="shared" si="10"/>
        <v>101660.71679017553</v>
      </c>
      <c r="G48" s="204">
        <f t="shared" si="10"/>
        <v>101450.80738880136</v>
      </c>
      <c r="H48" s="204">
        <f t="shared" si="10"/>
        <v>101240.89798742716</v>
      </c>
      <c r="I48" s="204">
        <f t="shared" si="10"/>
        <v>101030.98858605298</v>
      </c>
      <c r="J48" s="204">
        <f t="shared" si="10"/>
        <v>100821.07918467878</v>
      </c>
      <c r="K48" s="204">
        <f t="shared" si="10"/>
        <v>101162.96018698247</v>
      </c>
      <c r="L48" s="204">
        <f t="shared" si="10"/>
        <v>100950.43223865803</v>
      </c>
      <c r="M48" s="204">
        <f t="shared" si="10"/>
        <v>100737.8945669066</v>
      </c>
      <c r="N48" s="204">
        <f t="shared" si="10"/>
        <v>100525.36661858218</v>
      </c>
      <c r="O48" s="204">
        <f t="shared" si="10"/>
        <v>100312.83867025774</v>
      </c>
      <c r="P48" s="204">
        <f t="shared" si="10"/>
        <v>100100.30099850633</v>
      </c>
      <c r="Q48" s="204">
        <f t="shared" si="10"/>
        <v>1211864.9301920857</v>
      </c>
    </row>
    <row r="49" spans="1:17" ht="13" thickTop="1" x14ac:dyDescent="0.25">
      <c r="A49" s="200"/>
      <c r="B49" s="20"/>
    </row>
    <row r="50" spans="1:17" x14ac:dyDescent="0.25">
      <c r="A50" s="210" t="s">
        <v>76</v>
      </c>
      <c r="B50" s="23"/>
    </row>
    <row r="51" spans="1:17" x14ac:dyDescent="0.25">
      <c r="A51" s="23" t="s">
        <v>168</v>
      </c>
      <c r="B51" s="23" t="s">
        <v>321</v>
      </c>
    </row>
    <row r="52" spans="1:17" x14ac:dyDescent="0.25">
      <c r="A52" s="23" t="s">
        <v>170</v>
      </c>
      <c r="B52" s="23" t="s">
        <v>293</v>
      </c>
    </row>
    <row r="53" spans="1:17" x14ac:dyDescent="0.25">
      <c r="A53" s="23" t="s">
        <v>255</v>
      </c>
      <c r="B53" s="23" t="s">
        <v>294</v>
      </c>
    </row>
    <row r="54" spans="1:17" x14ac:dyDescent="0.25">
      <c r="A54" s="23" t="s">
        <v>295</v>
      </c>
      <c r="B54" s="23" t="s">
        <v>296</v>
      </c>
    </row>
    <row r="55" spans="1:17" x14ac:dyDescent="0.25">
      <c r="A55" s="23" t="s">
        <v>297</v>
      </c>
      <c r="B55" s="11" t="s">
        <v>298</v>
      </c>
    </row>
    <row r="56" spans="1:17" x14ac:dyDescent="0.25">
      <c r="A56" s="23" t="s">
        <v>299</v>
      </c>
      <c r="B56" s="23" t="s">
        <v>300</v>
      </c>
    </row>
    <row r="57" spans="1:17" x14ac:dyDescent="0.25">
      <c r="A57" s="23" t="s">
        <v>301</v>
      </c>
      <c r="B57" s="23" t="s">
        <v>302</v>
      </c>
    </row>
    <row r="58" spans="1:17" x14ac:dyDescent="0.25">
      <c r="A58" s="23" t="s">
        <v>303</v>
      </c>
      <c r="B58" s="23" t="s">
        <v>304</v>
      </c>
    </row>
    <row r="59" spans="1:17" x14ac:dyDescent="0.25">
      <c r="A59" s="23" t="s">
        <v>305</v>
      </c>
      <c r="B59" s="23" t="s">
        <v>306</v>
      </c>
    </row>
    <row r="60" spans="1:17" x14ac:dyDescent="0.25">
      <c r="A60" s="11" t="s">
        <v>307</v>
      </c>
      <c r="B60" s="23" t="s">
        <v>308</v>
      </c>
    </row>
    <row r="61" spans="1:17" x14ac:dyDescent="0.25">
      <c r="A61" s="11" t="s">
        <v>309</v>
      </c>
      <c r="B61" s="23" t="s">
        <v>310</v>
      </c>
      <c r="Q61" s="16"/>
    </row>
    <row r="62" spans="1:17" x14ac:dyDescent="0.25">
      <c r="Q62" s="16"/>
    </row>
    <row r="63" spans="1:17" x14ac:dyDescent="0.25">
      <c r="Q63" s="16"/>
    </row>
    <row r="64" spans="1:17" ht="13" x14ac:dyDescent="0.3">
      <c r="B64" s="187"/>
      <c r="C64" s="188"/>
      <c r="D64" s="188"/>
      <c r="E64" s="188"/>
      <c r="F64" s="188"/>
      <c r="G64" s="188"/>
      <c r="H64" s="187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188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23"/>
    </row>
    <row r="71" spans="1:17" x14ac:dyDescent="0.25"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B72" s="188"/>
      <c r="C72" s="188"/>
      <c r="D72" s="188"/>
      <c r="E72" s="188"/>
      <c r="F72" s="188"/>
      <c r="G72" s="188"/>
      <c r="H72" s="188"/>
      <c r="I72" s="188"/>
    </row>
    <row r="73" spans="1:17" x14ac:dyDescent="0.25">
      <c r="A73" s="206"/>
      <c r="B73" s="206"/>
      <c r="C73" s="188"/>
      <c r="D73" s="188"/>
      <c r="E73" s="188"/>
      <c r="F73" s="188"/>
      <c r="G73" s="188"/>
      <c r="H73" s="188"/>
      <c r="I73" s="188"/>
    </row>
    <row r="74" spans="1:17" x14ac:dyDescent="0.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5"/>
      <c r="B75" s="5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13"/>
      <c r="B76" s="23"/>
      <c r="C76" s="1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</row>
    <row r="87" spans="1:16" x14ac:dyDescent="0.25">
      <c r="A87" s="13"/>
      <c r="B87" s="23"/>
      <c r="C87" s="23"/>
    </row>
    <row r="88" spans="1:16" x14ac:dyDescent="0.25">
      <c r="A88" s="200"/>
      <c r="B88" s="20"/>
    </row>
    <row r="89" spans="1:16" x14ac:dyDescent="0.25">
      <c r="A89" s="13"/>
      <c r="B89" s="23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200"/>
      <c r="B90" s="23"/>
      <c r="C90" s="23"/>
    </row>
    <row r="91" spans="1:16" x14ac:dyDescent="0.25">
      <c r="A91" s="200"/>
      <c r="B91" s="23"/>
      <c r="C91" s="23"/>
    </row>
    <row r="92" spans="1:16" x14ac:dyDescent="0.25">
      <c r="A92" s="200"/>
      <c r="B92" s="20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x14ac:dyDescent="0.25">
      <c r="A93" s="13"/>
      <c r="B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7" x14ac:dyDescent="0.25">
      <c r="A97" s="200"/>
      <c r="B97" s="23"/>
      <c r="C97" s="23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7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7" x14ac:dyDescent="0.25">
      <c r="A99" s="200"/>
      <c r="B99" s="20"/>
      <c r="C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 x14ac:dyDescent="0.25">
      <c r="A100" s="13"/>
      <c r="B100" s="23"/>
    </row>
    <row r="101" spans="1:17" x14ac:dyDescent="0.25">
      <c r="A101" s="200"/>
      <c r="B101" s="23"/>
      <c r="C101" s="23"/>
    </row>
    <row r="102" spans="1:17" x14ac:dyDescent="0.25">
      <c r="A102" s="200"/>
      <c r="B102" s="23"/>
      <c r="C102" s="23"/>
    </row>
    <row r="103" spans="1:17" x14ac:dyDescent="0.25">
      <c r="A103" s="200"/>
      <c r="B103" s="20"/>
      <c r="C103" s="202"/>
    </row>
    <row r="104" spans="1:17" x14ac:dyDescent="0.25">
      <c r="A104" s="13"/>
      <c r="B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7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7" x14ac:dyDescent="0.25">
      <c r="A106" s="13"/>
      <c r="B106" s="23"/>
      <c r="C106" s="202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7" x14ac:dyDescent="0.25">
      <c r="A107" s="13"/>
      <c r="B107" s="23"/>
    </row>
    <row r="108" spans="1:17" x14ac:dyDescent="0.25">
      <c r="A108" s="13"/>
      <c r="B108" s="23"/>
    </row>
    <row r="109" spans="1:17" x14ac:dyDescent="0.25">
      <c r="A109" s="13"/>
      <c r="B109" s="23"/>
    </row>
    <row r="110" spans="1:17" x14ac:dyDescent="0.25">
      <c r="A110" s="200"/>
      <c r="B110" s="20"/>
    </row>
    <row r="112" spans="1:17" ht="13" x14ac:dyDescent="0.3">
      <c r="Q112" s="226"/>
    </row>
    <row r="113" spans="1:17" x14ac:dyDescent="0.25">
      <c r="Q113" s="16"/>
    </row>
    <row r="114" spans="1:17" ht="13" x14ac:dyDescent="0.3">
      <c r="B114" s="187"/>
      <c r="C114" s="188"/>
      <c r="D114" s="188"/>
      <c r="E114" s="188"/>
      <c r="F114" s="188"/>
      <c r="G114" s="188"/>
      <c r="H114" s="187"/>
      <c r="I114" s="188"/>
    </row>
    <row r="115" spans="1:17" x14ac:dyDescent="0.25">
      <c r="B115" s="188"/>
      <c r="C115" s="188"/>
      <c r="D115" s="188"/>
      <c r="E115" s="188"/>
      <c r="F115" s="188"/>
      <c r="G115" s="188"/>
      <c r="H115" s="188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ht="13" x14ac:dyDescent="0.3">
      <c r="B117" s="186"/>
      <c r="C117" s="188"/>
      <c r="D117" s="188"/>
      <c r="E117" s="188"/>
      <c r="F117" s="188"/>
      <c r="G117" s="188"/>
      <c r="H117" s="186"/>
      <c r="I117" s="188"/>
    </row>
    <row r="118" spans="1:17" x14ac:dyDescent="0.25">
      <c r="B118" s="188"/>
      <c r="C118" s="188"/>
      <c r="D118" s="188"/>
      <c r="E118" s="188"/>
      <c r="F118" s="188"/>
      <c r="G118" s="188"/>
      <c r="H118" s="188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F120" s="188"/>
      <c r="G120" s="188"/>
      <c r="H120" s="188"/>
      <c r="I120" s="23"/>
    </row>
    <row r="121" spans="1:17" x14ac:dyDescent="0.25">
      <c r="B121" s="206"/>
      <c r="C121" s="188"/>
      <c r="D121" s="188"/>
      <c r="E121" s="188"/>
      <c r="F121" s="188"/>
      <c r="G121" s="188"/>
      <c r="H121" s="188"/>
      <c r="I121" s="188"/>
    </row>
    <row r="122" spans="1:17" x14ac:dyDescent="0.25">
      <c r="B122" s="188"/>
      <c r="C122" s="188"/>
      <c r="D122" s="188"/>
      <c r="E122" s="188"/>
      <c r="F122" s="188"/>
      <c r="G122" s="188"/>
      <c r="H122" s="188"/>
      <c r="I122" s="188"/>
    </row>
    <row r="123" spans="1:17" x14ac:dyDescent="0.25">
      <c r="A123" s="206"/>
      <c r="B123" s="206"/>
      <c r="C123" s="188"/>
      <c r="D123" s="188"/>
      <c r="E123" s="188"/>
      <c r="F123" s="188"/>
      <c r="G123" s="188"/>
      <c r="H123" s="188"/>
      <c r="I123" s="188"/>
    </row>
    <row r="124" spans="1:17" x14ac:dyDescent="0.25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5"/>
      <c r="B125" s="5"/>
      <c r="C125" s="5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13"/>
      <c r="B126" s="23"/>
      <c r="C126" s="13"/>
    </row>
    <row r="127" spans="1:17" x14ac:dyDescent="0.25">
      <c r="A127" s="13"/>
      <c r="B127" s="23"/>
      <c r="C127" s="23"/>
    </row>
    <row r="128" spans="1:17" x14ac:dyDescent="0.25">
      <c r="A128" s="13"/>
      <c r="B128" s="23"/>
      <c r="C128" s="2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23"/>
      <c r="B132" s="23"/>
      <c r="C132" s="13"/>
    </row>
    <row r="133" spans="1:16" x14ac:dyDescent="0.25">
      <c r="A133" s="23"/>
      <c r="B133" s="23"/>
      <c r="C133" s="13"/>
    </row>
    <row r="134" spans="1:16" x14ac:dyDescent="0.25">
      <c r="A134" s="23"/>
      <c r="B134" s="23"/>
      <c r="C134" s="13"/>
    </row>
    <row r="135" spans="1:16" x14ac:dyDescent="0.25">
      <c r="A135" s="23"/>
      <c r="B135" s="23"/>
      <c r="C135" s="13"/>
    </row>
    <row r="136" spans="1:16" x14ac:dyDescent="0.25">
      <c r="A136" s="13"/>
      <c r="B136" s="23"/>
    </row>
    <row r="137" spans="1:16" x14ac:dyDescent="0.25">
      <c r="A137" s="13"/>
      <c r="B137" s="23"/>
      <c r="C137" s="23"/>
    </row>
    <row r="138" spans="1:16" x14ac:dyDescent="0.25">
      <c r="A138" s="200"/>
      <c r="B138" s="20"/>
    </row>
    <row r="139" spans="1:16" x14ac:dyDescent="0.25">
      <c r="A139" s="13"/>
      <c r="B139" s="23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</row>
    <row r="140" spans="1:16" x14ac:dyDescent="0.25">
      <c r="A140" s="200"/>
      <c r="B140" s="23"/>
      <c r="C140" s="23"/>
    </row>
    <row r="141" spans="1:16" x14ac:dyDescent="0.25">
      <c r="A141" s="200"/>
      <c r="B141" s="23"/>
      <c r="C141" s="23"/>
    </row>
    <row r="142" spans="1:16" x14ac:dyDescent="0.25">
      <c r="A142" s="200"/>
      <c r="B142" s="20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</row>
    <row r="143" spans="1:16" x14ac:dyDescent="0.25">
      <c r="A143" s="13"/>
      <c r="B143" s="23"/>
    </row>
    <row r="144" spans="1:16" x14ac:dyDescent="0.25">
      <c r="A144" s="200"/>
      <c r="B144" s="23"/>
      <c r="C144" s="23"/>
    </row>
    <row r="145" spans="1:17" x14ac:dyDescent="0.25">
      <c r="A145" s="200"/>
      <c r="B145" s="23"/>
      <c r="C145" s="23"/>
    </row>
    <row r="146" spans="1:17" x14ac:dyDescent="0.25">
      <c r="A146" s="200"/>
      <c r="B146" s="23"/>
      <c r="C146" s="23"/>
    </row>
    <row r="147" spans="1:17" x14ac:dyDescent="0.25">
      <c r="A147" s="200"/>
      <c r="B147" s="23"/>
      <c r="C147" s="23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7" x14ac:dyDescent="0.25">
      <c r="A148" s="200"/>
      <c r="B148" s="23"/>
      <c r="C148" s="23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</row>
    <row r="149" spans="1:17" x14ac:dyDescent="0.25">
      <c r="A149" s="200"/>
      <c r="B149" s="20"/>
      <c r="C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7" x14ac:dyDescent="0.25">
      <c r="A150" s="13"/>
      <c r="B150" s="23"/>
    </row>
    <row r="151" spans="1:17" x14ac:dyDescent="0.25">
      <c r="A151" s="200"/>
      <c r="B151" s="23"/>
      <c r="C151" s="23"/>
    </row>
    <row r="152" spans="1:17" x14ac:dyDescent="0.25">
      <c r="A152" s="200"/>
      <c r="B152" s="23"/>
      <c r="C152" s="23"/>
    </row>
    <row r="153" spans="1:17" x14ac:dyDescent="0.25">
      <c r="A153" s="200"/>
      <c r="B153" s="20"/>
      <c r="C153" s="202"/>
    </row>
    <row r="154" spans="1:17" x14ac:dyDescent="0.25">
      <c r="A154" s="13"/>
      <c r="B154" s="2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1:17" x14ac:dyDescent="0.25">
      <c r="A155" s="13"/>
      <c r="B155" s="2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56" spans="1:17" x14ac:dyDescent="0.25">
      <c r="A156" s="13"/>
      <c r="B156" s="23"/>
      <c r="C156" s="202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7" x14ac:dyDescent="0.25">
      <c r="A157" s="13"/>
      <c r="B157" s="23"/>
    </row>
    <row r="158" spans="1:17" x14ac:dyDescent="0.25">
      <c r="A158" s="13"/>
      <c r="B158" s="23"/>
    </row>
    <row r="159" spans="1:17" x14ac:dyDescent="0.25">
      <c r="A159" s="13"/>
      <c r="B159" s="23"/>
    </row>
    <row r="160" spans="1:17" x14ac:dyDescent="0.25">
      <c r="A160" s="200"/>
      <c r="B160" s="20"/>
    </row>
    <row r="163" spans="1:17" x14ac:dyDescent="0.25">
      <c r="Q163" s="16"/>
    </row>
    <row r="164" spans="1:17" ht="13" x14ac:dyDescent="0.3">
      <c r="B164" s="187"/>
      <c r="C164" s="188"/>
      <c r="D164" s="188"/>
      <c r="E164" s="188"/>
      <c r="F164" s="188"/>
      <c r="G164" s="188"/>
      <c r="H164" s="187"/>
      <c r="I164" s="188"/>
    </row>
    <row r="165" spans="1:17" x14ac:dyDescent="0.25">
      <c r="B165" s="188"/>
      <c r="C165" s="188"/>
      <c r="D165" s="188"/>
      <c r="E165" s="188"/>
      <c r="F165" s="188"/>
      <c r="G165" s="188"/>
      <c r="H165" s="188"/>
      <c r="I165" s="188"/>
    </row>
    <row r="166" spans="1:17" x14ac:dyDescent="0.25">
      <c r="B166" s="188"/>
      <c r="C166" s="188"/>
      <c r="D166" s="188"/>
      <c r="E166" s="188"/>
      <c r="F166" s="188"/>
      <c r="G166" s="188"/>
      <c r="H166" s="188"/>
      <c r="I166" s="188"/>
    </row>
    <row r="167" spans="1:17" ht="13" x14ac:dyDescent="0.3">
      <c r="B167" s="186"/>
      <c r="C167" s="188"/>
      <c r="D167" s="188"/>
      <c r="E167" s="188"/>
      <c r="F167" s="188"/>
      <c r="G167" s="188"/>
      <c r="H167" s="186"/>
      <c r="I167" s="188"/>
    </row>
    <row r="168" spans="1:17" x14ac:dyDescent="0.25">
      <c r="B168" s="188"/>
      <c r="C168" s="188"/>
      <c r="D168" s="188"/>
      <c r="E168" s="188"/>
      <c r="F168" s="188"/>
      <c r="G168" s="188"/>
      <c r="H168" s="188"/>
      <c r="I168" s="188"/>
    </row>
    <row r="169" spans="1:17" x14ac:dyDescent="0.25">
      <c r="B169" s="188"/>
      <c r="C169" s="188"/>
      <c r="D169" s="188"/>
      <c r="E169" s="188"/>
      <c r="F169" s="188"/>
      <c r="G169" s="188"/>
      <c r="H169" s="188"/>
      <c r="I169" s="188"/>
    </row>
    <row r="170" spans="1:17" x14ac:dyDescent="0.25">
      <c r="B170" s="188"/>
      <c r="C170" s="188"/>
      <c r="F170" s="188"/>
      <c r="G170" s="188"/>
      <c r="H170" s="188"/>
      <c r="I170" s="23"/>
    </row>
    <row r="171" spans="1:17" x14ac:dyDescent="0.25">
      <c r="B171" s="206"/>
      <c r="C171" s="188"/>
      <c r="D171" s="188"/>
      <c r="E171" s="188"/>
      <c r="F171" s="188"/>
      <c r="G171" s="188"/>
      <c r="H171" s="13"/>
      <c r="I171" s="227"/>
    </row>
    <row r="172" spans="1:17" x14ac:dyDescent="0.25">
      <c r="B172" s="188"/>
      <c r="C172" s="188"/>
      <c r="D172" s="188"/>
      <c r="E172" s="188"/>
      <c r="F172" s="188"/>
      <c r="G172" s="188"/>
      <c r="H172" s="188"/>
      <c r="I172" s="188"/>
    </row>
    <row r="173" spans="1:17" x14ac:dyDescent="0.25">
      <c r="A173" s="206"/>
      <c r="B173" s="206"/>
      <c r="C173" s="188"/>
      <c r="D173" s="188"/>
      <c r="E173" s="188"/>
      <c r="F173" s="188"/>
      <c r="G173" s="188"/>
      <c r="H173" s="188"/>
      <c r="I173" s="188"/>
    </row>
    <row r="174" spans="1:17" x14ac:dyDescent="0.25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x14ac:dyDescent="0.25">
      <c r="A175" s="5"/>
      <c r="B175" s="5"/>
      <c r="C175" s="5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13"/>
      <c r="B176" s="23"/>
      <c r="C176" s="13"/>
    </row>
    <row r="177" spans="1:16" x14ac:dyDescent="0.25">
      <c r="A177" s="13"/>
      <c r="B177" s="23"/>
      <c r="C177" s="23"/>
    </row>
    <row r="178" spans="1:16" x14ac:dyDescent="0.25">
      <c r="A178" s="13"/>
      <c r="B178" s="23"/>
      <c r="C178" s="23"/>
    </row>
    <row r="179" spans="1:16" x14ac:dyDescent="0.25">
      <c r="A179" s="13"/>
      <c r="B179" s="23"/>
      <c r="C179" s="23"/>
    </row>
    <row r="180" spans="1:16" x14ac:dyDescent="0.25">
      <c r="A180" s="13"/>
      <c r="B180" s="23"/>
      <c r="C180" s="23"/>
    </row>
    <row r="181" spans="1:16" x14ac:dyDescent="0.25">
      <c r="A181" s="13"/>
      <c r="B181" s="23"/>
      <c r="C181" s="23"/>
    </row>
    <row r="182" spans="1:16" x14ac:dyDescent="0.25">
      <c r="A182" s="23"/>
      <c r="B182" s="23"/>
      <c r="C182" s="13"/>
    </row>
    <row r="183" spans="1:16" x14ac:dyDescent="0.25">
      <c r="A183" s="23"/>
      <c r="B183" s="23"/>
      <c r="C183" s="13"/>
    </row>
    <row r="184" spans="1:16" x14ac:dyDescent="0.25">
      <c r="A184" s="23"/>
      <c r="B184" s="23"/>
      <c r="C184" s="13"/>
    </row>
    <row r="185" spans="1:16" x14ac:dyDescent="0.25">
      <c r="A185" s="23"/>
      <c r="B185" s="23"/>
      <c r="C185" s="13"/>
    </row>
    <row r="186" spans="1:16" x14ac:dyDescent="0.25">
      <c r="A186" s="13"/>
      <c r="B186" s="23"/>
    </row>
    <row r="187" spans="1:16" x14ac:dyDescent="0.25">
      <c r="A187" s="13"/>
      <c r="B187" s="23"/>
      <c r="C187" s="23"/>
    </row>
    <row r="188" spans="1:16" x14ac:dyDescent="0.25">
      <c r="A188" s="200"/>
      <c r="B188" s="20"/>
    </row>
    <row r="189" spans="1:16" x14ac:dyDescent="0.25">
      <c r="A189" s="13"/>
      <c r="B189" s="23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</row>
    <row r="190" spans="1:16" x14ac:dyDescent="0.25">
      <c r="A190" s="200"/>
      <c r="B190" s="23"/>
      <c r="C190" s="23"/>
    </row>
    <row r="191" spans="1:16" x14ac:dyDescent="0.25">
      <c r="A191" s="200"/>
      <c r="B191" s="23"/>
      <c r="C191" s="23"/>
    </row>
    <row r="192" spans="1:16" x14ac:dyDescent="0.25">
      <c r="A192" s="200"/>
      <c r="B192" s="20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</row>
    <row r="193" spans="1:16" x14ac:dyDescent="0.25">
      <c r="A193" s="13"/>
      <c r="B193" s="23"/>
    </row>
    <row r="194" spans="1:16" x14ac:dyDescent="0.25">
      <c r="A194" s="200"/>
      <c r="B194" s="23"/>
      <c r="C194" s="23"/>
    </row>
    <row r="195" spans="1:16" x14ac:dyDescent="0.25">
      <c r="A195" s="200"/>
      <c r="B195" s="23"/>
      <c r="C195" s="23"/>
    </row>
    <row r="196" spans="1:16" x14ac:dyDescent="0.25">
      <c r="A196" s="200"/>
      <c r="B196" s="23"/>
      <c r="C196" s="23"/>
    </row>
    <row r="197" spans="1:16" x14ac:dyDescent="0.25">
      <c r="A197" s="200"/>
      <c r="B197" s="23"/>
      <c r="C197" s="23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</row>
    <row r="198" spans="1:16" x14ac:dyDescent="0.25">
      <c r="A198" s="200"/>
      <c r="B198" s="23"/>
      <c r="C198" s="23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</row>
    <row r="199" spans="1:16" x14ac:dyDescent="0.25">
      <c r="A199" s="200"/>
      <c r="B199" s="20"/>
      <c r="C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</row>
    <row r="200" spans="1:16" x14ac:dyDescent="0.25">
      <c r="A200" s="13"/>
      <c r="B200" s="23"/>
    </row>
    <row r="201" spans="1:16" x14ac:dyDescent="0.25">
      <c r="A201" s="200"/>
      <c r="B201" s="23"/>
      <c r="C201" s="23"/>
    </row>
    <row r="202" spans="1:16" x14ac:dyDescent="0.25">
      <c r="A202" s="200"/>
      <c r="B202" s="23"/>
      <c r="C202" s="23"/>
    </row>
    <row r="203" spans="1:16" x14ac:dyDescent="0.25">
      <c r="A203" s="200"/>
      <c r="B203" s="20"/>
      <c r="C203" s="202"/>
    </row>
    <row r="204" spans="1:16" x14ac:dyDescent="0.25">
      <c r="A204" s="13"/>
      <c r="B204" s="2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</row>
    <row r="205" spans="1:16" x14ac:dyDescent="0.25">
      <c r="A205" s="13"/>
      <c r="B205" s="2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16" x14ac:dyDescent="0.25">
      <c r="A206" s="13"/>
      <c r="B206" s="23"/>
      <c r="C206" s="202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</row>
    <row r="207" spans="1:16" x14ac:dyDescent="0.25">
      <c r="A207" s="13"/>
      <c r="B207" s="23"/>
    </row>
    <row r="208" spans="1:16" x14ac:dyDescent="0.25">
      <c r="A208" s="13"/>
      <c r="B208" s="23"/>
    </row>
    <row r="209" spans="1:9" x14ac:dyDescent="0.25">
      <c r="A209" s="13"/>
      <c r="B209" s="23"/>
    </row>
    <row r="210" spans="1:9" x14ac:dyDescent="0.25">
      <c r="A210" s="200"/>
      <c r="B210" s="20"/>
    </row>
    <row r="217" spans="1:9" ht="13" x14ac:dyDescent="0.3">
      <c r="B217" s="187"/>
      <c r="C217" s="188"/>
      <c r="D217" s="188"/>
      <c r="E217" s="188"/>
      <c r="F217" s="188"/>
      <c r="G217" s="188"/>
      <c r="H217" s="187"/>
      <c r="I217" s="188"/>
    </row>
    <row r="218" spans="1:9" x14ac:dyDescent="0.25">
      <c r="B218" s="188"/>
      <c r="C218" s="188"/>
      <c r="D218" s="188"/>
      <c r="E218" s="188"/>
      <c r="F218" s="188"/>
      <c r="G218" s="188"/>
      <c r="H218" s="188"/>
      <c r="I218" s="188"/>
    </row>
    <row r="219" spans="1:9" x14ac:dyDescent="0.25">
      <c r="B219" s="188"/>
      <c r="C219" s="188"/>
      <c r="D219" s="188"/>
      <c r="E219" s="188"/>
      <c r="F219" s="188"/>
      <c r="G219" s="188"/>
      <c r="H219" s="188"/>
      <c r="I219" s="188"/>
    </row>
    <row r="220" spans="1:9" ht="13" x14ac:dyDescent="0.3">
      <c r="B220" s="186"/>
      <c r="C220" s="188"/>
      <c r="D220" s="188"/>
      <c r="E220" s="188"/>
      <c r="F220" s="188"/>
      <c r="G220" s="188"/>
      <c r="H220" s="186"/>
      <c r="I220" s="188"/>
    </row>
    <row r="221" spans="1:9" x14ac:dyDescent="0.25">
      <c r="B221" s="188"/>
      <c r="C221" s="188"/>
      <c r="D221" s="188"/>
      <c r="E221" s="188"/>
      <c r="F221" s="188"/>
      <c r="G221" s="188"/>
      <c r="H221" s="188"/>
      <c r="I221" s="188"/>
    </row>
    <row r="222" spans="1:9" x14ac:dyDescent="0.25">
      <c r="B222" s="188"/>
      <c r="C222" s="188"/>
      <c r="D222" s="188"/>
      <c r="E222" s="188"/>
      <c r="F222" s="188"/>
      <c r="G222" s="188"/>
      <c r="H222" s="188"/>
      <c r="I222" s="188"/>
    </row>
    <row r="223" spans="1:9" x14ac:dyDescent="0.25">
      <c r="B223" s="188"/>
      <c r="C223" s="188"/>
      <c r="F223" s="188"/>
      <c r="G223" s="188"/>
      <c r="H223" s="188"/>
      <c r="I223" s="23"/>
    </row>
    <row r="224" spans="1:9" x14ac:dyDescent="0.25">
      <c r="B224" s="206"/>
      <c r="C224" s="188"/>
      <c r="D224" s="188"/>
      <c r="E224" s="188"/>
      <c r="F224" s="188"/>
      <c r="G224" s="188"/>
      <c r="H224" s="13"/>
      <c r="I224" s="227"/>
    </row>
    <row r="225" spans="1:17" x14ac:dyDescent="0.25">
      <c r="B225" s="188"/>
      <c r="C225" s="188"/>
      <c r="D225" s="188"/>
      <c r="E225" s="188"/>
      <c r="F225" s="188"/>
      <c r="G225" s="188"/>
      <c r="H225" s="188"/>
      <c r="I225" s="188"/>
    </row>
    <row r="226" spans="1:17" x14ac:dyDescent="0.25">
      <c r="A226" s="206"/>
      <c r="B226" s="206"/>
      <c r="C226" s="188"/>
      <c r="D226" s="188"/>
      <c r="E226" s="188"/>
      <c r="F226" s="188"/>
      <c r="G226" s="188"/>
      <c r="H226" s="188"/>
      <c r="I226" s="188"/>
    </row>
    <row r="227" spans="1:17" x14ac:dyDescent="0.2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x14ac:dyDescent="0.25">
      <c r="A228" s="5"/>
      <c r="B228" s="5"/>
      <c r="C228" s="5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x14ac:dyDescent="0.25">
      <c r="A229" s="13"/>
      <c r="B229" s="23"/>
      <c r="C229" s="13"/>
    </row>
    <row r="230" spans="1:17" x14ac:dyDescent="0.25">
      <c r="A230" s="13"/>
      <c r="B230" s="23"/>
      <c r="C230" s="23"/>
    </row>
    <row r="231" spans="1:17" x14ac:dyDescent="0.25">
      <c r="A231" s="13"/>
      <c r="B231" s="23"/>
      <c r="C231" s="23"/>
    </row>
    <row r="232" spans="1:17" x14ac:dyDescent="0.25">
      <c r="A232" s="13"/>
      <c r="B232" s="23"/>
      <c r="C232" s="23"/>
    </row>
    <row r="233" spans="1:17" x14ac:dyDescent="0.25">
      <c r="A233" s="13"/>
      <c r="B233" s="23"/>
      <c r="C233" s="23"/>
    </row>
    <row r="234" spans="1:17" x14ac:dyDescent="0.25">
      <c r="A234" s="13"/>
      <c r="B234" s="23"/>
      <c r="C234" s="23"/>
    </row>
    <row r="235" spans="1:17" x14ac:dyDescent="0.25">
      <c r="A235" s="23"/>
      <c r="B235" s="23"/>
      <c r="C235" s="13"/>
    </row>
    <row r="236" spans="1:17" x14ac:dyDescent="0.25">
      <c r="A236" s="23"/>
      <c r="B236" s="23"/>
      <c r="C236" s="13"/>
    </row>
    <row r="237" spans="1:17" x14ac:dyDescent="0.25">
      <c r="A237" s="23"/>
      <c r="B237" s="23"/>
      <c r="C237" s="13"/>
    </row>
    <row r="238" spans="1:17" x14ac:dyDescent="0.25">
      <c r="A238" s="23"/>
      <c r="B238" s="23"/>
      <c r="C238" s="13"/>
    </row>
    <row r="239" spans="1:17" x14ac:dyDescent="0.25">
      <c r="A239" s="13"/>
      <c r="B239" s="23"/>
    </row>
    <row r="240" spans="1:17" x14ac:dyDescent="0.25">
      <c r="A240" s="13"/>
      <c r="B240" s="23"/>
      <c r="C240" s="23"/>
    </row>
    <row r="241" spans="1:17" x14ac:dyDescent="0.25">
      <c r="A241" s="200"/>
      <c r="B241" s="20"/>
    </row>
    <row r="242" spans="1:17" x14ac:dyDescent="0.25">
      <c r="A242" s="13"/>
      <c r="B242" s="23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</row>
    <row r="243" spans="1:17" x14ac:dyDescent="0.25">
      <c r="A243" s="200"/>
      <c r="B243" s="23"/>
      <c r="C243" s="23"/>
    </row>
    <row r="244" spans="1:17" x14ac:dyDescent="0.25">
      <c r="A244" s="200"/>
      <c r="B244" s="23"/>
      <c r="C244" s="23"/>
    </row>
    <row r="245" spans="1:17" x14ac:dyDescent="0.25">
      <c r="A245" s="200"/>
      <c r="B245" s="20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</row>
    <row r="246" spans="1:17" x14ac:dyDescent="0.25">
      <c r="A246" s="13"/>
      <c r="B246" s="23"/>
    </row>
    <row r="247" spans="1:17" x14ac:dyDescent="0.25">
      <c r="A247" s="200"/>
      <c r="B247" s="23"/>
      <c r="C247" s="23"/>
    </row>
    <row r="248" spans="1:17" x14ac:dyDescent="0.25">
      <c r="A248" s="200"/>
      <c r="B248" s="23"/>
      <c r="C248" s="23"/>
    </row>
    <row r="249" spans="1:17" x14ac:dyDescent="0.25">
      <c r="A249" s="200"/>
      <c r="B249" s="23"/>
      <c r="C249" s="23"/>
    </row>
    <row r="250" spans="1:17" x14ac:dyDescent="0.25">
      <c r="A250" s="200"/>
      <c r="B250" s="23"/>
      <c r="C250" s="23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</row>
    <row r="251" spans="1:17" x14ac:dyDescent="0.25">
      <c r="A251" s="200"/>
      <c r="B251" s="23"/>
      <c r="C251" s="23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</row>
    <row r="252" spans="1:17" x14ac:dyDescent="0.25">
      <c r="A252" s="200"/>
      <c r="B252" s="20"/>
      <c r="C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</row>
    <row r="253" spans="1:17" x14ac:dyDescent="0.25">
      <c r="A253" s="13"/>
      <c r="B253" s="23"/>
    </row>
    <row r="254" spans="1:17" x14ac:dyDescent="0.25">
      <c r="A254" s="200"/>
      <c r="B254" s="23"/>
      <c r="C254" s="23"/>
    </row>
    <row r="255" spans="1:17" x14ac:dyDescent="0.25">
      <c r="A255" s="200"/>
      <c r="B255" s="23"/>
      <c r="C255" s="23"/>
    </row>
    <row r="256" spans="1:17" x14ac:dyDescent="0.25">
      <c r="A256" s="200"/>
      <c r="B256" s="20"/>
      <c r="C256" s="202"/>
    </row>
    <row r="257" spans="1:16" x14ac:dyDescent="0.25">
      <c r="A257" s="13"/>
      <c r="B257" s="2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</row>
    <row r="258" spans="1:16" x14ac:dyDescent="0.25">
      <c r="A258" s="13"/>
      <c r="B258" s="2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</row>
    <row r="259" spans="1:16" x14ac:dyDescent="0.25">
      <c r="A259" s="13"/>
      <c r="B259" s="23"/>
      <c r="C259" s="202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</row>
    <row r="260" spans="1:16" x14ac:dyDescent="0.25">
      <c r="A260" s="13"/>
      <c r="B260" s="23"/>
    </row>
    <row r="261" spans="1:16" x14ac:dyDescent="0.25">
      <c r="A261" s="13"/>
      <c r="B261" s="23"/>
    </row>
    <row r="262" spans="1:16" x14ac:dyDescent="0.25">
      <c r="A262" s="13"/>
      <c r="B262" s="23"/>
    </row>
    <row r="263" spans="1:16" x14ac:dyDescent="0.25">
      <c r="A263" s="200"/>
      <c r="B263" s="20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3" manualBreakCount="3">
    <brk id="112" max="16" man="1"/>
    <brk id="162" max="16" man="1"/>
    <brk id="215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FCB2F-3434-44BD-BF28-FCED74C76F2D}">
  <sheetPr transitionEvaluation="1" transitionEntry="1"/>
  <dimension ref="A1:AF212"/>
  <sheetViews>
    <sheetView showGridLines="0" defaultGridColor="0" view="pageBreakPreview" topLeftCell="E1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1" width="3.75" style="1" customWidth="1"/>
    <col min="2" max="2" width="3.58203125" style="1" customWidth="1"/>
    <col min="3" max="3" width="40.33203125" style="1" customWidth="1"/>
    <col min="4" max="4" width="13.75" style="1" customWidth="1"/>
    <col min="5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3.25" style="1" bestFit="1" customWidth="1"/>
    <col min="21" max="32" width="12.08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17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-5523</v>
      </c>
      <c r="F15" s="1">
        <v>4463.6899999999996</v>
      </c>
      <c r="G15" s="1">
        <v>5915.75</v>
      </c>
      <c r="H15" s="1">
        <v>1049.25</v>
      </c>
      <c r="I15" s="1">
        <v>16483.490000000002</v>
      </c>
      <c r="J15" s="1">
        <v>22385</v>
      </c>
      <c r="K15" s="1">
        <v>59015</v>
      </c>
      <c r="L15" s="1">
        <v>77330</v>
      </c>
      <c r="M15" s="1">
        <v>40700</v>
      </c>
      <c r="N15" s="1">
        <v>22893.75</v>
      </c>
      <c r="O15" s="1">
        <v>22893.75</v>
      </c>
      <c r="P15" s="1">
        <v>33068.75</v>
      </c>
      <c r="Q15" s="1">
        <f t="shared" ref="Q15:Q20" si="0">SUM(E15:P15)</f>
        <v>300675.43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6086.5</v>
      </c>
      <c r="G16" s="1">
        <v>214648.22</v>
      </c>
      <c r="H16" s="1">
        <v>351783.32000000007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572518.04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-214648.22</v>
      </c>
      <c r="H19" s="1">
        <v>-346443.32</v>
      </c>
      <c r="I19" s="1">
        <f>214648.22+346443.32</f>
        <v>561091.54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v>-753.14</v>
      </c>
      <c r="F20" s="1">
        <v>0</v>
      </c>
      <c r="G20" s="1">
        <v>0</v>
      </c>
      <c r="H20" s="1">
        <v>0</v>
      </c>
      <c r="I20" s="1">
        <v>-4290.38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-5043.5200000000004</v>
      </c>
    </row>
    <row r="21" spans="1:32" x14ac:dyDescent="0.25">
      <c r="A21" s="13">
        <v>2</v>
      </c>
      <c r="B21" s="23" t="s">
        <v>272</v>
      </c>
      <c r="C21" s="13"/>
      <c r="D21" s="1">
        <v>21018243.130000003</v>
      </c>
      <c r="E21" s="27">
        <f>D21+E16-E17+E19</f>
        <v>21018243.130000003</v>
      </c>
      <c r="F21" s="27">
        <f>E21+F16-F17</f>
        <v>21024329.630000003</v>
      </c>
      <c r="G21" s="27">
        <f>F21+G16-G17+G19</f>
        <v>21024329.630000003</v>
      </c>
      <c r="H21" s="27">
        <f>G21+H16-H17+H19</f>
        <v>21029669.630000003</v>
      </c>
      <c r="I21" s="27">
        <f>H21+I16-I17+I19</f>
        <v>21590761.170000002</v>
      </c>
      <c r="J21" s="1">
        <f>I21+J16-J17</f>
        <v>21590761.170000002</v>
      </c>
      <c r="K21" s="1">
        <f t="shared" ref="K21:P21" si="1">J21+K16-K17</f>
        <v>21590761.170000002</v>
      </c>
      <c r="L21" s="1">
        <f t="shared" si="1"/>
        <v>21590761.170000002</v>
      </c>
      <c r="M21" s="1">
        <f t="shared" si="1"/>
        <v>21590761.170000002</v>
      </c>
      <c r="N21" s="1">
        <f t="shared" si="1"/>
        <v>21590761.170000002</v>
      </c>
      <c r="O21" s="1">
        <f t="shared" si="1"/>
        <v>21590761.170000002</v>
      </c>
      <c r="P21" s="1">
        <f t="shared" si="1"/>
        <v>21590761.170000002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-2473935.7727231965</v>
      </c>
      <c r="E22" s="27">
        <f>D22-E33-E34-E35+E17+E18+E20</f>
        <v>-2557010.3656829717</v>
      </c>
      <c r="F22" s="1">
        <f t="shared" ref="F22:P22" si="2">E22-F33-F34-F35+F17+F18-F19</f>
        <v>-2639343.7380386814</v>
      </c>
      <c r="G22" s="27">
        <f>F22-G33-G34-G35+G17+G18+G20</f>
        <v>-2721689.0380386813</v>
      </c>
      <c r="H22" s="27">
        <f>G22-H33-H34-H35+H17+H18+H20</f>
        <v>-2804044.7780386815</v>
      </c>
      <c r="I22" s="27">
        <f>H22-I33-I34-I35+I17+I18+I20</f>
        <v>-2892898.9680386814</v>
      </c>
      <c r="J22" s="1">
        <f>I22-J33-J34-J35+J17+J18-J19</f>
        <v>-2977462.7833408737</v>
      </c>
      <c r="K22" s="1">
        <f t="shared" si="2"/>
        <v>-3062026.5986430659</v>
      </c>
      <c r="L22" s="1">
        <f t="shared" si="2"/>
        <v>-3146590.4139452581</v>
      </c>
      <c r="M22" s="1">
        <f t="shared" si="2"/>
        <v>-3231154.2292474504</v>
      </c>
      <c r="N22" s="1">
        <f t="shared" si="2"/>
        <v>-3315718.0445496426</v>
      </c>
      <c r="O22" s="1">
        <f t="shared" si="2"/>
        <v>-3400281.8598518348</v>
      </c>
      <c r="P22" s="1">
        <f t="shared" si="2"/>
        <v>-3484845.6751540271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99">
        <v>574610.04000000155</v>
      </c>
      <c r="E23" s="199">
        <f>D23+E15-E16</f>
        <v>569087.04000000155</v>
      </c>
      <c r="F23" s="199">
        <f t="shared" ref="F23:P23" si="3">E23+F15-F16</f>
        <v>567464.23000000149</v>
      </c>
      <c r="G23" s="199">
        <f t="shared" si="3"/>
        <v>358731.76000000152</v>
      </c>
      <c r="H23" s="199">
        <f t="shared" si="3"/>
        <v>7997.6900000014575</v>
      </c>
      <c r="I23" s="199">
        <f t="shared" si="3"/>
        <v>24481.180000001459</v>
      </c>
      <c r="J23" s="199">
        <f t="shared" si="3"/>
        <v>46866.180000001463</v>
      </c>
      <c r="K23" s="199">
        <f t="shared" si="3"/>
        <v>105881.18000000146</v>
      </c>
      <c r="L23" s="199">
        <f t="shared" si="3"/>
        <v>183211.18000000145</v>
      </c>
      <c r="M23" s="199">
        <f t="shared" si="3"/>
        <v>223911.18000000145</v>
      </c>
      <c r="N23" s="199">
        <f t="shared" si="3"/>
        <v>246804.93000000145</v>
      </c>
      <c r="O23" s="199">
        <f t="shared" si="3"/>
        <v>269698.68000000145</v>
      </c>
      <c r="P23" s="199">
        <f t="shared" si="3"/>
        <v>302767.43000000145</v>
      </c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199">
        <f t="shared" ref="D24:P24" si="4">SUM(D21:D23)</f>
        <v>19118917.397276808</v>
      </c>
      <c r="E24" s="199">
        <f t="shared" si="4"/>
        <v>19030319.804317035</v>
      </c>
      <c r="F24" s="199">
        <f t="shared" si="4"/>
        <v>18952450.121961322</v>
      </c>
      <c r="G24" s="199">
        <f t="shared" si="4"/>
        <v>18661372.351961322</v>
      </c>
      <c r="H24" s="199">
        <f t="shared" si="4"/>
        <v>18233622.541961323</v>
      </c>
      <c r="I24" s="199">
        <f t="shared" si="4"/>
        <v>18722343.38196132</v>
      </c>
      <c r="J24" s="199">
        <f t="shared" si="4"/>
        <v>18660164.566659126</v>
      </c>
      <c r="K24" s="199">
        <f t="shared" si="4"/>
        <v>18634615.751356937</v>
      </c>
      <c r="L24" s="199">
        <f t="shared" si="4"/>
        <v>18627381.936054744</v>
      </c>
      <c r="M24" s="199">
        <f t="shared" si="4"/>
        <v>18583518.120752551</v>
      </c>
      <c r="N24" s="199">
        <f t="shared" si="4"/>
        <v>18521848.055450357</v>
      </c>
      <c r="O24" s="199">
        <f t="shared" si="4"/>
        <v>18460177.990148168</v>
      </c>
      <c r="P24" s="199">
        <f t="shared" si="4"/>
        <v>18408682.924845975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19074618.600796923</v>
      </c>
      <c r="F26" s="1">
        <f t="shared" ref="F26:P26" si="5">(E24+F24)/2</f>
        <v>18991384.963139176</v>
      </c>
      <c r="G26" s="1">
        <f t="shared" si="5"/>
        <v>18806911.23696132</v>
      </c>
      <c r="H26" s="1">
        <f t="shared" si="5"/>
        <v>18447497.446961321</v>
      </c>
      <c r="I26" s="1">
        <f t="shared" si="5"/>
        <v>18477982.961961322</v>
      </c>
      <c r="J26" s="1">
        <f t="shared" si="5"/>
        <v>18691253.974310223</v>
      </c>
      <c r="K26" s="1">
        <f t="shared" si="5"/>
        <v>18647390.159008034</v>
      </c>
      <c r="L26" s="1">
        <f t="shared" si="5"/>
        <v>18630998.84370584</v>
      </c>
      <c r="M26" s="1">
        <f t="shared" si="5"/>
        <v>18605450.028403647</v>
      </c>
      <c r="N26" s="1">
        <f t="shared" si="5"/>
        <v>18552683.088101454</v>
      </c>
      <c r="O26" s="1">
        <f t="shared" si="5"/>
        <v>18491013.022799261</v>
      </c>
      <c r="P26" s="1">
        <f t="shared" si="5"/>
        <v>18434430.457497071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87819.544038069027</v>
      </c>
      <c r="F29" s="1">
        <v>87436.33637029276</v>
      </c>
      <c r="G29" s="1">
        <v>86587.019334969911</v>
      </c>
      <c r="H29" s="1">
        <v>84932.27824580991</v>
      </c>
      <c r="I29" s="1">
        <v>85072.633556869914</v>
      </c>
      <c r="J29" s="1">
        <v>86054.533297724265</v>
      </c>
      <c r="K29" s="1">
        <v>89302.35147148947</v>
      </c>
      <c r="L29" s="1">
        <v>89223.853462507264</v>
      </c>
      <c r="M29" s="1">
        <v>89101.500186025063</v>
      </c>
      <c r="N29" s="1">
        <v>88848.799308917864</v>
      </c>
      <c r="O29" s="1">
        <v>88553.461366185657</v>
      </c>
      <c r="P29" s="1">
        <v>88282.487460953475</v>
      </c>
      <c r="Q29" s="1">
        <f>SUM(E29:P29)</f>
        <v>1051214.7980998144</v>
      </c>
    </row>
    <row r="30" spans="1:32" x14ac:dyDescent="0.25">
      <c r="A30" s="200"/>
      <c r="B30" s="23" t="s">
        <v>264</v>
      </c>
      <c r="C30" s="23" t="s">
        <v>279</v>
      </c>
      <c r="E30" s="1">
        <v>22164.706814126024</v>
      </c>
      <c r="F30" s="1">
        <v>22067.989327167725</v>
      </c>
      <c r="G30" s="1">
        <v>21853.630857349053</v>
      </c>
      <c r="H30" s="1">
        <v>21435.992033369057</v>
      </c>
      <c r="I30" s="1">
        <v>21471.416201799057</v>
      </c>
      <c r="J30" s="1">
        <v>21719.237118148481</v>
      </c>
      <c r="K30" s="1">
        <v>19561.112276799427</v>
      </c>
      <c r="L30" s="1">
        <v>19543.917787047427</v>
      </c>
      <c r="M30" s="1">
        <v>19517.117079795426</v>
      </c>
      <c r="N30" s="1">
        <v>19461.764559418425</v>
      </c>
      <c r="O30" s="1">
        <v>19397.072660916427</v>
      </c>
      <c r="P30" s="1">
        <v>19337.717549914429</v>
      </c>
      <c r="Q30" s="1">
        <f>SUM(E30:P30)</f>
        <v>247531.67426585098</v>
      </c>
    </row>
    <row r="31" spans="1:32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82321.452959774775</v>
      </c>
      <c r="F33" s="1">
        <v>82333.372355709551</v>
      </c>
      <c r="G33" s="1">
        <v>82345.3</v>
      </c>
      <c r="H33" s="1">
        <v>82355.740000000005</v>
      </c>
      <c r="I33" s="1">
        <v>84563.81</v>
      </c>
      <c r="J33" s="1">
        <v>84563.815302192044</v>
      </c>
      <c r="K33" s="1">
        <v>84563.815302192044</v>
      </c>
      <c r="L33" s="1">
        <v>84563.815302192044</v>
      </c>
      <c r="M33" s="1">
        <v>84563.815302192044</v>
      </c>
      <c r="N33" s="1">
        <v>84563.815302192044</v>
      </c>
      <c r="O33" s="1">
        <v>84563.815302192044</v>
      </c>
      <c r="P33" s="1">
        <v>84563.815302192044</v>
      </c>
      <c r="Q33" s="1">
        <f>SUM(E33:P33)</f>
        <v>1005866.3824308284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270</v>
      </c>
      <c r="C37" s="23" t="s">
        <v>285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192305.70381196984</v>
      </c>
      <c r="F39" s="1">
        <f t="shared" ref="F39:P39" si="6">SUM(F29:F37)</f>
        <v>191837.69805317005</v>
      </c>
      <c r="G39" s="1">
        <f t="shared" si="6"/>
        <v>190785.95019231897</v>
      </c>
      <c r="H39" s="1">
        <f>SUM(H29:H37)</f>
        <v>188724.01027917897</v>
      </c>
      <c r="I39" s="1">
        <f t="shared" si="6"/>
        <v>191107.85975866899</v>
      </c>
      <c r="J39" s="1">
        <f t="shared" si="6"/>
        <v>192337.5857180648</v>
      </c>
      <c r="K39" s="1">
        <f t="shared" si="6"/>
        <v>193427.27905048092</v>
      </c>
      <c r="L39" s="1">
        <f t="shared" si="6"/>
        <v>193331.58655174673</v>
      </c>
      <c r="M39" s="1">
        <f t="shared" si="6"/>
        <v>193182.43256801253</v>
      </c>
      <c r="N39" s="1">
        <f t="shared" si="6"/>
        <v>192874.37917052832</v>
      </c>
      <c r="O39" s="1">
        <f t="shared" si="6"/>
        <v>192514.34932929411</v>
      </c>
      <c r="P39" s="1">
        <f t="shared" si="6"/>
        <v>192184.02031305997</v>
      </c>
      <c r="Q39" s="1">
        <f>SUM(E39:P39)</f>
        <v>2304612.8547964944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14792.746447074604</v>
      </c>
      <c r="F40" s="1">
        <f t="shared" ref="F40:P40" si="7">F39*1/13</f>
        <v>14756.746004090004</v>
      </c>
      <c r="G40" s="1">
        <f t="shared" si="7"/>
        <v>14675.842322486074</v>
      </c>
      <c r="H40" s="1">
        <f t="shared" si="7"/>
        <v>14517.231559936843</v>
      </c>
      <c r="I40" s="1">
        <f t="shared" si="7"/>
        <v>14700.604596820691</v>
      </c>
      <c r="J40" s="1">
        <f t="shared" si="7"/>
        <v>14795.1989013896</v>
      </c>
      <c r="K40" s="1">
        <f t="shared" si="7"/>
        <v>14879.021465421609</v>
      </c>
      <c r="L40" s="1">
        <f t="shared" si="7"/>
        <v>14871.660503980518</v>
      </c>
      <c r="M40" s="1">
        <f t="shared" si="7"/>
        <v>14860.187120616349</v>
      </c>
      <c r="N40" s="1">
        <f t="shared" si="7"/>
        <v>14836.490705425256</v>
      </c>
      <c r="O40" s="1">
        <f t="shared" si="7"/>
        <v>14808.796102253393</v>
      </c>
      <c r="P40" s="1">
        <f t="shared" si="7"/>
        <v>14783.38617792769</v>
      </c>
      <c r="Q40" s="1">
        <f>SUM(E40:P40)</f>
        <v>177277.91190742265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177512.95999999999</v>
      </c>
      <c r="F41" s="1">
        <f t="shared" si="8"/>
        <v>177080.95</v>
      </c>
      <c r="G41" s="1">
        <f t="shared" si="8"/>
        <v>176110.11</v>
      </c>
      <c r="H41" s="1">
        <f t="shared" si="8"/>
        <v>174206.78</v>
      </c>
      <c r="I41" s="1">
        <f t="shared" si="8"/>
        <v>176407.26</v>
      </c>
      <c r="J41" s="1">
        <f t="shared" si="8"/>
        <v>177542.39</v>
      </c>
      <c r="K41" s="1">
        <f t="shared" si="8"/>
        <v>178548.26</v>
      </c>
      <c r="L41" s="1">
        <f t="shared" si="8"/>
        <v>178459.93</v>
      </c>
      <c r="M41" s="1">
        <f t="shared" si="8"/>
        <v>178322.25</v>
      </c>
      <c r="N41" s="1">
        <f t="shared" si="8"/>
        <v>178037.89</v>
      </c>
      <c r="O41" s="1">
        <f t="shared" si="8"/>
        <v>177705.55</v>
      </c>
      <c r="P41" s="1">
        <f t="shared" si="8"/>
        <v>177400.63</v>
      </c>
      <c r="Q41" s="1">
        <f>SUM(E41:P41)</f>
        <v>2127334.9600000004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14810.497742811094</v>
      </c>
      <c r="F46" s="1">
        <v>14774.454099294913</v>
      </c>
      <c r="G46" s="1">
        <v>14693.453333273059</v>
      </c>
      <c r="H46" s="1">
        <v>14534.652237808768</v>
      </c>
      <c r="I46" s="1">
        <v>14718.245322336878</v>
      </c>
      <c r="J46" s="1">
        <v>14812.953140071269</v>
      </c>
      <c r="K46" s="1">
        <v>14896.876291180117</v>
      </c>
      <c r="L46" s="1">
        <v>14889.506496585296</v>
      </c>
      <c r="M46" s="1">
        <v>14878.01934516109</v>
      </c>
      <c r="N46" s="1">
        <v>14854.294494271768</v>
      </c>
      <c r="O46" s="1">
        <v>14826.566657576099</v>
      </c>
      <c r="P46" s="1">
        <v>14801.126241341204</v>
      </c>
      <c r="Q46" s="1">
        <f>SUM(E46:P46)</f>
        <v>177490.64540171155</v>
      </c>
    </row>
    <row r="47" spans="1:17" x14ac:dyDescent="0.25">
      <c r="A47" s="13">
        <v>13</v>
      </c>
      <c r="B47" s="23" t="s">
        <v>290</v>
      </c>
      <c r="E47" s="199">
        <f>E41*E44</f>
        <v>172603.430811392</v>
      </c>
      <c r="F47" s="199">
        <f t="shared" ref="F47:P47" si="9">F41*F44</f>
        <v>172183.36904156502</v>
      </c>
      <c r="G47" s="199">
        <f t="shared" si="9"/>
        <v>171239.37985469698</v>
      </c>
      <c r="H47" s="199">
        <f t="shared" si="9"/>
        <v>169388.69082350601</v>
      </c>
      <c r="I47" s="199">
        <f t="shared" si="9"/>
        <v>171528.31148800201</v>
      </c>
      <c r="J47" s="199">
        <f t="shared" si="9"/>
        <v>172632.04685705301</v>
      </c>
      <c r="K47" s="199">
        <f t="shared" si="9"/>
        <v>173610.09720870201</v>
      </c>
      <c r="L47" s="199">
        <f t="shared" si="9"/>
        <v>173524.21017801098</v>
      </c>
      <c r="M47" s="199">
        <f t="shared" si="9"/>
        <v>173390.33803507499</v>
      </c>
      <c r="N47" s="199">
        <f t="shared" si="9"/>
        <v>173113.842664903</v>
      </c>
      <c r="O47" s="199">
        <f t="shared" si="9"/>
        <v>172790.69429198498</v>
      </c>
      <c r="P47" s="199">
        <f t="shared" si="9"/>
        <v>172494.207555901</v>
      </c>
      <c r="Q47" s="199">
        <f>SUM(E47:P47)</f>
        <v>2068498.618810792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187413.9285542031</v>
      </c>
      <c r="F48" s="204">
        <f t="shared" si="10"/>
        <v>186957.82314085992</v>
      </c>
      <c r="G48" s="204">
        <f t="shared" si="10"/>
        <v>185932.83318797004</v>
      </c>
      <c r="H48" s="204">
        <f t="shared" si="10"/>
        <v>183923.34306131478</v>
      </c>
      <c r="I48" s="204">
        <f t="shared" si="10"/>
        <v>186246.55681033889</v>
      </c>
      <c r="J48" s="204">
        <f t="shared" si="10"/>
        <v>187444.99999712428</v>
      </c>
      <c r="K48" s="204">
        <f t="shared" si="10"/>
        <v>188506.97349988212</v>
      </c>
      <c r="L48" s="204">
        <f t="shared" si="10"/>
        <v>188413.71667459627</v>
      </c>
      <c r="M48" s="204">
        <f t="shared" si="10"/>
        <v>188268.35738023609</v>
      </c>
      <c r="N48" s="204">
        <f t="shared" si="10"/>
        <v>187968.13715917477</v>
      </c>
      <c r="O48" s="204">
        <f t="shared" si="10"/>
        <v>187617.26094956108</v>
      </c>
      <c r="P48" s="204">
        <f t="shared" si="10"/>
        <v>187295.3337972422</v>
      </c>
      <c r="Q48" s="204">
        <f t="shared" si="10"/>
        <v>2245989.2642125036</v>
      </c>
    </row>
    <row r="49" spans="1:17" ht="13" thickTop="1" x14ac:dyDescent="0.25">
      <c r="A49" s="200"/>
      <c r="B49" s="20"/>
    </row>
    <row r="50" spans="1:17" x14ac:dyDescent="0.25">
      <c r="A50" s="210" t="s">
        <v>76</v>
      </c>
      <c r="B50" s="23"/>
    </row>
    <row r="51" spans="1:17" x14ac:dyDescent="0.25">
      <c r="A51" s="23" t="s">
        <v>168</v>
      </c>
      <c r="B51" s="23" t="s">
        <v>321</v>
      </c>
    </row>
    <row r="52" spans="1:17" x14ac:dyDescent="0.25">
      <c r="A52" s="23"/>
      <c r="B52" s="228" t="s">
        <v>333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11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ht="13" x14ac:dyDescent="0.3">
      <c r="A61" s="11" t="s">
        <v>307</v>
      </c>
      <c r="B61" s="23" t="s">
        <v>308</v>
      </c>
      <c r="Q61" s="226"/>
    </row>
    <row r="62" spans="1:17" x14ac:dyDescent="0.25">
      <c r="A62" s="11" t="s">
        <v>309</v>
      </c>
      <c r="B62" s="23" t="s">
        <v>310</v>
      </c>
      <c r="Q62" s="16"/>
    </row>
    <row r="63" spans="1:17" x14ac:dyDescent="0.25">
      <c r="Q63" s="16"/>
    </row>
    <row r="64" spans="1:17" x14ac:dyDescent="0.25">
      <c r="Q64" s="16"/>
    </row>
    <row r="65" spans="1:17" ht="13" x14ac:dyDescent="0.3">
      <c r="B65" s="187"/>
      <c r="C65" s="188"/>
      <c r="D65" s="188"/>
      <c r="E65" s="188"/>
      <c r="F65" s="188"/>
      <c r="G65" s="188"/>
      <c r="H65" s="187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188"/>
      <c r="H70" s="188"/>
      <c r="I70" s="188"/>
    </row>
    <row r="71" spans="1:17" x14ac:dyDescent="0.25">
      <c r="B71" s="188"/>
      <c r="C71" s="188"/>
      <c r="F71" s="188"/>
      <c r="G71" s="188"/>
      <c r="H71" s="188"/>
      <c r="I71" s="23"/>
    </row>
    <row r="72" spans="1:17" x14ac:dyDescent="0.25">
      <c r="B72" s="206"/>
      <c r="C72" s="188"/>
      <c r="D72" s="188"/>
      <c r="E72" s="188"/>
      <c r="F72" s="188"/>
      <c r="G72" s="188"/>
      <c r="H72" s="10"/>
      <c r="I72" s="209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2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  <c r="C86" s="13"/>
    </row>
    <row r="87" spans="1:16" x14ac:dyDescent="0.25">
      <c r="A87" s="13"/>
      <c r="B87" s="23"/>
    </row>
    <row r="88" spans="1:16" x14ac:dyDescent="0.25">
      <c r="A88" s="13"/>
      <c r="B88" s="23"/>
      <c r="C88" s="23"/>
    </row>
    <row r="89" spans="1:16" x14ac:dyDescent="0.25">
      <c r="A89" s="200"/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A91" s="200"/>
      <c r="B91" s="23"/>
      <c r="C91" s="23"/>
    </row>
    <row r="92" spans="1:16" x14ac:dyDescent="0.25">
      <c r="A92" s="200"/>
      <c r="B92" s="23"/>
      <c r="C92" s="23"/>
    </row>
    <row r="93" spans="1:16" x14ac:dyDescent="0.25">
      <c r="A93" s="200"/>
      <c r="B93" s="20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x14ac:dyDescent="0.25">
      <c r="A94" s="13"/>
      <c r="B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7" x14ac:dyDescent="0.25">
      <c r="A97" s="200"/>
      <c r="B97" s="23"/>
      <c r="C97" s="23"/>
    </row>
    <row r="98" spans="1:17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7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7" x14ac:dyDescent="0.25">
      <c r="A101" s="13"/>
      <c r="B101" s="23"/>
    </row>
    <row r="102" spans="1:17" x14ac:dyDescent="0.25">
      <c r="A102" s="200"/>
      <c r="B102" s="23"/>
      <c r="C102" s="23"/>
    </row>
    <row r="103" spans="1:17" x14ac:dyDescent="0.25">
      <c r="A103" s="200"/>
      <c r="B103" s="23"/>
      <c r="C103" s="23"/>
    </row>
    <row r="104" spans="1:17" x14ac:dyDescent="0.25">
      <c r="A104" s="200"/>
      <c r="B104" s="20"/>
      <c r="C104" s="202"/>
    </row>
    <row r="105" spans="1:17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7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7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7" x14ac:dyDescent="0.25">
      <c r="A108" s="13"/>
      <c r="B108" s="23"/>
    </row>
    <row r="109" spans="1:17" x14ac:dyDescent="0.25">
      <c r="A109" s="13"/>
      <c r="B109" s="23"/>
    </row>
    <row r="110" spans="1:17" x14ac:dyDescent="0.25">
      <c r="A110" s="13"/>
      <c r="B110" s="23"/>
    </row>
    <row r="111" spans="1:17" x14ac:dyDescent="0.25">
      <c r="A111" s="200"/>
      <c r="B111" s="20"/>
    </row>
    <row r="112" spans="1:17" ht="13" x14ac:dyDescent="0.3">
      <c r="Q112" s="226"/>
    </row>
    <row r="113" spans="1:17" x14ac:dyDescent="0.25">
      <c r="Q113" s="16"/>
    </row>
    <row r="114" spans="1:17" ht="13" x14ac:dyDescent="0.3">
      <c r="B114" s="187"/>
      <c r="C114" s="188"/>
      <c r="D114" s="188"/>
      <c r="E114" s="188"/>
      <c r="F114" s="188"/>
      <c r="G114" s="188"/>
      <c r="H114" s="187"/>
      <c r="I114" s="188"/>
    </row>
    <row r="115" spans="1:17" x14ac:dyDescent="0.25">
      <c r="B115" s="188"/>
      <c r="C115" s="188"/>
      <c r="D115" s="188"/>
      <c r="E115" s="188"/>
      <c r="F115" s="188"/>
      <c r="G115" s="188"/>
      <c r="H115" s="188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ht="13" x14ac:dyDescent="0.3">
      <c r="B117" s="186"/>
      <c r="C117" s="188"/>
      <c r="D117" s="188"/>
      <c r="E117" s="188"/>
      <c r="F117" s="188"/>
      <c r="G117" s="188"/>
      <c r="H117" s="186"/>
      <c r="I117" s="188"/>
    </row>
    <row r="118" spans="1:17" x14ac:dyDescent="0.25">
      <c r="B118" s="188"/>
      <c r="C118" s="188"/>
      <c r="D118" s="188"/>
      <c r="E118" s="188"/>
      <c r="F118" s="188"/>
      <c r="G118" s="188"/>
      <c r="H118" s="188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F120" s="188"/>
      <c r="G120" s="188"/>
      <c r="H120" s="188"/>
      <c r="I120" s="23"/>
    </row>
    <row r="121" spans="1:17" x14ac:dyDescent="0.25">
      <c r="B121" s="206"/>
      <c r="C121" s="188"/>
      <c r="D121" s="188"/>
      <c r="E121" s="188"/>
      <c r="F121" s="188"/>
      <c r="G121" s="188"/>
      <c r="H121" s="10"/>
      <c r="I121" s="209"/>
    </row>
    <row r="122" spans="1:17" x14ac:dyDescent="0.25">
      <c r="B122" s="188"/>
      <c r="C122" s="188"/>
      <c r="D122" s="188"/>
      <c r="E122" s="188"/>
      <c r="F122" s="188"/>
      <c r="G122" s="188"/>
      <c r="H122" s="188"/>
      <c r="I122" s="188"/>
    </row>
    <row r="123" spans="1:17" x14ac:dyDescent="0.25">
      <c r="A123" s="206"/>
      <c r="B123" s="206"/>
      <c r="C123" s="188"/>
      <c r="D123" s="188"/>
      <c r="E123" s="188"/>
      <c r="F123" s="188"/>
      <c r="G123" s="188"/>
      <c r="H123" s="188"/>
      <c r="I123" s="188"/>
    </row>
    <row r="124" spans="1:17" x14ac:dyDescent="0.25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5"/>
      <c r="B125" s="5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13"/>
      <c r="B126" s="23"/>
      <c r="C126" s="13"/>
    </row>
    <row r="127" spans="1:17" x14ac:dyDescent="0.25">
      <c r="A127" s="13"/>
      <c r="B127" s="23"/>
      <c r="C127" s="23"/>
    </row>
    <row r="128" spans="1:17" x14ac:dyDescent="0.25">
      <c r="A128" s="13"/>
      <c r="B128" s="23"/>
      <c r="C128" s="2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13"/>
    </row>
    <row r="133" spans="1:16" x14ac:dyDescent="0.25">
      <c r="A133" s="13"/>
      <c r="B133" s="23"/>
      <c r="C133" s="13"/>
    </row>
    <row r="134" spans="1:16" x14ac:dyDescent="0.25">
      <c r="A134" s="13"/>
      <c r="B134" s="23"/>
      <c r="C134" s="13"/>
    </row>
    <row r="135" spans="1:16" x14ac:dyDescent="0.25">
      <c r="A135" s="13"/>
      <c r="B135" s="23"/>
      <c r="C135" s="13"/>
    </row>
    <row r="136" spans="1:16" x14ac:dyDescent="0.25">
      <c r="A136" s="13"/>
      <c r="B136" s="23"/>
    </row>
    <row r="137" spans="1:16" x14ac:dyDescent="0.25">
      <c r="A137" s="13"/>
      <c r="B137" s="23"/>
      <c r="C137" s="23"/>
    </row>
    <row r="138" spans="1:16" x14ac:dyDescent="0.25">
      <c r="A138" s="200"/>
      <c r="B138" s="20"/>
    </row>
    <row r="139" spans="1:16" x14ac:dyDescent="0.25">
      <c r="A139" s="13"/>
      <c r="B139" s="23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</row>
    <row r="140" spans="1:16" x14ac:dyDescent="0.25">
      <c r="A140" s="200"/>
      <c r="B140" s="23"/>
      <c r="C140" s="23"/>
    </row>
    <row r="141" spans="1:16" x14ac:dyDescent="0.25">
      <c r="A141" s="200"/>
      <c r="B141" s="23"/>
      <c r="C141" s="23"/>
    </row>
    <row r="142" spans="1:16" x14ac:dyDescent="0.25">
      <c r="A142" s="200"/>
      <c r="B142" s="20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</row>
    <row r="143" spans="1:16" x14ac:dyDescent="0.25">
      <c r="A143" s="13"/>
      <c r="B143" s="23"/>
    </row>
    <row r="144" spans="1:16" x14ac:dyDescent="0.25">
      <c r="A144" s="200"/>
      <c r="B144" s="23"/>
      <c r="C144" s="23"/>
    </row>
    <row r="145" spans="1:16" x14ac:dyDescent="0.25">
      <c r="A145" s="200"/>
      <c r="B145" s="23"/>
      <c r="C145" s="23"/>
    </row>
    <row r="146" spans="1:16" x14ac:dyDescent="0.25">
      <c r="A146" s="200"/>
      <c r="B146" s="23"/>
      <c r="C146" s="23"/>
    </row>
    <row r="147" spans="1:16" x14ac:dyDescent="0.25">
      <c r="A147" s="200"/>
      <c r="B147" s="23"/>
      <c r="C147" s="23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6" x14ac:dyDescent="0.25">
      <c r="A148" s="200"/>
      <c r="B148" s="23"/>
      <c r="C148" s="23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1:16" x14ac:dyDescent="0.25">
      <c r="A149" s="200"/>
      <c r="B149" s="20"/>
      <c r="C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6" x14ac:dyDescent="0.25">
      <c r="A150" s="13"/>
      <c r="B150" s="23"/>
    </row>
    <row r="151" spans="1:16" x14ac:dyDescent="0.25">
      <c r="A151" s="200"/>
      <c r="B151" s="23"/>
      <c r="C151" s="23"/>
    </row>
    <row r="152" spans="1:16" x14ac:dyDescent="0.25">
      <c r="A152" s="200"/>
      <c r="B152" s="23"/>
      <c r="C152" s="23"/>
    </row>
    <row r="153" spans="1:16" x14ac:dyDescent="0.25">
      <c r="A153" s="200"/>
      <c r="B153" s="20"/>
      <c r="C153" s="202"/>
    </row>
    <row r="154" spans="1:16" x14ac:dyDescent="0.25">
      <c r="A154" s="13"/>
      <c r="B154" s="2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1:16" x14ac:dyDescent="0.25">
      <c r="A155" s="13"/>
      <c r="B155" s="2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56" spans="1:16" x14ac:dyDescent="0.25">
      <c r="A156" s="13"/>
      <c r="B156" s="23"/>
      <c r="C156" s="202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x14ac:dyDescent="0.25">
      <c r="A157" s="13"/>
      <c r="B157" s="23"/>
    </row>
    <row r="158" spans="1:16" x14ac:dyDescent="0.25">
      <c r="A158" s="13"/>
      <c r="B158" s="23"/>
    </row>
    <row r="159" spans="1:16" x14ac:dyDescent="0.25">
      <c r="A159" s="13"/>
      <c r="B159" s="23"/>
    </row>
    <row r="160" spans="1:16" x14ac:dyDescent="0.25">
      <c r="A160" s="200"/>
      <c r="B160" s="20"/>
    </row>
    <row r="167" spans="1:9" ht="13" x14ac:dyDescent="0.3">
      <c r="B167" s="187"/>
      <c r="C167" s="188"/>
      <c r="D167" s="188"/>
      <c r="E167" s="188"/>
      <c r="F167" s="188"/>
      <c r="G167" s="188"/>
      <c r="H167" s="187"/>
      <c r="I167" s="188"/>
    </row>
    <row r="168" spans="1:9" x14ac:dyDescent="0.25">
      <c r="B168" s="188"/>
      <c r="C168" s="188"/>
      <c r="D168" s="188"/>
      <c r="E168" s="188"/>
      <c r="F168" s="188"/>
      <c r="G168" s="188"/>
      <c r="H168" s="188"/>
      <c r="I168" s="188"/>
    </row>
    <row r="169" spans="1:9" x14ac:dyDescent="0.25">
      <c r="B169" s="188"/>
      <c r="C169" s="188"/>
      <c r="D169" s="188"/>
      <c r="E169" s="188"/>
      <c r="F169" s="188"/>
      <c r="G169" s="188"/>
      <c r="H169" s="188"/>
      <c r="I169" s="188"/>
    </row>
    <row r="170" spans="1:9" ht="13" x14ac:dyDescent="0.3">
      <c r="B170" s="186"/>
      <c r="C170" s="188"/>
      <c r="D170" s="188"/>
      <c r="E170" s="188"/>
      <c r="F170" s="188"/>
      <c r="G170" s="188"/>
      <c r="H170" s="186"/>
      <c r="I170" s="188"/>
    </row>
    <row r="171" spans="1:9" x14ac:dyDescent="0.25">
      <c r="B171" s="188"/>
      <c r="C171" s="188"/>
      <c r="D171" s="188"/>
      <c r="E171" s="188"/>
      <c r="F171" s="188"/>
      <c r="G171" s="188"/>
      <c r="H171" s="188"/>
      <c r="I171" s="188"/>
    </row>
    <row r="172" spans="1:9" x14ac:dyDescent="0.25">
      <c r="B172" s="188"/>
      <c r="C172" s="188"/>
      <c r="D172" s="188"/>
      <c r="E172" s="188"/>
      <c r="F172" s="188"/>
      <c r="G172" s="188"/>
      <c r="H172" s="188"/>
      <c r="I172" s="188"/>
    </row>
    <row r="173" spans="1:9" x14ac:dyDescent="0.25">
      <c r="B173" s="188"/>
      <c r="C173" s="188"/>
      <c r="F173" s="188"/>
      <c r="G173" s="188"/>
      <c r="H173" s="188"/>
      <c r="I173" s="23"/>
    </row>
    <row r="174" spans="1:9" x14ac:dyDescent="0.25">
      <c r="B174" s="206"/>
      <c r="C174" s="188"/>
      <c r="D174" s="188"/>
      <c r="E174" s="188"/>
      <c r="F174" s="188"/>
      <c r="G174" s="188"/>
      <c r="H174" s="10"/>
      <c r="I174" s="209"/>
    </row>
    <row r="175" spans="1:9" x14ac:dyDescent="0.25">
      <c r="B175" s="188"/>
      <c r="C175" s="188"/>
      <c r="D175" s="188"/>
      <c r="E175" s="188"/>
      <c r="F175" s="188"/>
      <c r="G175" s="188"/>
      <c r="H175" s="188"/>
      <c r="I175" s="188"/>
    </row>
    <row r="176" spans="1:9" x14ac:dyDescent="0.25">
      <c r="A176" s="206"/>
      <c r="B176" s="206"/>
      <c r="C176" s="188"/>
      <c r="D176" s="188"/>
      <c r="E176" s="188"/>
      <c r="F176" s="188"/>
      <c r="G176" s="188"/>
      <c r="H176" s="188"/>
      <c r="I176" s="188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25">
      <c r="A179" s="13"/>
      <c r="B179" s="23"/>
      <c r="C179" s="23"/>
    </row>
    <row r="180" spans="1:17" x14ac:dyDescent="0.25">
      <c r="A180" s="5"/>
      <c r="B180" s="13"/>
      <c r="C180" s="23"/>
    </row>
    <row r="181" spans="1:17" x14ac:dyDescent="0.25">
      <c r="A181" s="5"/>
      <c r="B181" s="13"/>
      <c r="C181" s="23"/>
    </row>
    <row r="182" spans="1:17" x14ac:dyDescent="0.25">
      <c r="A182" s="5"/>
      <c r="B182" s="13"/>
      <c r="C182" s="23"/>
    </row>
    <row r="183" spans="1:17" x14ac:dyDescent="0.25">
      <c r="A183" s="5"/>
      <c r="B183" s="13"/>
      <c r="C183" s="23"/>
    </row>
    <row r="184" spans="1:17" x14ac:dyDescent="0.25">
      <c r="A184" s="5"/>
      <c r="B184" s="13"/>
      <c r="C184" s="23"/>
    </row>
    <row r="185" spans="1:17" x14ac:dyDescent="0.25">
      <c r="A185" s="13"/>
      <c r="B185" s="23"/>
      <c r="C185" s="23"/>
    </row>
    <row r="186" spans="1:17" x14ac:dyDescent="0.25">
      <c r="A186" s="13"/>
      <c r="B186" s="23"/>
      <c r="C186" s="23"/>
    </row>
    <row r="187" spans="1:17" x14ac:dyDescent="0.25">
      <c r="A187" s="13"/>
      <c r="B187" s="23"/>
      <c r="C187" s="23"/>
    </row>
    <row r="188" spans="1:17" x14ac:dyDescent="0.25">
      <c r="A188" s="13"/>
      <c r="B188" s="23"/>
      <c r="C188" s="23"/>
    </row>
    <row r="189" spans="1:17" x14ac:dyDescent="0.25">
      <c r="A189" s="13"/>
      <c r="B189" s="23"/>
      <c r="C189" s="23"/>
    </row>
    <row r="190" spans="1:17" x14ac:dyDescent="0.25">
      <c r="A190" s="13"/>
      <c r="B190" s="23"/>
      <c r="C190" s="23"/>
    </row>
    <row r="191" spans="1:17" x14ac:dyDescent="0.25">
      <c r="A191" s="13"/>
      <c r="B191" s="23"/>
      <c r="C191" s="23"/>
    </row>
    <row r="192" spans="1:17" x14ac:dyDescent="0.25">
      <c r="A192" s="13"/>
      <c r="B192" s="23"/>
      <c r="C192" s="23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</row>
    <row r="193" spans="1:16" x14ac:dyDescent="0.25">
      <c r="A193" s="13"/>
      <c r="B193" s="23"/>
      <c r="C193" s="23"/>
    </row>
    <row r="194" spans="1:16" x14ac:dyDescent="0.25">
      <c r="A194" s="13"/>
      <c r="B194" s="23"/>
      <c r="C194" s="23"/>
    </row>
    <row r="195" spans="1:16" x14ac:dyDescent="0.25">
      <c r="A195" s="13"/>
      <c r="B195" s="23"/>
      <c r="C195" s="23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</row>
    <row r="196" spans="1:16" x14ac:dyDescent="0.25">
      <c r="A196" s="13"/>
      <c r="B196" s="23"/>
      <c r="C196" s="23"/>
    </row>
    <row r="197" spans="1:16" x14ac:dyDescent="0.25">
      <c r="A197" s="13"/>
      <c r="B197" s="23"/>
      <c r="C197" s="23"/>
    </row>
    <row r="198" spans="1:16" x14ac:dyDescent="0.25">
      <c r="A198" s="13"/>
      <c r="B198" s="23"/>
      <c r="C198" s="23"/>
    </row>
    <row r="199" spans="1:16" x14ac:dyDescent="0.25">
      <c r="A199" s="13"/>
      <c r="B199" s="23"/>
      <c r="C199" s="23"/>
    </row>
    <row r="200" spans="1:16" x14ac:dyDescent="0.25">
      <c r="A200" s="13"/>
      <c r="B200" s="23"/>
      <c r="C200" s="23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</row>
    <row r="201" spans="1:16" x14ac:dyDescent="0.25">
      <c r="A201" s="13"/>
      <c r="B201" s="23"/>
      <c r="C201" s="23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</row>
    <row r="202" spans="1:16" x14ac:dyDescent="0.25">
      <c r="A202" s="13"/>
      <c r="B202" s="23"/>
      <c r="C202" s="23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</row>
    <row r="203" spans="1:16" x14ac:dyDescent="0.25">
      <c r="A203" s="13"/>
      <c r="B203" s="23"/>
      <c r="C203" s="23"/>
    </row>
    <row r="204" spans="1:16" x14ac:dyDescent="0.25">
      <c r="A204" s="13"/>
      <c r="B204" s="23"/>
      <c r="C204" s="23"/>
    </row>
    <row r="205" spans="1:16" x14ac:dyDescent="0.25">
      <c r="A205" s="13"/>
      <c r="B205" s="23"/>
      <c r="C205" s="23"/>
    </row>
    <row r="206" spans="1:16" x14ac:dyDescent="0.25">
      <c r="A206" s="13"/>
      <c r="B206" s="23"/>
      <c r="C206" s="23"/>
    </row>
    <row r="207" spans="1:16" x14ac:dyDescent="0.25">
      <c r="A207" s="13"/>
      <c r="B207" s="23"/>
      <c r="C207" s="2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16" x14ac:dyDescent="0.25">
      <c r="A208" s="13"/>
      <c r="B208" s="23"/>
      <c r="C208" s="2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</row>
    <row r="209" spans="1:16" x14ac:dyDescent="0.25">
      <c r="A209" s="13"/>
      <c r="B209" s="23"/>
      <c r="C209" s="2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</row>
    <row r="210" spans="1:16" x14ac:dyDescent="0.25">
      <c r="A210" s="13"/>
      <c r="B210" s="23"/>
      <c r="C210" s="23"/>
    </row>
    <row r="211" spans="1:16" x14ac:dyDescent="0.25">
      <c r="A211" s="13"/>
      <c r="B211" s="23"/>
      <c r="C211" s="23"/>
    </row>
    <row r="212" spans="1:16" x14ac:dyDescent="0.25">
      <c r="A212" s="13"/>
      <c r="B212" s="23"/>
      <c r="C212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2" manualBreakCount="2">
    <brk id="112" max="16" man="1"/>
    <brk id="165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1717-3325-49FB-BB75-90BE0087B7F0}">
  <sheetPr transitionEvaluation="1" transitionEntry="1"/>
  <dimension ref="A1:AF195"/>
  <sheetViews>
    <sheetView showGridLines="0" defaultGridColor="0" view="pageBreakPreview" colorId="8" zoomScale="80" zoomScaleNormal="75" zoomScaleSheetLayoutView="8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40.58203125" style="1" customWidth="1"/>
    <col min="4" max="4" width="13" style="1" customWidth="1"/>
    <col min="5" max="5" width="10.08203125" style="1" customWidth="1"/>
    <col min="6" max="6" width="10.83203125" style="1" customWidth="1"/>
    <col min="7" max="7" width="11" style="1" customWidth="1"/>
    <col min="8" max="8" width="10.33203125" style="1" customWidth="1"/>
    <col min="9" max="9" width="11.25" style="1" customWidth="1"/>
    <col min="10" max="13" width="10.58203125" style="1" customWidth="1"/>
    <col min="14" max="14" width="10.83203125" style="1" customWidth="1"/>
    <col min="15" max="15" width="10.58203125" style="1" customWidth="1"/>
    <col min="16" max="16" width="11.08203125" style="1" customWidth="1"/>
    <col min="17" max="17" width="12.08203125" style="1" customWidth="1"/>
    <col min="18" max="18" width="3.58203125" style="1" customWidth="1"/>
    <col min="19" max="19" width="11.58203125" style="1"/>
    <col min="20" max="32" width="3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18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3.2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0</v>
      </c>
      <c r="E20" s="1">
        <f t="shared" ref="E20:P20" si="0">D20+E16-E17</f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0</v>
      </c>
      <c r="E21" s="1">
        <f t="shared" ref="E21:P21" si="1">D21-E32-E33-E34+E17+E18-E19</f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0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0</v>
      </c>
      <c r="E23" s="199">
        <f t="shared" si="3"/>
        <v>0</v>
      </c>
      <c r="F23" s="199">
        <f t="shared" si="3"/>
        <v>0</v>
      </c>
      <c r="G23" s="199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0</v>
      </c>
      <c r="F25" s="1">
        <f t="shared" ref="F25:P25" si="4">(E23+F23)/2</f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>SUM(E28:P28)</f>
        <v>0</v>
      </c>
    </row>
    <row r="29" spans="1:32" x14ac:dyDescent="0.25">
      <c r="A29" s="200"/>
      <c r="B29" s="23" t="s">
        <v>264</v>
      </c>
      <c r="C29" s="23" t="s">
        <v>279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>SUM(E29:P29)</f>
        <v>0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>SUM(E32:P32)</f>
        <v>0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0</v>
      </c>
      <c r="F38" s="1">
        <f t="shared" ref="F38:P38" si="5">SUM(F28:F36)</f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>
        <f t="shared" si="5"/>
        <v>0</v>
      </c>
      <c r="Q38" s="1">
        <f>SUM(E38:P38)</f>
        <v>0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0</v>
      </c>
      <c r="F39" s="1">
        <f t="shared" ref="F39:P39" si="6">F38*1/13</f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0</v>
      </c>
      <c r="Q39" s="1">
        <f>SUM(E39:P39)</f>
        <v>0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E38-E39</f>
        <v>0</v>
      </c>
      <c r="F40" s="1">
        <f t="shared" si="7"/>
        <v>0</v>
      </c>
      <c r="G40" s="1">
        <f t="shared" si="7"/>
        <v>0</v>
      </c>
      <c r="H40" s="1">
        <f t="shared" si="7"/>
        <v>0</v>
      </c>
      <c r="I40" s="1">
        <f t="shared" si="7"/>
        <v>0</v>
      </c>
      <c r="J40" s="1">
        <f t="shared" si="7"/>
        <v>0</v>
      </c>
      <c r="K40" s="1">
        <f t="shared" si="7"/>
        <v>0</v>
      </c>
      <c r="L40" s="1">
        <f t="shared" si="7"/>
        <v>0</v>
      </c>
      <c r="M40" s="1">
        <f t="shared" si="7"/>
        <v>0</v>
      </c>
      <c r="N40" s="1">
        <f t="shared" si="7"/>
        <v>0</v>
      </c>
      <c r="O40" s="1">
        <f t="shared" si="7"/>
        <v>0</v>
      </c>
      <c r="P40" s="1">
        <f t="shared" si="7"/>
        <v>0</v>
      </c>
      <c r="Q40" s="1">
        <f>SUM(E40:P40)</f>
        <v>0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>SUM(E45:P45)</f>
        <v>0</v>
      </c>
    </row>
    <row r="46" spans="1:17" x14ac:dyDescent="0.25">
      <c r="A46" s="13">
        <v>13</v>
      </c>
      <c r="B46" s="23" t="s">
        <v>290</v>
      </c>
      <c r="E46" s="199">
        <f>E40*E43</f>
        <v>0</v>
      </c>
      <c r="F46" s="199">
        <f t="shared" ref="F46:P46" si="8">F40*F43</f>
        <v>0</v>
      </c>
      <c r="G46" s="199">
        <f t="shared" si="8"/>
        <v>0</v>
      </c>
      <c r="H46" s="199">
        <f t="shared" si="8"/>
        <v>0</v>
      </c>
      <c r="I46" s="199">
        <f t="shared" si="8"/>
        <v>0</v>
      </c>
      <c r="J46" s="199">
        <f t="shared" si="8"/>
        <v>0</v>
      </c>
      <c r="K46" s="199">
        <f t="shared" si="8"/>
        <v>0</v>
      </c>
      <c r="L46" s="199">
        <f t="shared" si="8"/>
        <v>0</v>
      </c>
      <c r="M46" s="199">
        <f t="shared" si="8"/>
        <v>0</v>
      </c>
      <c r="N46" s="199">
        <f t="shared" si="8"/>
        <v>0</v>
      </c>
      <c r="O46" s="199">
        <f t="shared" si="8"/>
        <v>0</v>
      </c>
      <c r="P46" s="199">
        <f t="shared" si="8"/>
        <v>0</v>
      </c>
      <c r="Q46" s="199">
        <f>SUM(E46:P46)</f>
        <v>0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0</v>
      </c>
      <c r="F47" s="204">
        <f t="shared" si="9"/>
        <v>0</v>
      </c>
      <c r="G47" s="204">
        <f t="shared" si="9"/>
        <v>0</v>
      </c>
      <c r="H47" s="204">
        <f t="shared" si="9"/>
        <v>0</v>
      </c>
      <c r="I47" s="204">
        <f t="shared" si="9"/>
        <v>0</v>
      </c>
      <c r="J47" s="204">
        <f t="shared" si="9"/>
        <v>0</v>
      </c>
      <c r="K47" s="204">
        <f t="shared" si="9"/>
        <v>0</v>
      </c>
      <c r="L47" s="204">
        <f t="shared" si="9"/>
        <v>0</v>
      </c>
      <c r="M47" s="204">
        <f t="shared" si="9"/>
        <v>0</v>
      </c>
      <c r="N47" s="204">
        <f t="shared" si="9"/>
        <v>0</v>
      </c>
      <c r="O47" s="204">
        <f t="shared" si="9"/>
        <v>0</v>
      </c>
      <c r="P47" s="204">
        <f t="shared" si="9"/>
        <v>0</v>
      </c>
      <c r="Q47" s="204">
        <f t="shared" si="9"/>
        <v>0</v>
      </c>
    </row>
    <row r="48" spans="1:17" ht="13" thickTop="1" x14ac:dyDescent="0.25">
      <c r="A48" s="200"/>
      <c r="B48" s="20"/>
    </row>
    <row r="49" spans="1:2" x14ac:dyDescent="0.25">
      <c r="A49" s="210" t="s">
        <v>76</v>
      </c>
      <c r="B49" s="2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11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  <row r="61" spans="1:2" x14ac:dyDescent="0.25">
      <c r="B61" s="23"/>
    </row>
    <row r="62" spans="1:2" x14ac:dyDescent="0.25">
      <c r="B62" s="23"/>
    </row>
    <row r="63" spans="1:2" x14ac:dyDescent="0.25">
      <c r="B63" s="23"/>
    </row>
    <row r="64" spans="1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  <row r="96" spans="2:2" x14ac:dyDescent="0.25">
      <c r="B96" s="23"/>
    </row>
    <row r="97" spans="2:2" x14ac:dyDescent="0.25">
      <c r="B97" s="23"/>
    </row>
    <row r="98" spans="2:2" x14ac:dyDescent="0.25">
      <c r="B98" s="23"/>
    </row>
    <row r="99" spans="2:2" x14ac:dyDescent="0.25">
      <c r="B99" s="23"/>
    </row>
    <row r="100" spans="2:2" x14ac:dyDescent="0.25">
      <c r="B100" s="23"/>
    </row>
    <row r="101" spans="2:2" x14ac:dyDescent="0.25">
      <c r="B101" s="23"/>
    </row>
    <row r="102" spans="2:2" x14ac:dyDescent="0.25">
      <c r="B102" s="23"/>
    </row>
    <row r="103" spans="2:2" x14ac:dyDescent="0.25">
      <c r="B103" s="23"/>
    </row>
    <row r="104" spans="2:2" x14ac:dyDescent="0.25">
      <c r="B104" s="23"/>
    </row>
    <row r="105" spans="2:2" x14ac:dyDescent="0.25">
      <c r="B105" s="23"/>
    </row>
    <row r="106" spans="2:2" x14ac:dyDescent="0.25">
      <c r="B106" s="23"/>
    </row>
    <row r="107" spans="2:2" x14ac:dyDescent="0.25">
      <c r="B107" s="23"/>
    </row>
    <row r="108" spans="2:2" x14ac:dyDescent="0.25">
      <c r="B108" s="23"/>
    </row>
    <row r="109" spans="2:2" x14ac:dyDescent="0.25">
      <c r="B109" s="23"/>
    </row>
    <row r="110" spans="2:2" x14ac:dyDescent="0.25">
      <c r="B110" s="23"/>
    </row>
    <row r="111" spans="2:2" x14ac:dyDescent="0.25">
      <c r="B111" s="23"/>
    </row>
    <row r="112" spans="2:2" x14ac:dyDescent="0.25">
      <c r="B112" s="23"/>
    </row>
    <row r="113" spans="2:2" x14ac:dyDescent="0.25">
      <c r="B113" s="23"/>
    </row>
    <row r="114" spans="2:2" x14ac:dyDescent="0.25">
      <c r="B114" s="23"/>
    </row>
    <row r="115" spans="2:2" x14ac:dyDescent="0.25">
      <c r="B115" s="23"/>
    </row>
    <row r="116" spans="2:2" x14ac:dyDescent="0.25">
      <c r="B116" s="23"/>
    </row>
    <row r="117" spans="2:2" x14ac:dyDescent="0.25">
      <c r="B117" s="23"/>
    </row>
    <row r="118" spans="2:2" x14ac:dyDescent="0.25">
      <c r="B118" s="23"/>
    </row>
    <row r="119" spans="2:2" x14ac:dyDescent="0.25">
      <c r="B119" s="23"/>
    </row>
    <row r="120" spans="2:2" x14ac:dyDescent="0.25">
      <c r="B120" s="23"/>
    </row>
    <row r="121" spans="2:2" x14ac:dyDescent="0.25">
      <c r="B121" s="23"/>
    </row>
    <row r="122" spans="2:2" x14ac:dyDescent="0.25">
      <c r="B122" s="23"/>
    </row>
    <row r="123" spans="2:2" x14ac:dyDescent="0.25">
      <c r="B123" s="23"/>
    </row>
    <row r="124" spans="2:2" x14ac:dyDescent="0.25">
      <c r="B124" s="23"/>
    </row>
    <row r="125" spans="2:2" x14ac:dyDescent="0.25">
      <c r="B125" s="23"/>
    </row>
    <row r="126" spans="2:2" x14ac:dyDescent="0.25">
      <c r="B126" s="23"/>
    </row>
    <row r="127" spans="2:2" x14ac:dyDescent="0.25">
      <c r="B127" s="23"/>
    </row>
    <row r="128" spans="2:2" x14ac:dyDescent="0.25">
      <c r="B128" s="23"/>
    </row>
    <row r="129" spans="2:2" x14ac:dyDescent="0.25">
      <c r="B129" s="23"/>
    </row>
    <row r="130" spans="2:2" x14ac:dyDescent="0.25">
      <c r="B130" s="23"/>
    </row>
    <row r="131" spans="2:2" x14ac:dyDescent="0.25">
      <c r="B131" s="23"/>
    </row>
    <row r="132" spans="2:2" x14ac:dyDescent="0.25">
      <c r="B132" s="23"/>
    </row>
    <row r="133" spans="2:2" x14ac:dyDescent="0.25">
      <c r="B133" s="23"/>
    </row>
    <row r="134" spans="2:2" x14ac:dyDescent="0.25">
      <c r="B134" s="23"/>
    </row>
    <row r="135" spans="2:2" x14ac:dyDescent="0.25">
      <c r="B135" s="23"/>
    </row>
    <row r="136" spans="2:2" x14ac:dyDescent="0.25">
      <c r="B136" s="23"/>
    </row>
    <row r="137" spans="2:2" x14ac:dyDescent="0.25">
      <c r="B137" s="23"/>
    </row>
    <row r="138" spans="2:2" x14ac:dyDescent="0.25">
      <c r="B138" s="23"/>
    </row>
    <row r="139" spans="2:2" x14ac:dyDescent="0.25">
      <c r="B139" s="23"/>
    </row>
    <row r="140" spans="2:2" x14ac:dyDescent="0.25">
      <c r="B140" s="23"/>
    </row>
    <row r="141" spans="2:2" x14ac:dyDescent="0.25">
      <c r="B141" s="23"/>
    </row>
    <row r="142" spans="2:2" x14ac:dyDescent="0.25">
      <c r="B142" s="23"/>
    </row>
    <row r="143" spans="2:2" x14ac:dyDescent="0.25">
      <c r="B143" s="23"/>
    </row>
    <row r="144" spans="2:2" x14ac:dyDescent="0.25">
      <c r="B144" s="23"/>
    </row>
    <row r="145" spans="2:2" x14ac:dyDescent="0.25">
      <c r="B145" s="23"/>
    </row>
    <row r="146" spans="2:2" x14ac:dyDescent="0.25">
      <c r="B146" s="23"/>
    </row>
    <row r="147" spans="2:2" x14ac:dyDescent="0.25">
      <c r="B147" s="23"/>
    </row>
    <row r="148" spans="2:2" x14ac:dyDescent="0.25">
      <c r="B148" s="23"/>
    </row>
    <row r="149" spans="2:2" x14ac:dyDescent="0.25">
      <c r="B149" s="23"/>
    </row>
    <row r="150" spans="2:2" x14ac:dyDescent="0.25">
      <c r="B150" s="23"/>
    </row>
    <row r="151" spans="2:2" x14ac:dyDescent="0.25">
      <c r="B151" s="23"/>
    </row>
    <row r="152" spans="2:2" x14ac:dyDescent="0.25">
      <c r="B152" s="23"/>
    </row>
    <row r="153" spans="2:2" x14ac:dyDescent="0.25">
      <c r="B153" s="23"/>
    </row>
    <row r="154" spans="2:2" x14ac:dyDescent="0.25">
      <c r="B154" s="23"/>
    </row>
    <row r="155" spans="2:2" x14ac:dyDescent="0.25">
      <c r="B155" s="23"/>
    </row>
    <row r="156" spans="2:2" x14ac:dyDescent="0.25">
      <c r="B156" s="23"/>
    </row>
    <row r="157" spans="2:2" x14ac:dyDescent="0.25">
      <c r="B157" s="23"/>
    </row>
    <row r="158" spans="2:2" x14ac:dyDescent="0.25">
      <c r="B158" s="23"/>
    </row>
    <row r="159" spans="2:2" x14ac:dyDescent="0.25">
      <c r="B159" s="23"/>
    </row>
    <row r="160" spans="2:2" x14ac:dyDescent="0.25">
      <c r="B160" s="23"/>
    </row>
    <row r="161" spans="2:2" x14ac:dyDescent="0.25">
      <c r="B161" s="23"/>
    </row>
    <row r="162" spans="2:2" x14ac:dyDescent="0.25">
      <c r="B162" s="23"/>
    </row>
    <row r="163" spans="2:2" x14ac:dyDescent="0.25">
      <c r="B163" s="23"/>
    </row>
    <row r="164" spans="2:2" x14ac:dyDescent="0.25">
      <c r="B164" s="23"/>
    </row>
    <row r="165" spans="2:2" x14ac:dyDescent="0.25">
      <c r="B165" s="23"/>
    </row>
    <row r="166" spans="2:2" x14ac:dyDescent="0.25">
      <c r="B166" s="23"/>
    </row>
    <row r="167" spans="2:2" x14ac:dyDescent="0.25">
      <c r="B167" s="23"/>
    </row>
    <row r="168" spans="2:2" x14ac:dyDescent="0.25">
      <c r="B168" s="23"/>
    </row>
    <row r="169" spans="2:2" x14ac:dyDescent="0.25">
      <c r="B169" s="23"/>
    </row>
    <row r="170" spans="2:2" x14ac:dyDescent="0.25">
      <c r="B170" s="23"/>
    </row>
    <row r="171" spans="2:2" x14ac:dyDescent="0.25">
      <c r="B171" s="23"/>
    </row>
    <row r="172" spans="2:2" x14ac:dyDescent="0.25">
      <c r="B172" s="23"/>
    </row>
    <row r="173" spans="2:2" x14ac:dyDescent="0.25">
      <c r="B173" s="23"/>
    </row>
    <row r="174" spans="2:2" x14ac:dyDescent="0.25">
      <c r="B174" s="23"/>
    </row>
    <row r="175" spans="2:2" x14ac:dyDescent="0.25">
      <c r="B175" s="23"/>
    </row>
    <row r="176" spans="2:2" x14ac:dyDescent="0.25">
      <c r="B176" s="23"/>
    </row>
    <row r="177" spans="2:2" x14ac:dyDescent="0.25">
      <c r="B177" s="23"/>
    </row>
    <row r="178" spans="2:2" x14ac:dyDescent="0.25">
      <c r="B178" s="23"/>
    </row>
    <row r="179" spans="2:2" x14ac:dyDescent="0.25">
      <c r="B179" s="23"/>
    </row>
    <row r="180" spans="2:2" x14ac:dyDescent="0.25">
      <c r="B180" s="23"/>
    </row>
    <row r="181" spans="2:2" x14ac:dyDescent="0.25">
      <c r="B181" s="23"/>
    </row>
    <row r="182" spans="2:2" x14ac:dyDescent="0.25">
      <c r="B182" s="23"/>
    </row>
    <row r="183" spans="2:2" x14ac:dyDescent="0.25">
      <c r="B183" s="23"/>
    </row>
    <row r="184" spans="2:2" x14ac:dyDescent="0.25">
      <c r="B184" s="23"/>
    </row>
    <row r="185" spans="2:2" x14ac:dyDescent="0.25">
      <c r="B185" s="23"/>
    </row>
    <row r="186" spans="2:2" x14ac:dyDescent="0.25">
      <c r="B186" s="23"/>
    </row>
    <row r="187" spans="2:2" x14ac:dyDescent="0.25">
      <c r="B187" s="23"/>
    </row>
    <row r="188" spans="2:2" x14ac:dyDescent="0.25">
      <c r="B188" s="23"/>
    </row>
    <row r="189" spans="2:2" x14ac:dyDescent="0.25">
      <c r="B189" s="23"/>
    </row>
    <row r="190" spans="2:2" x14ac:dyDescent="0.25">
      <c r="B190" s="23"/>
    </row>
    <row r="191" spans="2:2" x14ac:dyDescent="0.25">
      <c r="B191" s="23"/>
    </row>
    <row r="192" spans="2:2" x14ac:dyDescent="0.25">
      <c r="B192" s="23"/>
    </row>
    <row r="193" spans="2:2" x14ac:dyDescent="0.25">
      <c r="B193" s="23"/>
    </row>
    <row r="194" spans="2:2" x14ac:dyDescent="0.25">
      <c r="B194" s="23"/>
    </row>
    <row r="195" spans="2:2" x14ac:dyDescent="0.25">
      <c r="B195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CFD5-0218-4A21-B60A-E3723F452975}">
  <sheetPr transitionEvaluation="1" transitionEntry="1"/>
  <dimension ref="A1:XFD468"/>
  <sheetViews>
    <sheetView showGridLines="0" defaultGridColor="0" view="pageBreakPreview" topLeftCell="B1" colorId="8" zoomScaleNormal="110" zoomScaleSheetLayoutView="10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6" style="1" customWidth="1"/>
    <col min="4" max="4" width="13.58203125" style="1" bestFit="1" customWidth="1"/>
    <col min="5" max="6" width="12.5" style="1" customWidth="1"/>
    <col min="7" max="7" width="12.58203125" style="1" customWidth="1"/>
    <col min="8" max="8" width="14" style="1" customWidth="1"/>
    <col min="9" max="9" width="13.33203125" style="1" customWidth="1"/>
    <col min="10" max="12" width="12.58203125" style="1" customWidth="1"/>
    <col min="13" max="16" width="12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4.83203125" style="1" bestFit="1" customWidth="1"/>
    <col min="21" max="32" width="13.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19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3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337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3624.83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3624.83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80272077.720000014</v>
      </c>
      <c r="O17" s="1">
        <v>0</v>
      </c>
      <c r="P17" s="1">
        <v>0</v>
      </c>
      <c r="Q17" s="1">
        <f t="shared" si="0"/>
        <v>80272077.720000014</v>
      </c>
    </row>
    <row r="18" spans="1:16384" x14ac:dyDescent="0.25">
      <c r="A18" s="13"/>
      <c r="B18" s="23" t="s">
        <v>268</v>
      </c>
      <c r="C18" s="23" t="s">
        <v>269</v>
      </c>
      <c r="E18" s="1">
        <v>2174.92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si="0"/>
        <v>2174.92</v>
      </c>
    </row>
    <row r="19" spans="1:16384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320</v>
      </c>
      <c r="E20" s="1">
        <f>99911.1+197736</f>
        <v>297647.09999999998</v>
      </c>
      <c r="F20" s="1">
        <v>0</v>
      </c>
      <c r="G20" s="1">
        <v>0</v>
      </c>
      <c r="H20" s="1">
        <v>0</v>
      </c>
      <c r="I20" s="1">
        <v>0</v>
      </c>
      <c r="J20" s="1">
        <f>-99911.1-197736+1.75</f>
        <v>-297645.34999999998</v>
      </c>
      <c r="K20" s="1">
        <v>0</v>
      </c>
      <c r="L20" s="1">
        <v>0</v>
      </c>
      <c r="M20" s="1">
        <v>0</v>
      </c>
      <c r="N20" s="1">
        <v>-51080981.043800011</v>
      </c>
      <c r="O20" s="1">
        <v>0</v>
      </c>
      <c r="P20" s="1">
        <v>0</v>
      </c>
      <c r="Q20" s="1">
        <f t="shared" si="0"/>
        <v>-51080979.293800011</v>
      </c>
    </row>
    <row r="21" spans="1:16384" x14ac:dyDescent="0.25">
      <c r="A21" s="13">
        <v>2</v>
      </c>
      <c r="B21" s="23" t="s">
        <v>272</v>
      </c>
      <c r="C21" s="13"/>
      <c r="D21" s="1">
        <v>119583918.72000004</v>
      </c>
      <c r="E21" s="27">
        <f>D21+E16-E17+E19</f>
        <v>119583918.72000004</v>
      </c>
      <c r="F21" s="1">
        <f t="shared" ref="F21:P21" si="1">E21+F16-F17</f>
        <v>119583918.72000004</v>
      </c>
      <c r="G21" s="1">
        <f t="shared" si="1"/>
        <v>119583918.72000004</v>
      </c>
      <c r="H21" s="1">
        <f t="shared" si="1"/>
        <v>119583918.72000004</v>
      </c>
      <c r="I21" s="1">
        <f t="shared" si="1"/>
        <v>119583918.72000004</v>
      </c>
      <c r="J21" s="27">
        <f>I21+J16-J17+J19</f>
        <v>119583918.72000004</v>
      </c>
      <c r="K21" s="1">
        <f t="shared" si="1"/>
        <v>119583918.72000004</v>
      </c>
      <c r="L21" s="1">
        <f t="shared" si="1"/>
        <v>119583918.72000004</v>
      </c>
      <c r="M21" s="1">
        <f t="shared" si="1"/>
        <v>119583918.72000004</v>
      </c>
      <c r="N21" s="1">
        <f t="shared" si="1"/>
        <v>39311841.00000003</v>
      </c>
      <c r="O21" s="1">
        <f t="shared" si="1"/>
        <v>39311841.00000003</v>
      </c>
      <c r="P21" s="1">
        <f t="shared" si="1"/>
        <v>39311841.00000003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16384" x14ac:dyDescent="0.25">
      <c r="A22" s="13">
        <v>3</v>
      </c>
      <c r="B22" s="23" t="s">
        <v>273</v>
      </c>
      <c r="C22" s="13"/>
      <c r="D22" s="233">
        <v>-38453273.843779087</v>
      </c>
      <c r="E22" s="27">
        <f>D22-E34-E35-E36+E17+E18+E20</f>
        <v>-38559141.76525639</v>
      </c>
      <c r="F22" s="27">
        <f>E22-F34-F35-F36+F17+F18-F19</f>
        <v>-38964831.926733702</v>
      </c>
      <c r="G22" s="27">
        <f>F22-G34-G35-G36+G17+G18-G19</f>
        <v>-39370522.088211015</v>
      </c>
      <c r="H22" s="27">
        <f>G22-H34-H35-H36+H17+H18-H19</f>
        <v>-39776212.249688327</v>
      </c>
      <c r="I22" s="1">
        <f t="shared" ref="I22:P22" si="2">H22-I34-I35-I36+I17+I18-I19</f>
        <v>-40181901.971165635</v>
      </c>
      <c r="J22" s="27">
        <f>I22-J34-J35-J36+J17+J18+J20</f>
        <v>-40885237.042642944</v>
      </c>
      <c r="K22" s="1">
        <f t="shared" si="2"/>
        <v>-41290926.764120251</v>
      </c>
      <c r="L22" s="1">
        <f t="shared" si="2"/>
        <v>-41696616.485597558</v>
      </c>
      <c r="M22" s="1">
        <f t="shared" si="2"/>
        <v>-42102306.207074866</v>
      </c>
      <c r="N22" s="1">
        <f>M22-N34-N35-N36+N17+N18-N19+N20</f>
        <v>-13183112.457490042</v>
      </c>
      <c r="O22" s="1">
        <f>N22-O34-O35-O36+O18+O19-O20</f>
        <v>-13321228.589243088</v>
      </c>
      <c r="P22" s="1">
        <f t="shared" si="2"/>
        <v>-13459344.720996134</v>
      </c>
      <c r="T22" s="1">
        <f>SUM(U22:AF22)</f>
        <v>-1.0000076144933701E-2</v>
      </c>
      <c r="U22" s="1">
        <v>-0.10000000149011612</v>
      </c>
      <c r="V22" s="1">
        <v>-0.4700000062584877</v>
      </c>
      <c r="W22" s="1">
        <v>-0.85000000894069672</v>
      </c>
      <c r="X22" s="1">
        <v>-1.2200000062584877</v>
      </c>
      <c r="Y22" s="1">
        <v>-1.2900000065565109</v>
      </c>
      <c r="Z22" s="1">
        <v>0.55999999493360519</v>
      </c>
      <c r="AA22" s="1">
        <v>0.55999999493360519</v>
      </c>
      <c r="AB22" s="1">
        <v>0.55999999493360519</v>
      </c>
      <c r="AC22" s="1">
        <v>0.55999999493360519</v>
      </c>
      <c r="AD22" s="1">
        <v>0.5599999912083149</v>
      </c>
      <c r="AE22" s="1">
        <v>0.5599999912083149</v>
      </c>
      <c r="AF22" s="1">
        <v>0.5599999912083149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51080981.043800011</v>
      </c>
      <c r="O23" s="1">
        <f>N23</f>
        <v>51080981.043800011</v>
      </c>
      <c r="P23" s="1">
        <f>O23</f>
        <v>51080981.043800011</v>
      </c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">
        <v>443813.4600000002</v>
      </c>
      <c r="E24" s="199">
        <f>D24+E15-E16</f>
        <v>447438.29000000021</v>
      </c>
      <c r="F24" s="199">
        <f t="shared" ref="F24:P24" si="3">E24+F15-F16</f>
        <v>447438.29000000021</v>
      </c>
      <c r="G24" s="199">
        <f t="shared" si="3"/>
        <v>447438.29000000021</v>
      </c>
      <c r="H24" s="199">
        <f t="shared" si="3"/>
        <v>447438.29000000021</v>
      </c>
      <c r="I24" s="199">
        <f t="shared" si="3"/>
        <v>447438.29000000021</v>
      </c>
      <c r="J24" s="199">
        <f t="shared" si="3"/>
        <v>447438.29000000021</v>
      </c>
      <c r="K24" s="199">
        <f t="shared" si="3"/>
        <v>447438.29000000021</v>
      </c>
      <c r="L24" s="199">
        <f t="shared" si="3"/>
        <v>447438.29000000021</v>
      </c>
      <c r="M24" s="199">
        <f t="shared" si="3"/>
        <v>447438.29000000021</v>
      </c>
      <c r="N24" s="199">
        <f t="shared" si="3"/>
        <v>447438.29000000021</v>
      </c>
      <c r="O24" s="199">
        <f t="shared" si="3"/>
        <v>447438.29000000021</v>
      </c>
      <c r="P24" s="199">
        <f t="shared" si="3"/>
        <v>447438.29000000021</v>
      </c>
      <c r="T24" s="1">
        <f>SUM(U24:AF24)</f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16384" x14ac:dyDescent="0.25">
      <c r="A25" s="13">
        <v>5</v>
      </c>
      <c r="B25" s="23" t="s">
        <v>275</v>
      </c>
      <c r="C25" s="13"/>
      <c r="D25" s="224">
        <f t="shared" ref="D25:P25" si="4">SUM(D21:D24)</f>
        <v>81574458.33622095</v>
      </c>
      <c r="E25" s="199">
        <f t="shared" si="4"/>
        <v>81472215.24474366</v>
      </c>
      <c r="F25" s="199">
        <f t="shared" si="4"/>
        <v>81066525.083266348</v>
      </c>
      <c r="G25" s="199">
        <f t="shared" si="4"/>
        <v>80660834.921789035</v>
      </c>
      <c r="H25" s="199">
        <f t="shared" si="4"/>
        <v>80255144.760311723</v>
      </c>
      <c r="I25" s="199">
        <f t="shared" si="4"/>
        <v>79849455.038834408</v>
      </c>
      <c r="J25" s="199">
        <f t="shared" si="4"/>
        <v>79146119.967357114</v>
      </c>
      <c r="K25" s="199">
        <f t="shared" si="4"/>
        <v>78740430.245879799</v>
      </c>
      <c r="L25" s="199">
        <f t="shared" si="4"/>
        <v>78334740.524402484</v>
      </c>
      <c r="M25" s="199">
        <f t="shared" si="4"/>
        <v>77929050.802925184</v>
      </c>
      <c r="N25" s="199">
        <f t="shared" si="4"/>
        <v>77657147.876310006</v>
      </c>
      <c r="O25" s="199">
        <f t="shared" si="4"/>
        <v>77519031.744556963</v>
      </c>
      <c r="P25" s="199">
        <f t="shared" si="4"/>
        <v>77380915.612803921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D27" s="205"/>
      <c r="E27" s="1">
        <f>(D25+E25)/2</f>
        <v>81523336.790482312</v>
      </c>
      <c r="F27" s="1">
        <f t="shared" ref="F27:P27" si="5">(E25+F25)/2</f>
        <v>81269370.164005011</v>
      </c>
      <c r="G27" s="1">
        <f t="shared" si="5"/>
        <v>80863680.002527684</v>
      </c>
      <c r="H27" s="1">
        <f t="shared" si="5"/>
        <v>80457989.841050386</v>
      </c>
      <c r="I27" s="1">
        <f t="shared" si="5"/>
        <v>80052299.899573058</v>
      </c>
      <c r="J27" s="1">
        <f t="shared" si="5"/>
        <v>79497787.503095761</v>
      </c>
      <c r="K27" s="1">
        <f t="shared" si="5"/>
        <v>78943275.106618464</v>
      </c>
      <c r="L27" s="1">
        <f t="shared" si="5"/>
        <v>78537585.385141134</v>
      </c>
      <c r="M27" s="1">
        <f t="shared" si="5"/>
        <v>78131895.663663834</v>
      </c>
      <c r="N27" s="1">
        <f t="shared" si="5"/>
        <v>77793099.339617595</v>
      </c>
      <c r="O27" s="1">
        <f t="shared" si="5"/>
        <v>77588089.810433477</v>
      </c>
      <c r="P27" s="1">
        <f t="shared" si="5"/>
        <v>77449973.67868045</v>
      </c>
    </row>
    <row r="28" spans="1:16384" x14ac:dyDescent="0.25">
      <c r="A28" s="200"/>
      <c r="B28" s="20"/>
      <c r="D28" s="205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375333.44258338056</v>
      </c>
      <c r="F30" s="1">
        <v>374164.18023507902</v>
      </c>
      <c r="G30" s="1">
        <v>372296.38273163745</v>
      </c>
      <c r="H30" s="1">
        <v>370428.58522819594</v>
      </c>
      <c r="I30" s="1">
        <v>368560.78873763431</v>
      </c>
      <c r="J30" s="1">
        <v>366007.81366425287</v>
      </c>
      <c r="K30" s="1">
        <v>378059.34448559582</v>
      </c>
      <c r="L30" s="1">
        <v>376116.49640944088</v>
      </c>
      <c r="M30" s="1">
        <v>374173.64833328611</v>
      </c>
      <c r="N30" s="1">
        <v>372551.15273742867</v>
      </c>
      <c r="O30" s="1">
        <v>371569.36210216593</v>
      </c>
      <c r="P30" s="1">
        <v>370907.92394720064</v>
      </c>
      <c r="Q30" s="1">
        <f>SUM(E30:P30)</f>
        <v>4470169.1211952977</v>
      </c>
    </row>
    <row r="31" spans="1:16384" x14ac:dyDescent="0.25">
      <c r="A31" s="200"/>
      <c r="B31" s="23" t="s">
        <v>264</v>
      </c>
      <c r="C31" s="23" t="s">
        <v>279</v>
      </c>
      <c r="E31" s="1">
        <v>94730.117350540459</v>
      </c>
      <c r="F31" s="1">
        <v>94435.008130573828</v>
      </c>
      <c r="G31" s="1">
        <v>93963.596162937174</v>
      </c>
      <c r="H31" s="1">
        <v>93492.18419530055</v>
      </c>
      <c r="I31" s="1">
        <v>93020.772483303896</v>
      </c>
      <c r="J31" s="1">
        <v>92376.429078597284</v>
      </c>
      <c r="K31" s="1">
        <v>82811.495586842764</v>
      </c>
      <c r="L31" s="1">
        <v>82385.927069013051</v>
      </c>
      <c r="M31" s="1">
        <v>81960.358551183366</v>
      </c>
      <c r="N31" s="1">
        <v>81604.961207258864</v>
      </c>
      <c r="O31" s="1">
        <v>81389.906211144713</v>
      </c>
      <c r="P31" s="1">
        <v>81245.022388935788</v>
      </c>
      <c r="Q31" s="1">
        <f>SUM(E31:P31)</f>
        <v>1053415.7784156317</v>
      </c>
    </row>
    <row r="32" spans="1:16384" x14ac:dyDescent="0.25">
      <c r="A32" s="200"/>
      <c r="B32" s="2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  <c r="D33" s="205"/>
    </row>
    <row r="34" spans="1:17" x14ac:dyDescent="0.25">
      <c r="A34" s="200"/>
      <c r="B34" s="23" t="s">
        <v>262</v>
      </c>
      <c r="C34" s="23" t="s">
        <v>281</v>
      </c>
      <c r="D34" s="205"/>
      <c r="E34" s="1">
        <v>395363.52330805681</v>
      </c>
      <c r="F34" s="1">
        <v>395363.74330805684</v>
      </c>
      <c r="G34" s="1">
        <v>395363.74330805684</v>
      </c>
      <c r="H34" s="1">
        <v>395363.74330805684</v>
      </c>
      <c r="I34" s="1">
        <v>395363.30330805684</v>
      </c>
      <c r="J34" s="1">
        <v>395363.30330805684</v>
      </c>
      <c r="K34" s="1">
        <v>395363.30330805684</v>
      </c>
      <c r="L34" s="1">
        <v>395363.30330805684</v>
      </c>
      <c r="M34" s="1">
        <v>395363.30330805684</v>
      </c>
      <c r="N34" s="1">
        <v>261576.5084459247</v>
      </c>
      <c r="O34" s="1">
        <v>127789.71358379269</v>
      </c>
      <c r="P34" s="1">
        <v>127789.71358379269</v>
      </c>
      <c r="Q34" s="1">
        <f>SUM(E34:P34)</f>
        <v>4075427.2053860207</v>
      </c>
    </row>
    <row r="35" spans="1:17" x14ac:dyDescent="0.25">
      <c r="A35" s="200"/>
      <c r="B35" s="23" t="s">
        <v>264</v>
      </c>
      <c r="C35" s="23" t="s">
        <v>282</v>
      </c>
      <c r="D35" s="205"/>
      <c r="E35" s="1">
        <v>10326.4181692518</v>
      </c>
      <c r="F35" s="1">
        <v>10326.4181692518</v>
      </c>
      <c r="G35" s="1">
        <v>10326.4181692518</v>
      </c>
      <c r="H35" s="1">
        <v>10326.4181692518</v>
      </c>
      <c r="I35" s="1">
        <v>10326.4181692518</v>
      </c>
      <c r="J35" s="1">
        <v>10326.4181692518</v>
      </c>
      <c r="K35" s="1">
        <v>10326.4181692518</v>
      </c>
      <c r="L35" s="1">
        <v>10326.4181692518</v>
      </c>
      <c r="M35" s="1">
        <v>10326.4181692518</v>
      </c>
      <c r="N35" s="1">
        <v>10326.4181692518</v>
      </c>
      <c r="O35" s="1">
        <v>10326.4181692518</v>
      </c>
      <c r="P35" s="1">
        <v>10326.4181692518</v>
      </c>
      <c r="Q35" s="1">
        <f>SUM(E35:P35)</f>
        <v>123917.01803102162</v>
      </c>
    </row>
    <row r="36" spans="1:17" x14ac:dyDescent="0.25">
      <c r="A36" s="200"/>
      <c r="B36" s="23" t="s">
        <v>266</v>
      </c>
      <c r="C36" s="23" t="s">
        <v>283</v>
      </c>
      <c r="D36" s="205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268</v>
      </c>
      <c r="C37" s="23" t="s">
        <v>284</v>
      </c>
      <c r="D37" s="205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SUM(E37:P37)</f>
        <v>0</v>
      </c>
    </row>
    <row r="38" spans="1:17" x14ac:dyDescent="0.25">
      <c r="A38" s="200"/>
      <c r="B38" s="23" t="s">
        <v>270</v>
      </c>
      <c r="C38" s="23" t="s">
        <v>285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199">
        <f>SUM(E38:P38)</f>
        <v>0</v>
      </c>
    </row>
    <row r="39" spans="1:17" x14ac:dyDescent="0.25">
      <c r="A39" s="200"/>
      <c r="B39" s="20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875753.5014112296</v>
      </c>
      <c r="F40" s="1">
        <f t="shared" ref="F40:P40" si="6">SUM(F30:F38)</f>
        <v>874289.34984296153</v>
      </c>
      <c r="G40" s="1">
        <f t="shared" si="6"/>
        <v>871950.14037188317</v>
      </c>
      <c r="H40" s="1">
        <f t="shared" si="6"/>
        <v>869610.93090080505</v>
      </c>
      <c r="I40" s="1">
        <f t="shared" si="6"/>
        <v>867271.28269824677</v>
      </c>
      <c r="J40" s="1">
        <f t="shared" si="6"/>
        <v>864073.96422015876</v>
      </c>
      <c r="K40" s="1">
        <f t="shared" si="6"/>
        <v>866560.56154974725</v>
      </c>
      <c r="L40" s="1">
        <f t="shared" si="6"/>
        <v>864192.14495576255</v>
      </c>
      <c r="M40" s="1">
        <f t="shared" si="6"/>
        <v>861823.72836177808</v>
      </c>
      <c r="N40" s="1">
        <f t="shared" si="6"/>
        <v>726059.04055986402</v>
      </c>
      <c r="O40" s="1">
        <f t="shared" si="6"/>
        <v>591075.40006635513</v>
      </c>
      <c r="P40" s="1">
        <f t="shared" si="6"/>
        <v>590269.07808918087</v>
      </c>
      <c r="Q40" s="1">
        <f>SUM(E40:P40)</f>
        <v>9722929.1230279747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67365.653954709967</v>
      </c>
      <c r="F41" s="1">
        <f t="shared" ref="F41:P41" si="7">F40*1/13</f>
        <v>67253.02691099704</v>
      </c>
      <c r="G41" s="1">
        <f t="shared" si="7"/>
        <v>67073.087720914089</v>
      </c>
      <c r="H41" s="1">
        <f t="shared" si="7"/>
        <v>66893.148530831153</v>
      </c>
      <c r="I41" s="1">
        <f t="shared" si="7"/>
        <v>66713.175592172833</v>
      </c>
      <c r="J41" s="1">
        <f t="shared" si="7"/>
        <v>66467.228016935289</v>
      </c>
      <c r="K41" s="1">
        <f t="shared" si="7"/>
        <v>66658.504734595947</v>
      </c>
      <c r="L41" s="1">
        <f t="shared" si="7"/>
        <v>66476.318842750959</v>
      </c>
      <c r="M41" s="1">
        <f t="shared" si="7"/>
        <v>66294.132950906001</v>
      </c>
      <c r="N41" s="1">
        <f t="shared" si="7"/>
        <v>55850.695427681851</v>
      </c>
      <c r="O41" s="1">
        <f t="shared" si="7"/>
        <v>45467.338466642701</v>
      </c>
      <c r="P41" s="1">
        <f t="shared" si="7"/>
        <v>45405.31369916776</v>
      </c>
      <c r="Q41" s="1">
        <f>SUM(E41:P41)</f>
        <v>747917.62484830571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E40-E41</f>
        <v>808387.84745651961</v>
      </c>
      <c r="F42" s="1">
        <f t="shared" si="8"/>
        <v>807036.32293196453</v>
      </c>
      <c r="G42" s="1">
        <f t="shared" si="8"/>
        <v>804877.05265096913</v>
      </c>
      <c r="H42" s="1">
        <f t="shared" si="8"/>
        <v>802717.78236997384</v>
      </c>
      <c r="I42" s="1">
        <f t="shared" si="8"/>
        <v>800558.10710607399</v>
      </c>
      <c r="J42" s="1">
        <f t="shared" si="8"/>
        <v>797606.73620322347</v>
      </c>
      <c r="K42" s="1">
        <f t="shared" si="8"/>
        <v>799902.05681515136</v>
      </c>
      <c r="L42" s="1">
        <f t="shared" si="8"/>
        <v>797715.82611301157</v>
      </c>
      <c r="M42" s="1">
        <f t="shared" si="8"/>
        <v>795529.59541087202</v>
      </c>
      <c r="N42" s="1">
        <f t="shared" si="8"/>
        <v>670208.34513218212</v>
      </c>
      <c r="O42" s="1">
        <f t="shared" si="8"/>
        <v>545608.06159971247</v>
      </c>
      <c r="P42" s="1">
        <f t="shared" si="8"/>
        <v>544863.76439001306</v>
      </c>
      <c r="Q42" s="1">
        <f>SUM(E42:P42)</f>
        <v>8975011.4981796667</v>
      </c>
    </row>
    <row r="43" spans="1:17" x14ac:dyDescent="0.25">
      <c r="A43" s="200"/>
      <c r="B43" s="20"/>
      <c r="C43" s="202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67446.492739455629</v>
      </c>
      <c r="F47" s="1">
        <v>67333.730543290236</v>
      </c>
      <c r="G47" s="1">
        <v>67153.575426179188</v>
      </c>
      <c r="H47" s="1">
        <v>66973.420309068155</v>
      </c>
      <c r="I47" s="1">
        <v>66793.231402883452</v>
      </c>
      <c r="J47" s="1">
        <v>66546.98869055562</v>
      </c>
      <c r="K47" s="1">
        <v>66738.494940277466</v>
      </c>
      <c r="L47" s="1">
        <v>66556.090425362272</v>
      </c>
      <c r="M47" s="1">
        <v>66373.685910447093</v>
      </c>
      <c r="N47" s="1">
        <v>55917.716262195077</v>
      </c>
      <c r="O47" s="1">
        <v>45521.899272802679</v>
      </c>
      <c r="P47" s="1">
        <v>45459.800075606763</v>
      </c>
      <c r="Q47" s="1">
        <f>SUM(E47:P47)</f>
        <v>748815.12599812355</v>
      </c>
    </row>
    <row r="48" spans="1:17" x14ac:dyDescent="0.25">
      <c r="A48" s="13">
        <v>13</v>
      </c>
      <c r="B48" s="23" t="s">
        <v>290</v>
      </c>
      <c r="E48" s="199">
        <f>E42*E45</f>
        <v>786030.0222430604</v>
      </c>
      <c r="F48" s="199">
        <f t="shared" ref="F48:P48" si="9">F42*F45</f>
        <v>784715.87723773834</v>
      </c>
      <c r="G48" s="199">
        <f t="shared" si="9"/>
        <v>782616.32654268551</v>
      </c>
      <c r="H48" s="199">
        <f t="shared" si="9"/>
        <v>780516.77584763279</v>
      </c>
      <c r="I48" s="199">
        <f t="shared" si="9"/>
        <v>778416.83137040923</v>
      </c>
      <c r="J48" s="199">
        <f t="shared" si="9"/>
        <v>775547.08741803002</v>
      </c>
      <c r="K48" s="199">
        <f t="shared" si="9"/>
        <v>777778.92565919773</v>
      </c>
      <c r="L48" s="199">
        <f t="shared" si="9"/>
        <v>775653.16019545624</v>
      </c>
      <c r="M48" s="199">
        <f t="shared" si="9"/>
        <v>773527.39473171486</v>
      </c>
      <c r="N48" s="199">
        <f t="shared" si="9"/>
        <v>651672.19186835783</v>
      </c>
      <c r="O48" s="199">
        <f t="shared" si="9"/>
        <v>530518.0157576307</v>
      </c>
      <c r="P48" s="199">
        <f t="shared" si="9"/>
        <v>529794.30379914911</v>
      </c>
      <c r="Q48" s="199">
        <f>SUM(E48:P48)</f>
        <v>8726786.9126710612</v>
      </c>
    </row>
    <row r="49" spans="1:17" ht="13" thickBot="1" x14ac:dyDescent="0.3">
      <c r="A49" s="13">
        <v>14</v>
      </c>
      <c r="B49" s="23" t="s">
        <v>291</v>
      </c>
      <c r="E49" s="204">
        <f t="shared" ref="E49:Q49" si="10">E47+E48</f>
        <v>853476.51498251606</v>
      </c>
      <c r="F49" s="204">
        <f t="shared" si="10"/>
        <v>852049.60778102861</v>
      </c>
      <c r="G49" s="204">
        <f t="shared" si="10"/>
        <v>849769.90196886472</v>
      </c>
      <c r="H49" s="204">
        <f t="shared" si="10"/>
        <v>847490.19615670096</v>
      </c>
      <c r="I49" s="204">
        <f t="shared" si="10"/>
        <v>845210.06277329265</v>
      </c>
      <c r="J49" s="204">
        <f t="shared" si="10"/>
        <v>842094.07610858558</v>
      </c>
      <c r="K49" s="204">
        <f t="shared" si="10"/>
        <v>844517.42059947515</v>
      </c>
      <c r="L49" s="204">
        <f t="shared" si="10"/>
        <v>842209.25062081846</v>
      </c>
      <c r="M49" s="204">
        <f t="shared" si="10"/>
        <v>839901.08064216189</v>
      </c>
      <c r="N49" s="204">
        <f t="shared" si="10"/>
        <v>707589.90813055285</v>
      </c>
      <c r="O49" s="204">
        <f t="shared" si="10"/>
        <v>576039.91503043333</v>
      </c>
      <c r="P49" s="204">
        <f t="shared" si="10"/>
        <v>575254.10387475591</v>
      </c>
      <c r="Q49" s="204">
        <f t="shared" si="10"/>
        <v>9475602.0386691839</v>
      </c>
    </row>
    <row r="50" spans="1:17" ht="13" thickTop="1" x14ac:dyDescent="0.25">
      <c r="A50" s="200"/>
      <c r="B50" s="20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x14ac:dyDescent="0.25">
      <c r="A51" s="210" t="s">
        <v>76</v>
      </c>
      <c r="B51" s="23"/>
    </row>
    <row r="52" spans="1:17" x14ac:dyDescent="0.25">
      <c r="A52" s="23" t="s">
        <v>168</v>
      </c>
      <c r="B52" s="228" t="s">
        <v>338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11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x14ac:dyDescent="0.25">
      <c r="A61" s="11" t="s">
        <v>307</v>
      </c>
      <c r="B61" s="23" t="s">
        <v>308</v>
      </c>
    </row>
    <row r="62" spans="1:17" x14ac:dyDescent="0.25">
      <c r="A62" s="11" t="s">
        <v>309</v>
      </c>
      <c r="B62" s="23" t="s">
        <v>310</v>
      </c>
      <c r="Q62" s="16"/>
    </row>
    <row r="63" spans="1:17" x14ac:dyDescent="0.25">
      <c r="Q63" s="16"/>
    </row>
    <row r="64" spans="1:17" x14ac:dyDescent="0.25">
      <c r="Q64" s="16"/>
    </row>
    <row r="65" spans="1:17" ht="13" x14ac:dyDescent="0.3">
      <c r="B65" s="187"/>
      <c r="C65" s="188"/>
      <c r="D65" s="188"/>
      <c r="E65" s="188"/>
      <c r="F65" s="188"/>
      <c r="G65" s="188"/>
      <c r="H65" s="187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188"/>
      <c r="H70" s="188"/>
      <c r="I70" s="188"/>
    </row>
    <row r="71" spans="1:17" x14ac:dyDescent="0.25">
      <c r="B71" s="188"/>
      <c r="C71" s="188"/>
      <c r="F71" s="188"/>
      <c r="G71" s="188"/>
      <c r="H71" s="188"/>
      <c r="I71" s="202"/>
    </row>
    <row r="72" spans="1:17" x14ac:dyDescent="0.25">
      <c r="B72" s="206"/>
      <c r="C72" s="188"/>
      <c r="D72" s="188"/>
      <c r="E72" s="188"/>
      <c r="F72" s="188"/>
      <c r="G72" s="188"/>
      <c r="H72" s="188"/>
      <c r="I72" s="188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2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  <c r="C86" s="13"/>
    </row>
    <row r="87" spans="1:16" x14ac:dyDescent="0.25">
      <c r="A87" s="13"/>
      <c r="B87" s="23"/>
    </row>
    <row r="88" spans="1:16" x14ac:dyDescent="0.25">
      <c r="A88" s="13"/>
      <c r="B88" s="23"/>
      <c r="C88" s="23"/>
    </row>
    <row r="89" spans="1:16" x14ac:dyDescent="0.25">
      <c r="A89" s="200"/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A91" s="200"/>
      <c r="B91" s="23"/>
      <c r="C91" s="23"/>
    </row>
    <row r="92" spans="1:16" x14ac:dyDescent="0.25">
      <c r="A92" s="200"/>
      <c r="B92" s="23"/>
      <c r="C92" s="23"/>
    </row>
    <row r="93" spans="1:16" x14ac:dyDescent="0.25">
      <c r="A93" s="200"/>
      <c r="B93" s="20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x14ac:dyDescent="0.25">
      <c r="A94" s="13"/>
      <c r="B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6" x14ac:dyDescent="0.25">
      <c r="A101" s="13"/>
      <c r="B101" s="23"/>
    </row>
    <row r="102" spans="1:16" x14ac:dyDescent="0.25">
      <c r="A102" s="200"/>
      <c r="B102" s="23"/>
      <c r="C102" s="23"/>
    </row>
    <row r="103" spans="1:16" x14ac:dyDescent="0.25">
      <c r="A103" s="200"/>
      <c r="B103" s="23"/>
      <c r="C103" s="23"/>
    </row>
    <row r="104" spans="1:16" x14ac:dyDescent="0.25">
      <c r="A104" s="200"/>
      <c r="B104" s="20"/>
      <c r="C104" s="202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13"/>
      <c r="B110" s="23"/>
    </row>
    <row r="111" spans="1:16" x14ac:dyDescent="0.25">
      <c r="A111" s="200"/>
      <c r="B111" s="20"/>
    </row>
    <row r="112" spans="1:16" x14ac:dyDescent="0.25">
      <c r="B112" s="23"/>
    </row>
    <row r="113" spans="1:17" ht="13" x14ac:dyDescent="0.3">
      <c r="Q113" s="226"/>
    </row>
    <row r="114" spans="1:17" x14ac:dyDescent="0.25">
      <c r="Q114" s="16"/>
    </row>
    <row r="115" spans="1:17" ht="13" x14ac:dyDescent="0.3">
      <c r="B115" s="187"/>
      <c r="C115" s="188"/>
      <c r="D115" s="188"/>
      <c r="E115" s="188"/>
      <c r="F115" s="188"/>
      <c r="G115" s="188"/>
      <c r="H115" s="187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ht="13" x14ac:dyDescent="0.3">
      <c r="B118" s="186"/>
      <c r="C118" s="188"/>
      <c r="D118" s="188"/>
      <c r="E118" s="188"/>
      <c r="F118" s="188"/>
      <c r="G118" s="188"/>
      <c r="H118" s="186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B121" s="188"/>
      <c r="C121" s="188"/>
      <c r="F121" s="188"/>
      <c r="G121" s="188"/>
      <c r="H121" s="188"/>
      <c r="I121" s="11"/>
    </row>
    <row r="122" spans="1:17" x14ac:dyDescent="0.25">
      <c r="B122" s="206"/>
      <c r="C122" s="188"/>
      <c r="D122" s="188"/>
      <c r="E122" s="188"/>
      <c r="F122" s="188"/>
      <c r="G122" s="188"/>
      <c r="H122" s="23"/>
      <c r="I122" s="188"/>
    </row>
    <row r="123" spans="1:17" x14ac:dyDescent="0.25">
      <c r="B123" s="188"/>
      <c r="C123" s="188"/>
      <c r="D123" s="188"/>
      <c r="E123" s="188"/>
      <c r="F123" s="188"/>
      <c r="G123" s="188"/>
      <c r="H123" s="188"/>
      <c r="I123" s="188"/>
    </row>
    <row r="124" spans="1:17" x14ac:dyDescent="0.25">
      <c r="A124" s="206"/>
      <c r="B124" s="206"/>
      <c r="C124" s="188"/>
      <c r="D124" s="188"/>
      <c r="E124" s="188"/>
      <c r="F124" s="188"/>
      <c r="G124" s="188"/>
      <c r="H124" s="188"/>
      <c r="I124" s="188"/>
    </row>
    <row r="125" spans="1:17" x14ac:dyDescent="0.2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5"/>
      <c r="B126" s="5"/>
      <c r="C126" s="5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13"/>
      <c r="B127" s="23"/>
      <c r="C127" s="13"/>
    </row>
    <row r="128" spans="1:17" x14ac:dyDescent="0.25">
      <c r="A128" s="13"/>
      <c r="B128" s="23"/>
      <c r="C128" s="2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13"/>
    </row>
    <row r="134" spans="1:16" x14ac:dyDescent="0.25">
      <c r="A134" s="13"/>
      <c r="B134" s="23"/>
      <c r="C134" s="13"/>
    </row>
    <row r="135" spans="1:16" x14ac:dyDescent="0.25">
      <c r="A135" s="13"/>
      <c r="B135" s="23"/>
      <c r="C135" s="13"/>
    </row>
    <row r="136" spans="1:16" x14ac:dyDescent="0.25">
      <c r="A136" s="13"/>
      <c r="B136" s="23"/>
      <c r="C136" s="13"/>
    </row>
    <row r="137" spans="1:16" x14ac:dyDescent="0.25">
      <c r="A137" s="13"/>
      <c r="B137" s="23"/>
    </row>
    <row r="138" spans="1:16" x14ac:dyDescent="0.25">
      <c r="A138" s="13"/>
      <c r="B138" s="23"/>
      <c r="C138" s="23"/>
    </row>
    <row r="139" spans="1:16" x14ac:dyDescent="0.25">
      <c r="A139" s="200"/>
      <c r="B139" s="20"/>
    </row>
    <row r="140" spans="1:16" x14ac:dyDescent="0.25">
      <c r="A140" s="13"/>
      <c r="B140" s="23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</row>
    <row r="141" spans="1:16" x14ac:dyDescent="0.25">
      <c r="A141" s="200"/>
      <c r="B141" s="23"/>
      <c r="C141" s="23"/>
    </row>
    <row r="142" spans="1:16" x14ac:dyDescent="0.25">
      <c r="A142" s="200"/>
      <c r="B142" s="23"/>
      <c r="C142" s="23"/>
    </row>
    <row r="143" spans="1:16" x14ac:dyDescent="0.25">
      <c r="A143" s="200"/>
      <c r="B143" s="20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</row>
    <row r="144" spans="1:16" x14ac:dyDescent="0.25">
      <c r="A144" s="13"/>
      <c r="B144" s="23"/>
    </row>
    <row r="145" spans="1:16" x14ac:dyDescent="0.25">
      <c r="A145" s="200"/>
      <c r="B145" s="23"/>
      <c r="C145" s="23"/>
    </row>
    <row r="146" spans="1:16" x14ac:dyDescent="0.25">
      <c r="A146" s="200"/>
      <c r="B146" s="23"/>
      <c r="C146" s="23"/>
    </row>
    <row r="147" spans="1:16" x14ac:dyDescent="0.25">
      <c r="A147" s="200"/>
      <c r="B147" s="23"/>
      <c r="C147" s="23"/>
    </row>
    <row r="148" spans="1:16" x14ac:dyDescent="0.25">
      <c r="A148" s="200"/>
      <c r="B148" s="23"/>
      <c r="C148" s="23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1:16" x14ac:dyDescent="0.25">
      <c r="A149" s="200"/>
      <c r="B149" s="23"/>
      <c r="C149" s="23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6" x14ac:dyDescent="0.25">
      <c r="A150" s="200"/>
      <c r="B150" s="20"/>
      <c r="C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</row>
    <row r="151" spans="1:16" x14ac:dyDescent="0.25">
      <c r="A151" s="13"/>
      <c r="B151" s="23"/>
    </row>
    <row r="152" spans="1:16" x14ac:dyDescent="0.25">
      <c r="A152" s="200"/>
      <c r="B152" s="23"/>
      <c r="C152" s="23"/>
    </row>
    <row r="153" spans="1:16" x14ac:dyDescent="0.25">
      <c r="A153" s="200"/>
      <c r="B153" s="23"/>
      <c r="C153" s="23"/>
    </row>
    <row r="154" spans="1:16" x14ac:dyDescent="0.25">
      <c r="A154" s="200"/>
      <c r="B154" s="20"/>
      <c r="C154" s="202"/>
    </row>
    <row r="155" spans="1:16" x14ac:dyDescent="0.25">
      <c r="A155" s="13"/>
      <c r="B155" s="2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56" spans="1:16" x14ac:dyDescent="0.25">
      <c r="A156" s="13"/>
      <c r="B156" s="2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x14ac:dyDescent="0.25">
      <c r="A157" s="13"/>
      <c r="B157" s="23"/>
      <c r="C157" s="202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</row>
    <row r="158" spans="1:16" x14ac:dyDescent="0.25">
      <c r="A158" s="13"/>
      <c r="B158" s="23"/>
    </row>
    <row r="159" spans="1:16" x14ac:dyDescent="0.25">
      <c r="A159" s="13"/>
      <c r="B159" s="23"/>
    </row>
    <row r="160" spans="1:16" x14ac:dyDescent="0.25">
      <c r="A160" s="13"/>
      <c r="B160" s="23"/>
    </row>
    <row r="161" spans="1:17" x14ac:dyDescent="0.25">
      <c r="A161" s="200"/>
      <c r="B161" s="20"/>
    </row>
    <row r="162" spans="1:17" x14ac:dyDescent="0.25">
      <c r="B162" s="23"/>
    </row>
    <row r="163" spans="1:17" x14ac:dyDescent="0.25">
      <c r="B163" s="23"/>
    </row>
    <row r="164" spans="1:17" x14ac:dyDescent="0.25">
      <c r="B164" s="23"/>
    </row>
    <row r="165" spans="1:17" ht="13" x14ac:dyDescent="0.3">
      <c r="B165" s="187"/>
      <c r="C165" s="188"/>
      <c r="D165" s="188"/>
      <c r="E165" s="188"/>
      <c r="F165" s="188"/>
      <c r="G165" s="188"/>
      <c r="H165" s="187"/>
      <c r="I165" s="188"/>
    </row>
    <row r="166" spans="1:17" x14ac:dyDescent="0.25">
      <c r="B166" s="188"/>
      <c r="C166" s="188"/>
      <c r="D166" s="188"/>
      <c r="E166" s="188"/>
      <c r="F166" s="188"/>
      <c r="G166" s="188"/>
      <c r="H166" s="188"/>
      <c r="I166" s="188"/>
    </row>
    <row r="167" spans="1:17" x14ac:dyDescent="0.25">
      <c r="B167" s="188"/>
      <c r="C167" s="188"/>
      <c r="D167" s="188"/>
      <c r="E167" s="188"/>
      <c r="F167" s="188"/>
      <c r="G167" s="188"/>
      <c r="H167" s="188"/>
      <c r="I167" s="188"/>
    </row>
    <row r="168" spans="1:17" ht="13" x14ac:dyDescent="0.3">
      <c r="B168" s="186"/>
      <c r="C168" s="188"/>
      <c r="D168" s="188"/>
      <c r="E168" s="188"/>
      <c r="F168" s="188"/>
      <c r="G168" s="188"/>
      <c r="H168" s="186"/>
      <c r="I168" s="188"/>
    </row>
    <row r="169" spans="1:17" x14ac:dyDescent="0.25">
      <c r="B169" s="188"/>
      <c r="C169" s="188"/>
      <c r="D169" s="188"/>
      <c r="E169" s="188"/>
      <c r="F169" s="188"/>
      <c r="G169" s="188"/>
      <c r="H169" s="188"/>
      <c r="I169" s="188"/>
    </row>
    <row r="170" spans="1:17" x14ac:dyDescent="0.25">
      <c r="B170" s="188"/>
      <c r="C170" s="188"/>
      <c r="D170" s="188"/>
      <c r="E170" s="188"/>
      <c r="F170" s="188"/>
      <c r="G170" s="188"/>
      <c r="H170" s="188"/>
      <c r="I170" s="188"/>
    </row>
    <row r="171" spans="1:17" x14ac:dyDescent="0.25">
      <c r="B171" s="188"/>
      <c r="C171" s="188"/>
      <c r="F171" s="188"/>
      <c r="G171" s="188"/>
      <c r="H171" s="188"/>
      <c r="I171" s="11"/>
    </row>
    <row r="172" spans="1:17" x14ac:dyDescent="0.25">
      <c r="B172" s="206"/>
      <c r="C172" s="188"/>
      <c r="D172" s="188"/>
      <c r="E172" s="188"/>
      <c r="F172" s="188"/>
      <c r="G172" s="188"/>
      <c r="H172" s="188"/>
      <c r="I172" s="23"/>
    </row>
    <row r="173" spans="1:17" x14ac:dyDescent="0.25">
      <c r="B173" s="188"/>
      <c r="C173" s="188"/>
      <c r="D173" s="188"/>
      <c r="E173" s="188"/>
      <c r="F173" s="188"/>
      <c r="G173" s="188"/>
      <c r="H173" s="188"/>
      <c r="I173" s="188"/>
    </row>
    <row r="174" spans="1:17" x14ac:dyDescent="0.25">
      <c r="A174" s="206"/>
      <c r="B174" s="206"/>
      <c r="C174" s="188"/>
      <c r="D174" s="188"/>
      <c r="E174" s="188"/>
      <c r="F174" s="188"/>
      <c r="G174" s="188"/>
      <c r="H174" s="188"/>
      <c r="I174" s="188"/>
    </row>
    <row r="175" spans="1:17" x14ac:dyDescent="0.25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5"/>
      <c r="B176" s="5"/>
      <c r="C176" s="5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6" x14ac:dyDescent="0.25">
      <c r="A177" s="13"/>
      <c r="B177" s="23"/>
      <c r="C177" s="13"/>
    </row>
    <row r="178" spans="1:16" x14ac:dyDescent="0.25">
      <c r="A178" s="13"/>
      <c r="B178" s="23"/>
      <c r="C178" s="23"/>
    </row>
    <row r="179" spans="1:16" x14ac:dyDescent="0.25">
      <c r="A179" s="13"/>
      <c r="B179" s="23"/>
      <c r="C179" s="23"/>
    </row>
    <row r="180" spans="1:16" x14ac:dyDescent="0.25">
      <c r="A180" s="13"/>
      <c r="B180" s="23"/>
      <c r="C180" s="23"/>
    </row>
    <row r="181" spans="1:16" x14ac:dyDescent="0.25">
      <c r="A181" s="13"/>
      <c r="B181" s="23"/>
      <c r="C181" s="23"/>
    </row>
    <row r="182" spans="1:16" x14ac:dyDescent="0.25">
      <c r="A182" s="13"/>
      <c r="B182" s="23"/>
      <c r="C182" s="23"/>
    </row>
    <row r="183" spans="1:16" x14ac:dyDescent="0.25">
      <c r="A183" s="13"/>
      <c r="B183" s="23"/>
      <c r="C183" s="13"/>
    </row>
    <row r="184" spans="1:16" x14ac:dyDescent="0.25">
      <c r="A184" s="13"/>
      <c r="B184" s="23"/>
      <c r="C184" s="13"/>
    </row>
    <row r="185" spans="1:16" x14ac:dyDescent="0.25">
      <c r="A185" s="13"/>
      <c r="B185" s="23"/>
      <c r="C185" s="13"/>
    </row>
    <row r="186" spans="1:16" x14ac:dyDescent="0.25">
      <c r="A186" s="13"/>
      <c r="B186" s="23"/>
      <c r="C186" s="13"/>
    </row>
    <row r="187" spans="1:16" x14ac:dyDescent="0.25">
      <c r="A187" s="13"/>
      <c r="B187" s="23"/>
    </row>
    <row r="188" spans="1:16" x14ac:dyDescent="0.25">
      <c r="A188" s="13"/>
      <c r="B188" s="23"/>
      <c r="C188" s="23"/>
    </row>
    <row r="189" spans="1:16" x14ac:dyDescent="0.25">
      <c r="A189" s="200"/>
      <c r="B189" s="20"/>
    </row>
    <row r="190" spans="1:16" x14ac:dyDescent="0.25">
      <c r="A190" s="13"/>
      <c r="B190" s="23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</row>
    <row r="191" spans="1:16" x14ac:dyDescent="0.25">
      <c r="A191" s="200"/>
      <c r="B191" s="23"/>
      <c r="C191" s="23"/>
    </row>
    <row r="192" spans="1:16" x14ac:dyDescent="0.25">
      <c r="A192" s="200"/>
      <c r="B192" s="23"/>
      <c r="C192" s="23"/>
    </row>
    <row r="193" spans="1:16" x14ac:dyDescent="0.25">
      <c r="A193" s="200"/>
      <c r="B193" s="20"/>
    </row>
    <row r="194" spans="1:16" x14ac:dyDescent="0.25">
      <c r="A194" s="13"/>
      <c r="B194" s="23"/>
    </row>
    <row r="195" spans="1:16" x14ac:dyDescent="0.25">
      <c r="A195" s="200"/>
      <c r="B195" s="23"/>
      <c r="C195" s="23"/>
    </row>
    <row r="196" spans="1:16" x14ac:dyDescent="0.25">
      <c r="A196" s="200"/>
      <c r="B196" s="23"/>
      <c r="C196" s="23"/>
    </row>
    <row r="197" spans="1:16" x14ac:dyDescent="0.25">
      <c r="A197" s="200"/>
      <c r="B197" s="23"/>
      <c r="C197" s="23"/>
    </row>
    <row r="198" spans="1:16" x14ac:dyDescent="0.25">
      <c r="A198" s="200"/>
      <c r="B198" s="23"/>
      <c r="C198" s="23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</row>
    <row r="199" spans="1:16" x14ac:dyDescent="0.25">
      <c r="A199" s="200"/>
      <c r="B199" s="23"/>
      <c r="C199" s="23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</row>
    <row r="200" spans="1:16" x14ac:dyDescent="0.25">
      <c r="A200" s="200"/>
      <c r="B200" s="20"/>
      <c r="C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</row>
    <row r="201" spans="1:16" x14ac:dyDescent="0.25">
      <c r="A201" s="13"/>
      <c r="B201" s="23"/>
    </row>
    <row r="202" spans="1:16" x14ac:dyDescent="0.25">
      <c r="A202" s="200"/>
      <c r="B202" s="23"/>
      <c r="C202" s="23"/>
    </row>
    <row r="203" spans="1:16" x14ac:dyDescent="0.25">
      <c r="A203" s="200"/>
      <c r="B203" s="23"/>
      <c r="C203" s="23"/>
    </row>
    <row r="204" spans="1:16" x14ac:dyDescent="0.25">
      <c r="A204" s="200"/>
      <c r="B204" s="20"/>
      <c r="C204" s="202"/>
    </row>
    <row r="205" spans="1:16" x14ac:dyDescent="0.25">
      <c r="A205" s="13"/>
      <c r="B205" s="2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16" x14ac:dyDescent="0.25">
      <c r="A206" s="13"/>
      <c r="B206" s="2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</row>
    <row r="207" spans="1:16" x14ac:dyDescent="0.25">
      <c r="A207" s="13"/>
      <c r="B207" s="23"/>
      <c r="C207" s="202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16" x14ac:dyDescent="0.25">
      <c r="A208" s="13"/>
      <c r="B208" s="23"/>
    </row>
    <row r="209" spans="1:9" x14ac:dyDescent="0.25">
      <c r="A209" s="13"/>
      <c r="B209" s="23"/>
    </row>
    <row r="210" spans="1:9" x14ac:dyDescent="0.25">
      <c r="A210" s="13"/>
      <c r="B210" s="23"/>
    </row>
    <row r="211" spans="1:9" x14ac:dyDescent="0.25">
      <c r="A211" s="200"/>
      <c r="B211" s="20"/>
    </row>
    <row r="215" spans="1:9" ht="13" x14ac:dyDescent="0.3">
      <c r="B215" s="187"/>
      <c r="C215" s="188"/>
      <c r="D215" s="188"/>
      <c r="E215" s="188"/>
      <c r="F215" s="188"/>
      <c r="G215" s="188"/>
      <c r="H215" s="187"/>
      <c r="I215" s="188"/>
    </row>
    <row r="216" spans="1:9" x14ac:dyDescent="0.25">
      <c r="B216" s="188"/>
      <c r="C216" s="188"/>
      <c r="D216" s="188"/>
      <c r="E216" s="188"/>
      <c r="F216" s="188"/>
      <c r="G216" s="188"/>
      <c r="H216" s="188"/>
      <c r="I216" s="188"/>
    </row>
    <row r="217" spans="1:9" x14ac:dyDescent="0.25">
      <c r="B217" s="188"/>
      <c r="C217" s="188"/>
      <c r="D217" s="188"/>
      <c r="E217" s="188"/>
      <c r="F217" s="188"/>
      <c r="G217" s="188"/>
      <c r="H217" s="188"/>
      <c r="I217" s="188"/>
    </row>
    <row r="218" spans="1:9" ht="13" x14ac:dyDescent="0.3">
      <c r="B218" s="186"/>
      <c r="C218" s="188"/>
      <c r="D218" s="188"/>
      <c r="E218" s="188"/>
      <c r="F218" s="188"/>
      <c r="G218" s="188"/>
      <c r="H218" s="186"/>
      <c r="I218" s="188"/>
    </row>
    <row r="219" spans="1:9" x14ac:dyDescent="0.25">
      <c r="B219" s="188"/>
      <c r="C219" s="188"/>
      <c r="D219" s="188"/>
      <c r="E219" s="188"/>
      <c r="F219" s="188"/>
      <c r="G219" s="188"/>
      <c r="H219" s="188"/>
      <c r="I219" s="188"/>
    </row>
    <row r="220" spans="1:9" x14ac:dyDescent="0.25">
      <c r="B220" s="188"/>
      <c r="C220" s="188"/>
      <c r="D220" s="188"/>
      <c r="E220" s="188"/>
      <c r="F220" s="188"/>
      <c r="G220" s="188"/>
      <c r="H220" s="188"/>
      <c r="I220" s="188"/>
    </row>
    <row r="221" spans="1:9" x14ac:dyDescent="0.25">
      <c r="B221" s="188"/>
      <c r="C221" s="188"/>
      <c r="F221" s="188"/>
      <c r="G221" s="188"/>
      <c r="H221" s="188"/>
      <c r="I221" s="11"/>
    </row>
    <row r="222" spans="1:9" x14ac:dyDescent="0.25">
      <c r="B222" s="206"/>
      <c r="C222" s="188"/>
      <c r="D222" s="188"/>
      <c r="E222" s="188"/>
      <c r="F222" s="188"/>
      <c r="G222" s="188"/>
      <c r="H222" s="10"/>
      <c r="I222" s="23"/>
    </row>
    <row r="223" spans="1:9" x14ac:dyDescent="0.25">
      <c r="B223" s="188"/>
      <c r="C223" s="188"/>
      <c r="D223" s="188"/>
      <c r="E223" s="188"/>
      <c r="F223" s="188"/>
      <c r="G223" s="188"/>
      <c r="H223" s="188"/>
      <c r="I223" s="188"/>
    </row>
    <row r="224" spans="1:9" x14ac:dyDescent="0.25">
      <c r="A224" s="206"/>
      <c r="B224" s="206"/>
      <c r="C224" s="188"/>
      <c r="D224" s="188"/>
      <c r="E224" s="188"/>
      <c r="F224" s="188"/>
      <c r="G224" s="188"/>
      <c r="H224" s="188"/>
      <c r="I224" s="188"/>
    </row>
    <row r="225" spans="1:17" x14ac:dyDescent="0.25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x14ac:dyDescent="0.25">
      <c r="A226" s="5"/>
      <c r="B226" s="5"/>
      <c r="C226" s="5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x14ac:dyDescent="0.25">
      <c r="A227" s="13"/>
      <c r="B227" s="23"/>
      <c r="C227" s="13"/>
    </row>
    <row r="228" spans="1:17" x14ac:dyDescent="0.25">
      <c r="A228" s="13"/>
      <c r="B228" s="23"/>
      <c r="C228" s="23"/>
    </row>
    <row r="229" spans="1:17" x14ac:dyDescent="0.25">
      <c r="A229" s="13"/>
      <c r="B229" s="23"/>
      <c r="C229" s="23"/>
    </row>
    <row r="230" spans="1:17" x14ac:dyDescent="0.25">
      <c r="A230" s="13"/>
      <c r="B230" s="23"/>
      <c r="C230" s="23"/>
    </row>
    <row r="231" spans="1:17" x14ac:dyDescent="0.25">
      <c r="A231" s="13"/>
      <c r="B231" s="23"/>
      <c r="C231" s="23"/>
    </row>
    <row r="232" spans="1:17" x14ac:dyDescent="0.25">
      <c r="A232" s="13"/>
      <c r="B232" s="23"/>
      <c r="C232" s="23"/>
    </row>
    <row r="233" spans="1:17" x14ac:dyDescent="0.25">
      <c r="A233" s="23"/>
      <c r="B233" s="23"/>
      <c r="C233" s="13"/>
    </row>
    <row r="234" spans="1:17" x14ac:dyDescent="0.25">
      <c r="A234" s="23"/>
      <c r="B234" s="23"/>
      <c r="C234" s="13"/>
    </row>
    <row r="235" spans="1:17" x14ac:dyDescent="0.25">
      <c r="A235" s="23"/>
      <c r="B235" s="23"/>
      <c r="C235" s="13"/>
    </row>
    <row r="236" spans="1:17" x14ac:dyDescent="0.25">
      <c r="A236" s="23"/>
      <c r="B236" s="23"/>
      <c r="C236" s="13"/>
    </row>
    <row r="237" spans="1:17" x14ac:dyDescent="0.25">
      <c r="A237" s="23"/>
      <c r="B237" s="23"/>
    </row>
    <row r="238" spans="1:17" x14ac:dyDescent="0.25">
      <c r="A238" s="23"/>
      <c r="B238" s="23"/>
      <c r="C238" s="23"/>
    </row>
    <row r="239" spans="1:17" x14ac:dyDescent="0.25">
      <c r="A239" s="23"/>
      <c r="B239" s="20"/>
    </row>
    <row r="240" spans="1:17" x14ac:dyDescent="0.25">
      <c r="A240" s="23"/>
      <c r="B240" s="23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</row>
    <row r="241" spans="1:16" x14ac:dyDescent="0.25">
      <c r="A241" s="23"/>
      <c r="B241" s="23"/>
      <c r="C241" s="23"/>
    </row>
    <row r="242" spans="1:16" x14ac:dyDescent="0.25">
      <c r="A242" s="23"/>
      <c r="B242" s="23"/>
      <c r="C242" s="23"/>
    </row>
    <row r="243" spans="1:16" x14ac:dyDescent="0.25">
      <c r="A243" s="23"/>
      <c r="B243" s="20"/>
    </row>
    <row r="244" spans="1:16" x14ac:dyDescent="0.25">
      <c r="A244" s="23"/>
      <c r="B244" s="23"/>
      <c r="C244" s="23"/>
    </row>
    <row r="245" spans="1:16" x14ac:dyDescent="0.25">
      <c r="A245" s="200"/>
      <c r="B245" s="23"/>
      <c r="C245" s="23"/>
    </row>
    <row r="246" spans="1:16" x14ac:dyDescent="0.25">
      <c r="A246" s="200"/>
      <c r="B246" s="23"/>
      <c r="C246" s="23"/>
    </row>
    <row r="247" spans="1:16" x14ac:dyDescent="0.25">
      <c r="A247" s="200"/>
      <c r="B247" s="23"/>
      <c r="C247" s="23"/>
    </row>
    <row r="248" spans="1:16" x14ac:dyDescent="0.25">
      <c r="A248" s="200"/>
      <c r="B248" s="23"/>
      <c r="C248" s="23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</row>
    <row r="249" spans="1:16" x14ac:dyDescent="0.25">
      <c r="A249" s="200"/>
      <c r="B249" s="23"/>
      <c r="C249" s="23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</row>
    <row r="250" spans="1:16" x14ac:dyDescent="0.25">
      <c r="A250" s="200"/>
      <c r="B250" s="23"/>
      <c r="C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</row>
    <row r="251" spans="1:16" x14ac:dyDescent="0.25">
      <c r="A251" s="23"/>
      <c r="B251" s="23"/>
    </row>
    <row r="252" spans="1:16" x14ac:dyDescent="0.25">
      <c r="A252" s="200"/>
      <c r="B252" s="23"/>
      <c r="C252" s="23"/>
    </row>
    <row r="253" spans="1:16" x14ac:dyDescent="0.25">
      <c r="A253" s="200"/>
      <c r="B253" s="23"/>
      <c r="C253" s="23"/>
    </row>
    <row r="254" spans="1:16" x14ac:dyDescent="0.25">
      <c r="A254" s="200"/>
      <c r="B254" s="23"/>
      <c r="C254" s="202"/>
    </row>
    <row r="255" spans="1:16" x14ac:dyDescent="0.25">
      <c r="A255" s="23"/>
      <c r="B255" s="2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</row>
    <row r="256" spans="1:16" x14ac:dyDescent="0.25">
      <c r="A256" s="23"/>
      <c r="B256" s="2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</row>
    <row r="257" spans="1:16" x14ac:dyDescent="0.25">
      <c r="A257" s="13"/>
      <c r="B257" s="2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</row>
    <row r="258" spans="1:16" x14ac:dyDescent="0.25">
      <c r="A258" s="23"/>
      <c r="B258" s="23"/>
    </row>
    <row r="259" spans="1:16" x14ac:dyDescent="0.25">
      <c r="A259" s="23"/>
      <c r="B259" s="23"/>
    </row>
    <row r="260" spans="1:16" x14ac:dyDescent="0.25">
      <c r="A260" s="23"/>
      <c r="B260" s="23"/>
    </row>
    <row r="261" spans="1:16" x14ac:dyDescent="0.25">
      <c r="A261" s="23"/>
      <c r="B261" s="20"/>
    </row>
    <row r="267" spans="1:16" ht="13" x14ac:dyDescent="0.3">
      <c r="B267" s="187"/>
      <c r="C267" s="188"/>
      <c r="D267" s="188"/>
      <c r="E267" s="188"/>
      <c r="F267" s="188"/>
      <c r="G267" s="188"/>
      <c r="H267" s="187"/>
      <c r="I267" s="188"/>
    </row>
    <row r="268" spans="1:16" x14ac:dyDescent="0.25">
      <c r="B268" s="188"/>
      <c r="C268" s="188"/>
      <c r="D268" s="188"/>
      <c r="E268" s="188"/>
      <c r="F268" s="188"/>
      <c r="G268" s="188"/>
      <c r="H268" s="188"/>
      <c r="I268" s="188"/>
    </row>
    <row r="269" spans="1:16" x14ac:dyDescent="0.25">
      <c r="B269" s="188"/>
      <c r="C269" s="188"/>
      <c r="D269" s="188"/>
      <c r="E269" s="188"/>
      <c r="F269" s="188"/>
      <c r="G269" s="188"/>
      <c r="H269" s="188"/>
      <c r="I269" s="188"/>
    </row>
    <row r="270" spans="1:16" ht="13" x14ac:dyDescent="0.3">
      <c r="B270" s="186"/>
      <c r="C270" s="188"/>
      <c r="D270" s="188"/>
      <c r="E270" s="188"/>
      <c r="F270" s="188"/>
      <c r="G270" s="188"/>
      <c r="H270" s="186"/>
      <c r="I270" s="188"/>
    </row>
    <row r="271" spans="1:16" x14ac:dyDescent="0.25">
      <c r="B271" s="188"/>
      <c r="C271" s="188"/>
      <c r="D271" s="188"/>
      <c r="E271" s="188"/>
      <c r="F271" s="188"/>
      <c r="G271" s="188"/>
      <c r="H271" s="188"/>
      <c r="I271" s="188"/>
    </row>
    <row r="272" spans="1:16" x14ac:dyDescent="0.25">
      <c r="B272" s="188"/>
      <c r="C272" s="188"/>
      <c r="D272" s="188"/>
      <c r="E272" s="188"/>
      <c r="F272" s="188"/>
      <c r="G272" s="188"/>
      <c r="H272" s="188"/>
      <c r="I272" s="188"/>
    </row>
    <row r="273" spans="1:17" x14ac:dyDescent="0.25">
      <c r="B273" s="188"/>
      <c r="C273" s="188"/>
      <c r="F273" s="188"/>
      <c r="G273" s="188"/>
      <c r="H273" s="188"/>
      <c r="I273" s="11"/>
    </row>
    <row r="274" spans="1:17" x14ac:dyDescent="0.25">
      <c r="B274" s="206"/>
      <c r="C274" s="188"/>
      <c r="D274" s="188"/>
      <c r="E274" s="188"/>
      <c r="F274" s="188"/>
      <c r="G274" s="188"/>
      <c r="H274" s="10"/>
      <c r="I274" s="23"/>
    </row>
    <row r="275" spans="1:17" x14ac:dyDescent="0.25">
      <c r="B275" s="188"/>
      <c r="C275" s="188"/>
      <c r="D275" s="188"/>
      <c r="E275" s="188"/>
      <c r="F275" s="188"/>
      <c r="G275" s="188"/>
      <c r="H275" s="188"/>
      <c r="I275" s="188"/>
    </row>
    <row r="276" spans="1:17" x14ac:dyDescent="0.25">
      <c r="A276" s="206"/>
      <c r="B276" s="206"/>
      <c r="C276" s="188"/>
      <c r="D276" s="188"/>
      <c r="E276" s="188"/>
      <c r="F276" s="188"/>
      <c r="G276" s="188"/>
      <c r="H276" s="188"/>
      <c r="I276" s="188"/>
    </row>
    <row r="277" spans="1:17" x14ac:dyDescent="0.2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x14ac:dyDescent="0.25">
      <c r="A279" s="13"/>
      <c r="B279" s="23"/>
      <c r="C279" s="13"/>
    </row>
    <row r="280" spans="1:17" x14ac:dyDescent="0.25">
      <c r="A280" s="13"/>
      <c r="B280" s="23"/>
      <c r="C280" s="23"/>
    </row>
    <row r="281" spans="1:17" x14ac:dyDescent="0.25">
      <c r="A281" s="13"/>
      <c r="B281" s="23"/>
      <c r="C281" s="23"/>
    </row>
    <row r="282" spans="1:17" x14ac:dyDescent="0.25">
      <c r="A282" s="13"/>
      <c r="B282" s="23"/>
      <c r="C282" s="23"/>
    </row>
    <row r="283" spans="1:17" x14ac:dyDescent="0.25">
      <c r="A283" s="13"/>
      <c r="B283" s="23"/>
      <c r="C283" s="23"/>
    </row>
    <row r="284" spans="1:17" x14ac:dyDescent="0.25">
      <c r="A284" s="13"/>
      <c r="B284" s="23"/>
      <c r="C284" s="23"/>
    </row>
    <row r="285" spans="1:17" x14ac:dyDescent="0.25">
      <c r="A285" s="13"/>
      <c r="B285" s="23"/>
      <c r="C285" s="23"/>
    </row>
    <row r="286" spans="1:17" x14ac:dyDescent="0.25">
      <c r="A286" s="13"/>
      <c r="B286" s="23"/>
      <c r="C286" s="23"/>
    </row>
    <row r="287" spans="1:17" x14ac:dyDescent="0.25">
      <c r="A287" s="13"/>
      <c r="B287" s="23"/>
      <c r="C287" s="23"/>
    </row>
    <row r="288" spans="1:17" x14ac:dyDescent="0.25">
      <c r="A288" s="13"/>
      <c r="B288" s="23"/>
      <c r="C288" s="23"/>
    </row>
    <row r="289" spans="1:16" x14ac:dyDescent="0.25">
      <c r="A289" s="13"/>
      <c r="B289" s="23"/>
      <c r="C289" s="23"/>
    </row>
    <row r="290" spans="1:16" x14ac:dyDescent="0.25">
      <c r="A290" s="13"/>
      <c r="B290" s="23"/>
      <c r="C290" s="23"/>
    </row>
    <row r="291" spans="1:16" x14ac:dyDescent="0.25">
      <c r="A291" s="13"/>
      <c r="B291" s="23"/>
      <c r="C291" s="23"/>
    </row>
    <row r="292" spans="1:16" x14ac:dyDescent="0.25">
      <c r="A292" s="13"/>
      <c r="B292" s="23"/>
      <c r="C292" s="23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</row>
    <row r="293" spans="1:16" x14ac:dyDescent="0.25">
      <c r="A293" s="13"/>
      <c r="B293" s="23"/>
      <c r="C293" s="23"/>
    </row>
    <row r="294" spans="1:16" x14ac:dyDescent="0.25">
      <c r="A294" s="13"/>
      <c r="B294" s="23"/>
      <c r="C294" s="23"/>
    </row>
    <row r="295" spans="1:16" x14ac:dyDescent="0.25">
      <c r="A295" s="13"/>
      <c r="B295" s="23"/>
      <c r="C295" s="23"/>
    </row>
    <row r="296" spans="1:16" x14ac:dyDescent="0.25">
      <c r="A296" s="13"/>
      <c r="B296" s="23"/>
      <c r="C296" s="23"/>
    </row>
    <row r="297" spans="1:16" x14ac:dyDescent="0.25">
      <c r="A297" s="13"/>
      <c r="B297" s="23"/>
      <c r="C297" s="23"/>
    </row>
    <row r="298" spans="1:16" x14ac:dyDescent="0.25">
      <c r="A298" s="13"/>
      <c r="B298" s="23"/>
      <c r="C298" s="23"/>
    </row>
    <row r="299" spans="1:16" x14ac:dyDescent="0.25">
      <c r="A299" s="13"/>
      <c r="B299" s="23"/>
      <c r="C299" s="23"/>
    </row>
    <row r="300" spans="1:16" x14ac:dyDescent="0.25">
      <c r="A300" s="13"/>
      <c r="B300" s="23"/>
      <c r="C300" s="23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</row>
    <row r="301" spans="1:16" x14ac:dyDescent="0.25">
      <c r="A301" s="13"/>
      <c r="B301" s="23"/>
      <c r="C301" s="23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</row>
    <row r="302" spans="1:16" x14ac:dyDescent="0.25">
      <c r="A302" s="13"/>
      <c r="B302" s="23"/>
      <c r="C302" s="23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</row>
    <row r="303" spans="1:16" x14ac:dyDescent="0.25">
      <c r="A303" s="13"/>
      <c r="B303" s="23"/>
      <c r="C303" s="23"/>
    </row>
    <row r="304" spans="1:16" x14ac:dyDescent="0.25">
      <c r="A304" s="13"/>
      <c r="B304" s="23"/>
      <c r="C304" s="23"/>
    </row>
    <row r="305" spans="1:16" x14ac:dyDescent="0.25">
      <c r="A305" s="13"/>
      <c r="B305" s="23"/>
      <c r="C305" s="23"/>
    </row>
    <row r="306" spans="1:16" x14ac:dyDescent="0.25">
      <c r="A306" s="13"/>
      <c r="B306" s="23"/>
      <c r="C306" s="23"/>
    </row>
    <row r="307" spans="1:16" x14ac:dyDescent="0.25">
      <c r="A307" s="13"/>
      <c r="B307" s="23"/>
      <c r="C307" s="2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</row>
    <row r="308" spans="1:16" x14ac:dyDescent="0.25">
      <c r="A308" s="13"/>
      <c r="B308" s="23"/>
      <c r="C308" s="2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</row>
    <row r="309" spans="1:16" x14ac:dyDescent="0.25">
      <c r="A309" s="13"/>
      <c r="B309" s="23"/>
      <c r="C309" s="2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</row>
    <row r="310" spans="1:16" x14ac:dyDescent="0.25">
      <c r="A310" s="13"/>
      <c r="B310" s="23"/>
      <c r="C310" s="23"/>
    </row>
    <row r="311" spans="1:16" x14ac:dyDescent="0.25">
      <c r="A311" s="13"/>
      <c r="B311" s="23"/>
      <c r="C311" s="23"/>
    </row>
    <row r="312" spans="1:16" x14ac:dyDescent="0.25">
      <c r="A312" s="13"/>
      <c r="B312" s="23"/>
      <c r="C312" s="23"/>
    </row>
    <row r="313" spans="1:16" x14ac:dyDescent="0.25">
      <c r="A313" s="13"/>
      <c r="B313" s="23"/>
      <c r="C313" s="23"/>
    </row>
    <row r="319" spans="1:16" ht="13" x14ac:dyDescent="0.3">
      <c r="B319" s="187"/>
      <c r="C319" s="188"/>
      <c r="D319" s="188"/>
      <c r="E319" s="188"/>
      <c r="F319" s="188"/>
      <c r="G319" s="188"/>
      <c r="H319" s="187"/>
      <c r="I319" s="188"/>
    </row>
    <row r="320" spans="1:16" x14ac:dyDescent="0.25">
      <c r="B320" s="188"/>
      <c r="C320" s="188"/>
      <c r="D320" s="188"/>
      <c r="E320" s="188"/>
      <c r="F320" s="188"/>
      <c r="G320" s="188"/>
      <c r="H320" s="188"/>
      <c r="I320" s="188"/>
    </row>
    <row r="321" spans="1:17" x14ac:dyDescent="0.25">
      <c r="B321" s="188"/>
      <c r="C321" s="188"/>
      <c r="D321" s="188"/>
      <c r="E321" s="188"/>
      <c r="F321" s="188"/>
      <c r="G321" s="188"/>
      <c r="H321" s="188"/>
      <c r="I321" s="188"/>
    </row>
    <row r="322" spans="1:17" ht="13" x14ac:dyDescent="0.3">
      <c r="B322" s="186"/>
      <c r="C322" s="188"/>
      <c r="D322" s="188"/>
      <c r="E322" s="188"/>
      <c r="F322" s="188"/>
      <c r="G322" s="188"/>
      <c r="H322" s="186"/>
      <c r="I322" s="188"/>
    </row>
    <row r="323" spans="1:17" x14ac:dyDescent="0.25">
      <c r="B323" s="188"/>
      <c r="C323" s="188"/>
      <c r="D323" s="188"/>
      <c r="E323" s="188"/>
      <c r="F323" s="188"/>
      <c r="G323" s="188"/>
      <c r="H323" s="188"/>
      <c r="I323" s="188"/>
    </row>
    <row r="324" spans="1:17" x14ac:dyDescent="0.25">
      <c r="B324" s="188"/>
      <c r="C324" s="188"/>
      <c r="D324" s="188"/>
      <c r="E324" s="188"/>
      <c r="F324" s="188"/>
      <c r="G324" s="188"/>
      <c r="H324" s="188"/>
      <c r="I324" s="188"/>
    </row>
    <row r="325" spans="1:17" x14ac:dyDescent="0.25">
      <c r="B325" s="188"/>
      <c r="C325" s="188"/>
      <c r="F325" s="188"/>
      <c r="G325" s="188"/>
      <c r="H325" s="188"/>
      <c r="I325" s="11"/>
    </row>
    <row r="326" spans="1:17" x14ac:dyDescent="0.25">
      <c r="B326" s="206"/>
      <c r="C326" s="188"/>
      <c r="D326" s="188"/>
      <c r="E326" s="188"/>
      <c r="F326" s="188"/>
      <c r="G326" s="188"/>
      <c r="H326" s="10"/>
      <c r="I326" s="23"/>
    </row>
    <row r="327" spans="1:17" x14ac:dyDescent="0.25">
      <c r="B327" s="188"/>
      <c r="C327" s="188"/>
      <c r="D327" s="188"/>
      <c r="E327" s="188"/>
      <c r="F327" s="188"/>
      <c r="G327" s="188"/>
      <c r="H327" s="188"/>
      <c r="I327" s="188"/>
    </row>
    <row r="328" spans="1:17" x14ac:dyDescent="0.25">
      <c r="A328" s="206"/>
      <c r="B328" s="206"/>
      <c r="C328" s="188"/>
      <c r="D328" s="188"/>
      <c r="E328" s="188"/>
      <c r="F328" s="188"/>
      <c r="G328" s="188"/>
      <c r="H328" s="188"/>
      <c r="I328" s="188"/>
    </row>
    <row r="329" spans="1:17" x14ac:dyDescent="0.25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x14ac:dyDescent="0.25">
      <c r="A331" s="13"/>
      <c r="B331" s="23"/>
      <c r="C331" s="13"/>
    </row>
    <row r="332" spans="1:17" x14ac:dyDescent="0.25">
      <c r="A332" s="13"/>
      <c r="B332" s="23"/>
      <c r="C332" s="23"/>
    </row>
    <row r="333" spans="1:17" x14ac:dyDescent="0.25">
      <c r="A333" s="13"/>
      <c r="B333" s="23"/>
      <c r="C333" s="23"/>
    </row>
    <row r="334" spans="1:17" x14ac:dyDescent="0.25">
      <c r="A334" s="13"/>
      <c r="B334" s="23"/>
      <c r="C334" s="23"/>
    </row>
    <row r="335" spans="1:17" x14ac:dyDescent="0.25">
      <c r="A335" s="13"/>
      <c r="B335" s="23"/>
      <c r="C335" s="23"/>
    </row>
    <row r="336" spans="1:17" x14ac:dyDescent="0.25">
      <c r="A336" s="13"/>
      <c r="B336" s="23"/>
      <c r="C336" s="23"/>
    </row>
    <row r="337" spans="1:16" x14ac:dyDescent="0.25">
      <c r="A337" s="13"/>
      <c r="B337" s="23"/>
      <c r="C337" s="23"/>
    </row>
    <row r="338" spans="1:16" x14ac:dyDescent="0.25">
      <c r="A338" s="13"/>
      <c r="B338" s="23"/>
      <c r="C338" s="23"/>
    </row>
    <row r="339" spans="1:16" x14ac:dyDescent="0.25">
      <c r="A339" s="13"/>
      <c r="B339" s="23"/>
      <c r="C339" s="23"/>
    </row>
    <row r="340" spans="1:16" x14ac:dyDescent="0.25">
      <c r="A340" s="13"/>
      <c r="B340" s="23"/>
      <c r="C340" s="23"/>
    </row>
    <row r="341" spans="1:16" x14ac:dyDescent="0.25">
      <c r="A341" s="13"/>
      <c r="B341" s="23"/>
      <c r="C341" s="23"/>
    </row>
    <row r="342" spans="1:16" x14ac:dyDescent="0.25">
      <c r="A342" s="13"/>
      <c r="B342" s="23"/>
      <c r="C342" s="23"/>
    </row>
    <row r="343" spans="1:16" x14ac:dyDescent="0.25">
      <c r="A343" s="13"/>
      <c r="B343" s="23"/>
      <c r="C343" s="23"/>
    </row>
    <row r="344" spans="1:16" x14ac:dyDescent="0.25">
      <c r="A344" s="13"/>
      <c r="B344" s="23"/>
      <c r="C344" s="23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</row>
    <row r="345" spans="1:16" x14ac:dyDescent="0.25">
      <c r="A345" s="13"/>
      <c r="B345" s="23"/>
      <c r="C345" s="23"/>
    </row>
    <row r="346" spans="1:16" x14ac:dyDescent="0.25">
      <c r="A346" s="13"/>
      <c r="B346" s="23"/>
      <c r="C346" s="23"/>
    </row>
    <row r="347" spans="1:16" x14ac:dyDescent="0.25">
      <c r="A347" s="13"/>
      <c r="B347" s="23"/>
      <c r="C347" s="23"/>
    </row>
    <row r="348" spans="1:16" x14ac:dyDescent="0.25">
      <c r="A348" s="13"/>
      <c r="B348" s="23"/>
      <c r="C348" s="23"/>
    </row>
    <row r="349" spans="1:16" x14ac:dyDescent="0.25">
      <c r="A349" s="13"/>
      <c r="B349" s="23"/>
      <c r="C349" s="23"/>
    </row>
    <row r="350" spans="1:16" x14ac:dyDescent="0.25">
      <c r="A350" s="13"/>
      <c r="B350" s="23"/>
      <c r="C350" s="23"/>
    </row>
    <row r="351" spans="1:16" x14ac:dyDescent="0.25">
      <c r="A351" s="13"/>
      <c r="B351" s="23"/>
      <c r="C351" s="23"/>
    </row>
    <row r="352" spans="1:16" x14ac:dyDescent="0.25">
      <c r="A352" s="13"/>
      <c r="B352" s="23"/>
      <c r="C352" s="23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</row>
    <row r="353" spans="1:16" x14ac:dyDescent="0.25">
      <c r="A353" s="13"/>
      <c r="B353" s="23"/>
      <c r="C353" s="23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</row>
    <row r="354" spans="1:16" x14ac:dyDescent="0.25">
      <c r="A354" s="13"/>
      <c r="B354" s="23"/>
      <c r="C354" s="23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</row>
    <row r="355" spans="1:16" x14ac:dyDescent="0.25">
      <c r="A355" s="13"/>
      <c r="B355" s="23"/>
      <c r="C355" s="23"/>
    </row>
    <row r="356" spans="1:16" x14ac:dyDescent="0.25">
      <c r="A356" s="13"/>
      <c r="B356" s="23"/>
      <c r="C356" s="23"/>
    </row>
    <row r="357" spans="1:16" x14ac:dyDescent="0.25">
      <c r="A357" s="13"/>
      <c r="B357" s="23"/>
      <c r="C357" s="23"/>
    </row>
    <row r="358" spans="1:16" x14ac:dyDescent="0.25">
      <c r="A358" s="13"/>
      <c r="B358" s="23"/>
      <c r="C358" s="23"/>
    </row>
    <row r="359" spans="1:16" x14ac:dyDescent="0.25">
      <c r="A359" s="13"/>
      <c r="B359" s="23"/>
      <c r="C359" s="2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</row>
    <row r="360" spans="1:16" x14ac:dyDescent="0.25">
      <c r="A360" s="13"/>
      <c r="B360" s="23"/>
      <c r="C360" s="2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</row>
    <row r="361" spans="1:16" x14ac:dyDescent="0.25">
      <c r="A361" s="13"/>
      <c r="B361" s="23"/>
      <c r="C361" s="2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</row>
    <row r="362" spans="1:16" x14ac:dyDescent="0.25">
      <c r="A362" s="13"/>
      <c r="B362" s="23"/>
      <c r="C362" s="23"/>
    </row>
    <row r="363" spans="1:16" x14ac:dyDescent="0.25">
      <c r="A363" s="13"/>
      <c r="B363" s="23"/>
      <c r="C363" s="23"/>
    </row>
    <row r="364" spans="1:16" x14ac:dyDescent="0.25">
      <c r="A364" s="13"/>
      <c r="B364" s="23"/>
      <c r="C364" s="23"/>
    </row>
    <row r="365" spans="1:16" x14ac:dyDescent="0.25">
      <c r="A365" s="13"/>
      <c r="B365" s="23"/>
      <c r="C365" s="23"/>
    </row>
    <row r="371" spans="1:17" ht="13" x14ac:dyDescent="0.3">
      <c r="B371" s="187"/>
      <c r="C371" s="188"/>
      <c r="D371" s="188"/>
      <c r="E371" s="188"/>
      <c r="F371" s="188"/>
      <c r="G371" s="188"/>
      <c r="H371" s="187"/>
      <c r="I371" s="188"/>
    </row>
    <row r="372" spans="1:17" x14ac:dyDescent="0.25">
      <c r="B372" s="188"/>
      <c r="C372" s="188"/>
      <c r="D372" s="188"/>
      <c r="E372" s="188"/>
      <c r="F372" s="188"/>
      <c r="G372" s="188"/>
      <c r="H372" s="188"/>
      <c r="I372" s="188"/>
    </row>
    <row r="373" spans="1:17" x14ac:dyDescent="0.25">
      <c r="B373" s="188"/>
      <c r="C373" s="188"/>
      <c r="D373" s="188"/>
      <c r="E373" s="188"/>
      <c r="F373" s="188"/>
      <c r="G373" s="188"/>
      <c r="H373" s="188"/>
      <c r="I373" s="188"/>
    </row>
    <row r="374" spans="1:17" ht="13" x14ac:dyDescent="0.3">
      <c r="B374" s="186"/>
      <c r="C374" s="188"/>
      <c r="D374" s="188"/>
      <c r="E374" s="188"/>
      <c r="F374" s="188"/>
      <c r="G374" s="188"/>
      <c r="H374" s="186"/>
      <c r="I374" s="188"/>
    </row>
    <row r="375" spans="1:17" x14ac:dyDescent="0.25">
      <c r="B375" s="188"/>
      <c r="C375" s="188"/>
      <c r="D375" s="188"/>
      <c r="E375" s="188"/>
      <c r="F375" s="188"/>
      <c r="G375" s="188"/>
      <c r="H375" s="188"/>
      <c r="I375" s="188"/>
    </row>
    <row r="376" spans="1:17" x14ac:dyDescent="0.25">
      <c r="B376" s="188"/>
      <c r="C376" s="188"/>
      <c r="D376" s="188"/>
      <c r="E376" s="188"/>
      <c r="F376" s="188"/>
      <c r="G376" s="188"/>
      <c r="H376" s="188"/>
      <c r="I376" s="188"/>
    </row>
    <row r="377" spans="1:17" x14ac:dyDescent="0.25">
      <c r="B377" s="188"/>
      <c r="C377" s="188"/>
      <c r="F377" s="188"/>
      <c r="G377" s="188"/>
      <c r="H377" s="188"/>
      <c r="I377" s="11"/>
    </row>
    <row r="378" spans="1:17" x14ac:dyDescent="0.25">
      <c r="B378" s="206"/>
      <c r="C378" s="188"/>
      <c r="D378" s="188"/>
      <c r="E378" s="188"/>
      <c r="F378" s="188"/>
      <c r="G378" s="188"/>
      <c r="H378" s="10"/>
      <c r="I378" s="23"/>
    </row>
    <row r="379" spans="1:17" x14ac:dyDescent="0.25">
      <c r="B379" s="188"/>
      <c r="C379" s="188"/>
      <c r="D379" s="188"/>
      <c r="E379" s="188"/>
      <c r="F379" s="188"/>
      <c r="G379" s="188"/>
      <c r="H379" s="188"/>
      <c r="I379" s="188"/>
    </row>
    <row r="380" spans="1:17" x14ac:dyDescent="0.25">
      <c r="A380" s="206"/>
      <c r="B380" s="206"/>
      <c r="C380" s="188"/>
      <c r="D380" s="188"/>
      <c r="E380" s="188"/>
      <c r="F380" s="188"/>
      <c r="G380" s="188"/>
      <c r="H380" s="188"/>
      <c r="I380" s="188"/>
    </row>
    <row r="381" spans="1:17" x14ac:dyDescent="0.25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 x14ac:dyDescent="0.25">
      <c r="A383" s="13"/>
      <c r="B383" s="23"/>
      <c r="C383" s="13"/>
    </row>
    <row r="384" spans="1:17" x14ac:dyDescent="0.25">
      <c r="A384" s="13"/>
      <c r="B384" s="23"/>
      <c r="C384" s="23"/>
    </row>
    <row r="385" spans="1:16" x14ac:dyDescent="0.25">
      <c r="A385" s="13"/>
      <c r="B385" s="23"/>
      <c r="C385" s="23"/>
    </row>
    <row r="386" spans="1:16" x14ac:dyDescent="0.25">
      <c r="A386" s="13"/>
      <c r="B386" s="23"/>
      <c r="C386" s="23"/>
    </row>
    <row r="387" spans="1:16" x14ac:dyDescent="0.25">
      <c r="A387" s="13"/>
      <c r="B387" s="23"/>
      <c r="C387" s="23"/>
    </row>
    <row r="388" spans="1:16" x14ac:dyDescent="0.25">
      <c r="A388" s="13"/>
      <c r="B388" s="23"/>
      <c r="C388" s="23"/>
    </row>
    <row r="389" spans="1:16" x14ac:dyDescent="0.25">
      <c r="A389" s="13"/>
      <c r="B389" s="23"/>
      <c r="C389" s="23"/>
    </row>
    <row r="390" spans="1:16" x14ac:dyDescent="0.25">
      <c r="A390" s="13"/>
      <c r="B390" s="23"/>
      <c r="C390" s="23"/>
    </row>
    <row r="391" spans="1:16" x14ac:dyDescent="0.25">
      <c r="A391" s="13"/>
      <c r="B391" s="23"/>
      <c r="C391" s="23"/>
    </row>
    <row r="392" spans="1:16" x14ac:dyDescent="0.25">
      <c r="A392" s="13"/>
      <c r="B392" s="23"/>
      <c r="C392" s="23"/>
    </row>
    <row r="393" spans="1:16" x14ac:dyDescent="0.25">
      <c r="A393" s="13"/>
      <c r="B393" s="23"/>
      <c r="C393" s="23"/>
    </row>
    <row r="394" spans="1:16" x14ac:dyDescent="0.25">
      <c r="A394" s="13"/>
      <c r="B394" s="23"/>
      <c r="C394" s="23"/>
    </row>
    <row r="395" spans="1:16" x14ac:dyDescent="0.25">
      <c r="A395" s="13"/>
      <c r="B395" s="23"/>
      <c r="C395" s="23"/>
    </row>
    <row r="396" spans="1:16" x14ac:dyDescent="0.25">
      <c r="A396" s="13"/>
      <c r="B396" s="23"/>
      <c r="C396" s="23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</row>
    <row r="397" spans="1:16" x14ac:dyDescent="0.25">
      <c r="A397" s="13"/>
      <c r="B397" s="23"/>
      <c r="C397" s="23"/>
    </row>
    <row r="398" spans="1:16" x14ac:dyDescent="0.25">
      <c r="A398" s="13"/>
      <c r="B398" s="23"/>
      <c r="C398" s="23"/>
    </row>
    <row r="399" spans="1:16" x14ac:dyDescent="0.25">
      <c r="A399" s="13"/>
      <c r="B399" s="23"/>
      <c r="C399" s="23"/>
    </row>
    <row r="400" spans="1:16" x14ac:dyDescent="0.25">
      <c r="A400" s="13"/>
      <c r="B400" s="23"/>
      <c r="C400" s="23"/>
    </row>
    <row r="401" spans="1:16" x14ac:dyDescent="0.25">
      <c r="A401" s="13"/>
      <c r="B401" s="23"/>
      <c r="C401" s="23"/>
    </row>
    <row r="402" spans="1:16" x14ac:dyDescent="0.25">
      <c r="A402" s="13"/>
      <c r="B402" s="23"/>
      <c r="C402" s="23"/>
    </row>
    <row r="403" spans="1:16" x14ac:dyDescent="0.25">
      <c r="A403" s="13"/>
      <c r="B403" s="23"/>
      <c r="C403" s="23"/>
    </row>
    <row r="404" spans="1:16" x14ac:dyDescent="0.25">
      <c r="A404" s="13"/>
      <c r="B404" s="23"/>
      <c r="C404" s="23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</row>
    <row r="405" spans="1:16" x14ac:dyDescent="0.25">
      <c r="A405" s="13"/>
      <c r="B405" s="23"/>
      <c r="C405" s="23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</row>
    <row r="406" spans="1:16" x14ac:dyDescent="0.25">
      <c r="A406" s="13"/>
      <c r="B406" s="23"/>
      <c r="C406" s="23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</row>
    <row r="407" spans="1:16" x14ac:dyDescent="0.25">
      <c r="A407" s="13"/>
      <c r="B407" s="23"/>
      <c r="C407" s="23"/>
    </row>
    <row r="408" spans="1:16" x14ac:dyDescent="0.25">
      <c r="A408" s="13"/>
      <c r="B408" s="23"/>
      <c r="C408" s="23"/>
    </row>
    <row r="409" spans="1:16" x14ac:dyDescent="0.25">
      <c r="A409" s="13"/>
      <c r="B409" s="23"/>
      <c r="C409" s="23"/>
    </row>
    <row r="410" spans="1:16" x14ac:dyDescent="0.25">
      <c r="A410" s="13"/>
      <c r="B410" s="23"/>
      <c r="C410" s="23"/>
    </row>
    <row r="411" spans="1:16" x14ac:dyDescent="0.25">
      <c r="A411" s="13"/>
      <c r="B411" s="23"/>
      <c r="C411" s="2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</row>
    <row r="412" spans="1:16" x14ac:dyDescent="0.25">
      <c r="A412" s="13"/>
      <c r="B412" s="23"/>
      <c r="C412" s="2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</row>
    <row r="413" spans="1:16" x14ac:dyDescent="0.25">
      <c r="A413" s="13"/>
      <c r="B413" s="23"/>
      <c r="C413" s="2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</row>
    <row r="414" spans="1:16" x14ac:dyDescent="0.25">
      <c r="A414" s="13"/>
      <c r="B414" s="23"/>
      <c r="C414" s="23"/>
    </row>
    <row r="415" spans="1:16" x14ac:dyDescent="0.25">
      <c r="A415" s="13"/>
      <c r="B415" s="23"/>
      <c r="C415" s="23"/>
    </row>
    <row r="416" spans="1:16" x14ac:dyDescent="0.25">
      <c r="A416" s="13"/>
      <c r="B416" s="23"/>
      <c r="C416" s="23"/>
    </row>
    <row r="420" spans="1:17" ht="13" x14ac:dyDescent="0.3">
      <c r="Q420" s="226"/>
    </row>
    <row r="421" spans="1:17" x14ac:dyDescent="0.25">
      <c r="Q421" s="16"/>
    </row>
    <row r="422" spans="1:17" ht="13" x14ac:dyDescent="0.3">
      <c r="B422" s="187"/>
      <c r="C422" s="188"/>
      <c r="D422" s="188"/>
      <c r="E422" s="188"/>
      <c r="F422" s="188"/>
      <c r="G422" s="188"/>
      <c r="H422" s="187"/>
      <c r="I422" s="188"/>
    </row>
    <row r="423" spans="1:17" x14ac:dyDescent="0.25">
      <c r="B423" s="188"/>
      <c r="C423" s="188"/>
      <c r="D423" s="188"/>
      <c r="E423" s="188"/>
      <c r="F423" s="188"/>
      <c r="G423" s="188"/>
      <c r="H423" s="188"/>
      <c r="I423" s="188"/>
    </row>
    <row r="424" spans="1:17" x14ac:dyDescent="0.25">
      <c r="B424" s="188"/>
      <c r="C424" s="188"/>
      <c r="D424" s="188"/>
      <c r="E424" s="188"/>
      <c r="F424" s="188"/>
      <c r="G424" s="188"/>
      <c r="H424" s="188"/>
      <c r="I424" s="188"/>
    </row>
    <row r="425" spans="1:17" ht="13" x14ac:dyDescent="0.3">
      <c r="B425" s="186"/>
      <c r="C425" s="188"/>
      <c r="D425" s="188"/>
      <c r="E425" s="188"/>
      <c r="F425" s="188"/>
      <c r="G425" s="188"/>
      <c r="H425" s="186"/>
      <c r="I425" s="188"/>
    </row>
    <row r="426" spans="1:17" x14ac:dyDescent="0.25">
      <c r="B426" s="188"/>
      <c r="C426" s="188"/>
      <c r="D426" s="188"/>
      <c r="E426" s="188"/>
      <c r="F426" s="188"/>
      <c r="G426" s="188"/>
      <c r="H426" s="188"/>
      <c r="I426" s="188"/>
    </row>
    <row r="427" spans="1:17" x14ac:dyDescent="0.25">
      <c r="B427" s="188"/>
      <c r="C427" s="188"/>
      <c r="D427" s="188"/>
      <c r="E427" s="188"/>
      <c r="F427" s="188"/>
      <c r="G427" s="188"/>
      <c r="H427" s="188"/>
      <c r="I427" s="188"/>
    </row>
    <row r="428" spans="1:17" x14ac:dyDescent="0.25">
      <c r="B428" s="188"/>
      <c r="C428" s="188"/>
      <c r="F428" s="188"/>
      <c r="G428" s="188"/>
      <c r="H428" s="188"/>
      <c r="I428" s="23"/>
    </row>
    <row r="429" spans="1:17" x14ac:dyDescent="0.25">
      <c r="B429" s="206"/>
      <c r="C429" s="188"/>
      <c r="D429" s="188"/>
      <c r="E429" s="188"/>
      <c r="F429" s="188"/>
      <c r="G429" s="188"/>
      <c r="H429" s="188"/>
      <c r="I429" s="188"/>
    </row>
    <row r="430" spans="1:17" x14ac:dyDescent="0.25">
      <c r="B430" s="206"/>
      <c r="C430" s="188"/>
      <c r="D430" s="188"/>
      <c r="E430" s="188"/>
      <c r="F430" s="188"/>
      <c r="G430" s="188"/>
      <c r="H430" s="188"/>
      <c r="I430" s="188"/>
    </row>
    <row r="431" spans="1:17" x14ac:dyDescent="0.25">
      <c r="B431" s="188"/>
      <c r="C431" s="188"/>
      <c r="D431" s="188"/>
      <c r="E431" s="188"/>
      <c r="F431" s="188"/>
      <c r="G431" s="188"/>
      <c r="H431" s="188"/>
      <c r="I431" s="188"/>
    </row>
    <row r="432" spans="1:17" x14ac:dyDescent="0.25">
      <c r="A432" s="206"/>
      <c r="B432" s="206"/>
      <c r="C432" s="188"/>
      <c r="D432" s="188"/>
      <c r="E432" s="188"/>
      <c r="F432" s="188"/>
      <c r="G432" s="188"/>
      <c r="H432" s="188"/>
      <c r="I432" s="188"/>
    </row>
    <row r="433" spans="1:17" x14ac:dyDescent="0.25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 x14ac:dyDescent="0.25">
      <c r="A434" s="23"/>
      <c r="B434" s="23"/>
      <c r="C434" s="23"/>
      <c r="D434" s="1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13"/>
    </row>
    <row r="435" spans="1:17" x14ac:dyDescent="0.25">
      <c r="A435" s="23"/>
      <c r="B435" s="23"/>
      <c r="C435" s="23"/>
    </row>
    <row r="436" spans="1:17" x14ac:dyDescent="0.25">
      <c r="A436" s="23"/>
      <c r="B436" s="23"/>
      <c r="C436" s="23"/>
    </row>
    <row r="437" spans="1:17" x14ac:dyDescent="0.25">
      <c r="A437" s="23"/>
      <c r="B437" s="23"/>
      <c r="C437" s="23"/>
    </row>
    <row r="438" spans="1:17" x14ac:dyDescent="0.25">
      <c r="A438" s="23"/>
      <c r="B438" s="23"/>
      <c r="C438" s="23"/>
    </row>
    <row r="439" spans="1:17" x14ac:dyDescent="0.25">
      <c r="A439" s="23"/>
      <c r="B439" s="23"/>
      <c r="C439" s="23"/>
    </row>
    <row r="440" spans="1:17" x14ac:dyDescent="0.25">
      <c r="A440" s="23"/>
      <c r="B440" s="23"/>
      <c r="C440" s="23"/>
    </row>
    <row r="441" spans="1:17" x14ac:dyDescent="0.25">
      <c r="A441" s="23"/>
      <c r="B441" s="23"/>
      <c r="C441" s="23"/>
    </row>
    <row r="442" spans="1:17" x14ac:dyDescent="0.25">
      <c r="A442" s="23"/>
      <c r="B442" s="23"/>
      <c r="C442" s="23"/>
    </row>
    <row r="443" spans="1:17" x14ac:dyDescent="0.25">
      <c r="A443" s="23"/>
      <c r="B443" s="23"/>
      <c r="C443" s="23"/>
    </row>
    <row r="444" spans="1:17" x14ac:dyDescent="0.25">
      <c r="A444" s="23"/>
      <c r="B444" s="23"/>
      <c r="C444" s="23"/>
    </row>
    <row r="445" spans="1:17" x14ac:dyDescent="0.25">
      <c r="A445" s="23"/>
      <c r="B445" s="23"/>
      <c r="C445" s="23"/>
    </row>
    <row r="446" spans="1:17" x14ac:dyDescent="0.25">
      <c r="A446" s="23"/>
      <c r="B446" s="23"/>
      <c r="C446" s="23"/>
    </row>
    <row r="447" spans="1:17" x14ac:dyDescent="0.25">
      <c r="A447" s="23"/>
      <c r="B447" s="23"/>
      <c r="C447" s="23"/>
    </row>
    <row r="448" spans="1:17" x14ac:dyDescent="0.25">
      <c r="A448" s="23"/>
      <c r="B448" s="23"/>
      <c r="C448" s="23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</row>
    <row r="449" spans="1:16" x14ac:dyDescent="0.25">
      <c r="A449" s="23"/>
      <c r="B449" s="23"/>
      <c r="C449" s="23"/>
    </row>
    <row r="450" spans="1:16" x14ac:dyDescent="0.25">
      <c r="A450" s="23"/>
      <c r="B450" s="23"/>
      <c r="C450" s="23"/>
    </row>
    <row r="451" spans="1:16" x14ac:dyDescent="0.25">
      <c r="A451" s="23"/>
      <c r="B451" s="23"/>
      <c r="C451" s="23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</row>
    <row r="452" spans="1:16" x14ac:dyDescent="0.25">
      <c r="A452" s="23"/>
      <c r="B452" s="23"/>
      <c r="C452" s="23"/>
    </row>
    <row r="453" spans="1:16" x14ac:dyDescent="0.25">
      <c r="A453" s="23"/>
      <c r="B453" s="23"/>
      <c r="C453" s="23"/>
    </row>
    <row r="454" spans="1:16" x14ac:dyDescent="0.25">
      <c r="A454" s="23"/>
      <c r="B454" s="23"/>
      <c r="C454" s="23"/>
    </row>
    <row r="455" spans="1:16" x14ac:dyDescent="0.25">
      <c r="A455" s="23"/>
      <c r="B455" s="23"/>
      <c r="C455" s="23"/>
    </row>
    <row r="456" spans="1:16" x14ac:dyDescent="0.25">
      <c r="A456" s="23"/>
      <c r="B456" s="23"/>
      <c r="C456" s="23"/>
    </row>
    <row r="457" spans="1:16" x14ac:dyDescent="0.25">
      <c r="A457" s="23"/>
      <c r="B457" s="23"/>
      <c r="C457" s="23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</row>
    <row r="458" spans="1:16" x14ac:dyDescent="0.25">
      <c r="A458" s="23"/>
      <c r="B458" s="23"/>
      <c r="C458" s="23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</row>
    <row r="459" spans="1:16" x14ac:dyDescent="0.25">
      <c r="A459" s="23"/>
      <c r="B459" s="23"/>
      <c r="C459" s="23"/>
    </row>
    <row r="460" spans="1:16" x14ac:dyDescent="0.25">
      <c r="A460" s="23"/>
      <c r="B460" s="23"/>
      <c r="C460" s="23"/>
    </row>
    <row r="461" spans="1:16" x14ac:dyDescent="0.25">
      <c r="A461" s="23"/>
      <c r="B461" s="23"/>
      <c r="C461" s="23"/>
    </row>
    <row r="462" spans="1:16" x14ac:dyDescent="0.25">
      <c r="A462" s="23"/>
      <c r="B462" s="23"/>
      <c r="C462" s="23"/>
    </row>
    <row r="463" spans="1:16" x14ac:dyDescent="0.25">
      <c r="A463" s="23"/>
      <c r="B463" s="23"/>
      <c r="C463" s="2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</row>
    <row r="464" spans="1:16" x14ac:dyDescent="0.25">
      <c r="A464" s="23"/>
      <c r="B464" s="23"/>
      <c r="C464" s="2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</row>
    <row r="465" spans="1:16" x14ac:dyDescent="0.25">
      <c r="A465" s="23"/>
      <c r="B465" s="23"/>
      <c r="C465" s="2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</row>
    <row r="466" spans="1:16" x14ac:dyDescent="0.25">
      <c r="A466" s="23"/>
      <c r="B466" s="23"/>
      <c r="C466" s="23"/>
    </row>
    <row r="467" spans="1:16" x14ac:dyDescent="0.25">
      <c r="A467" s="23"/>
      <c r="B467" s="23"/>
      <c r="C467" s="23"/>
    </row>
    <row r="468" spans="1:16" x14ac:dyDescent="0.25">
      <c r="A468" s="23"/>
      <c r="B468" s="23"/>
      <c r="C468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2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6" manualBreakCount="6">
    <brk id="112" max="16" man="1"/>
    <brk id="163" max="16" man="1"/>
    <brk id="213" max="16" man="1"/>
    <brk id="265" max="16" man="1"/>
    <brk id="316" max="16" man="1"/>
    <brk id="368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9AEC-5E04-4E86-8792-22A0FC268A8E}">
  <sheetPr transitionEvaluation="1" transitionEntry="1"/>
  <dimension ref="A1:AK325"/>
  <sheetViews>
    <sheetView showGridLines="0" defaultGridColor="0" view="pageBreakPreview" colorId="8" zoomScale="86" zoomScaleNormal="75" zoomScaleSheetLayoutView="86" workbookViewId="0">
      <selection activeCell="Q28" sqref="Q28"/>
    </sheetView>
  </sheetViews>
  <sheetFormatPr defaultColWidth="11.58203125" defaultRowHeight="12.5" x14ac:dyDescent="0.25"/>
  <cols>
    <col min="1" max="1" width="4.25" style="1" customWidth="1"/>
    <col min="2" max="2" width="3.58203125" style="1" customWidth="1"/>
    <col min="3" max="3" width="38.5" style="1" customWidth="1"/>
    <col min="4" max="4" width="12.25" style="1" customWidth="1"/>
    <col min="5" max="16" width="11.5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8.33203125" style="1" bestFit="1" customWidth="1"/>
    <col min="21" max="21" width="12.33203125" style="1" bestFit="1" customWidth="1"/>
    <col min="22" max="22" width="9.08203125" style="1" bestFit="1" customWidth="1"/>
    <col min="23" max="24" width="11.58203125" style="1"/>
    <col min="25" max="37" width="9.75" style="1" bestFit="1" customWidth="1"/>
    <col min="38" max="16384" width="11.58203125" style="1"/>
  </cols>
  <sheetData>
    <row r="1" spans="1:22" ht="13" x14ac:dyDescent="0.3">
      <c r="Q1" s="2"/>
    </row>
    <row r="2" spans="1:22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20</v>
      </c>
    </row>
    <row r="3" spans="1:22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2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2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2" ht="18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2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2" x14ac:dyDescent="0.25">
      <c r="A8" s="211" t="s">
        <v>339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2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22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2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2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2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2" x14ac:dyDescent="0.25">
      <c r="A14" s="13">
        <v>1</v>
      </c>
      <c r="B14" s="23" t="s">
        <v>261</v>
      </c>
      <c r="C14" s="13"/>
    </row>
    <row r="15" spans="1:22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  <c r="U15" s="13"/>
      <c r="V15" s="13"/>
    </row>
    <row r="16" spans="1:22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  <c r="U16" s="5"/>
      <c r="V16" s="5"/>
    </row>
    <row r="17" spans="1:37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7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</f>
        <v>0</v>
      </c>
      <c r="O18" s="1">
        <v>0</v>
      </c>
      <c r="P18" s="1">
        <v>0</v>
      </c>
      <c r="Q18" s="1">
        <f>SUM(E18:P18)</f>
        <v>0</v>
      </c>
    </row>
    <row r="19" spans="1:37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7" x14ac:dyDescent="0.25">
      <c r="A20" s="13">
        <v>2</v>
      </c>
      <c r="B20" s="23" t="s">
        <v>272</v>
      </c>
      <c r="C20" s="13"/>
      <c r="D20" s="1">
        <v>947924.81</v>
      </c>
      <c r="E20" s="1">
        <f t="shared" ref="E20:P20" si="0">D20+E16-E17</f>
        <v>947924.81</v>
      </c>
      <c r="F20" s="1">
        <f t="shared" si="0"/>
        <v>947924.81</v>
      </c>
      <c r="G20" s="1">
        <f t="shared" si="0"/>
        <v>947924.81</v>
      </c>
      <c r="H20" s="1">
        <f t="shared" si="0"/>
        <v>947924.81</v>
      </c>
      <c r="I20" s="1">
        <f t="shared" si="0"/>
        <v>947924.81</v>
      </c>
      <c r="J20" s="1">
        <f t="shared" si="0"/>
        <v>947924.81</v>
      </c>
      <c r="K20" s="1">
        <f t="shared" si="0"/>
        <v>947924.81</v>
      </c>
      <c r="L20" s="1">
        <f t="shared" si="0"/>
        <v>947924.81</v>
      </c>
      <c r="M20" s="1">
        <f t="shared" si="0"/>
        <v>947924.81</v>
      </c>
      <c r="N20" s="1">
        <f t="shared" si="0"/>
        <v>947924.81</v>
      </c>
      <c r="O20" s="1">
        <f t="shared" si="0"/>
        <v>947924.81</v>
      </c>
      <c r="P20" s="1">
        <f t="shared" si="0"/>
        <v>947924.81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</row>
    <row r="21" spans="1:37" x14ac:dyDescent="0.25">
      <c r="A21" s="13">
        <v>3</v>
      </c>
      <c r="B21" s="23" t="s">
        <v>273</v>
      </c>
      <c r="C21" s="13"/>
      <c r="D21" s="21">
        <v>-430581.87353787111</v>
      </c>
      <c r="E21" s="1">
        <f t="shared" ref="E21:P21" si="1">D21-E32-E33-E34+E17+E18-E19</f>
        <v>-433863.4071900553</v>
      </c>
      <c r="F21" s="1">
        <f t="shared" si="1"/>
        <v>-437144.94084223948</v>
      </c>
      <c r="G21" s="1">
        <f t="shared" si="1"/>
        <v>-440426.47449442366</v>
      </c>
      <c r="H21" s="1">
        <f t="shared" si="1"/>
        <v>-443708.00814660784</v>
      </c>
      <c r="I21" s="1">
        <f t="shared" si="1"/>
        <v>-446989.54179879202</v>
      </c>
      <c r="J21" s="1">
        <f t="shared" si="1"/>
        <v>-450271.0754509762</v>
      </c>
      <c r="K21" s="1">
        <f t="shared" si="1"/>
        <v>-453552.60910316039</v>
      </c>
      <c r="L21" s="1">
        <f t="shared" si="1"/>
        <v>-456834.14275534457</v>
      </c>
      <c r="M21" s="1">
        <f t="shared" si="1"/>
        <v>-460115.67640752875</v>
      </c>
      <c r="N21" s="1">
        <f t="shared" si="1"/>
        <v>-463397.21005971293</v>
      </c>
      <c r="O21" s="1">
        <f t="shared" si="1"/>
        <v>-466678.74371189711</v>
      </c>
      <c r="P21" s="1">
        <f t="shared" si="1"/>
        <v>-469960.2773640813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-4.6566128730773926E-10</v>
      </c>
    </row>
    <row r="22" spans="1:37" x14ac:dyDescent="0.25">
      <c r="A22" s="13">
        <v>4</v>
      </c>
      <c r="B22" s="23" t="s">
        <v>274</v>
      </c>
      <c r="C22" s="13"/>
      <c r="D22" s="225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Y22" s="1">
        <f>SUM(Z22:AK22)</f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</row>
    <row r="23" spans="1:37" x14ac:dyDescent="0.25">
      <c r="A23" s="13">
        <v>5</v>
      </c>
      <c r="B23" s="23" t="s">
        <v>275</v>
      </c>
      <c r="C23" s="13"/>
      <c r="D23" s="199">
        <f t="shared" ref="D23:P23" si="3">SUM(D20:D22)</f>
        <v>517342.93646212894</v>
      </c>
      <c r="E23" s="199">
        <f t="shared" si="3"/>
        <v>514061.40280994476</v>
      </c>
      <c r="F23" s="199">
        <f t="shared" si="3"/>
        <v>510779.86915776058</v>
      </c>
      <c r="G23" s="199">
        <f t="shared" si="3"/>
        <v>507498.3355055764</v>
      </c>
      <c r="H23" s="199">
        <f t="shared" si="3"/>
        <v>504216.80185339221</v>
      </c>
      <c r="I23" s="199">
        <f t="shared" si="3"/>
        <v>500935.26820120803</v>
      </c>
      <c r="J23" s="199">
        <f t="shared" si="3"/>
        <v>497653.73454902385</v>
      </c>
      <c r="K23" s="199">
        <f t="shared" si="3"/>
        <v>494372.20089683967</v>
      </c>
      <c r="L23" s="199">
        <f t="shared" si="3"/>
        <v>491090.66724465549</v>
      </c>
      <c r="M23" s="199">
        <f t="shared" si="3"/>
        <v>487809.13359247131</v>
      </c>
      <c r="N23" s="199">
        <f t="shared" si="3"/>
        <v>484527.59994028712</v>
      </c>
      <c r="O23" s="199">
        <f t="shared" si="3"/>
        <v>481246.06628810294</v>
      </c>
      <c r="P23" s="199">
        <f t="shared" si="3"/>
        <v>477964.53263591876</v>
      </c>
    </row>
    <row r="24" spans="1:37" x14ac:dyDescent="0.25">
      <c r="A24" s="13"/>
      <c r="B24" s="23"/>
    </row>
    <row r="25" spans="1:37" x14ac:dyDescent="0.25">
      <c r="A25" s="13">
        <v>6</v>
      </c>
      <c r="B25" s="23" t="s">
        <v>276</v>
      </c>
      <c r="C25" s="23"/>
      <c r="E25" s="1">
        <f>(D23+E23)/2</f>
        <v>515702.16963603685</v>
      </c>
      <c r="F25" s="1">
        <f t="shared" ref="F25:P25" si="4">(E23+F23)/2</f>
        <v>512420.63598385267</v>
      </c>
      <c r="G25" s="1">
        <f t="shared" si="4"/>
        <v>509139.10233166849</v>
      </c>
      <c r="H25" s="1">
        <f t="shared" si="4"/>
        <v>505857.56867948431</v>
      </c>
      <c r="I25" s="1">
        <f t="shared" si="4"/>
        <v>502576.03502730012</v>
      </c>
      <c r="J25" s="1">
        <f t="shared" si="4"/>
        <v>499294.50137511594</v>
      </c>
      <c r="K25" s="1">
        <f t="shared" si="4"/>
        <v>496012.96772293176</v>
      </c>
      <c r="L25" s="1">
        <f t="shared" si="4"/>
        <v>492731.43407074758</v>
      </c>
      <c r="M25" s="1">
        <f t="shared" si="4"/>
        <v>489449.9004185634</v>
      </c>
      <c r="N25" s="1">
        <f t="shared" si="4"/>
        <v>486168.36676637921</v>
      </c>
      <c r="O25" s="1">
        <f t="shared" si="4"/>
        <v>482886.83311419503</v>
      </c>
      <c r="P25" s="1">
        <f t="shared" si="4"/>
        <v>479605.29946201085</v>
      </c>
    </row>
    <row r="26" spans="1:37" x14ac:dyDescent="0.25">
      <c r="A26" s="200"/>
      <c r="B26" s="20"/>
    </row>
    <row r="27" spans="1:37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7" x14ac:dyDescent="0.25">
      <c r="A28" s="200"/>
      <c r="B28" s="23" t="s">
        <v>262</v>
      </c>
      <c r="C28" s="23" t="s">
        <v>278</v>
      </c>
      <c r="E28" s="1">
        <v>2374.2927890043134</v>
      </c>
      <c r="F28" s="1">
        <v>2359.1846080696573</v>
      </c>
      <c r="G28" s="1">
        <v>2344.0764271350017</v>
      </c>
      <c r="H28" s="1">
        <v>2328.9682462003457</v>
      </c>
      <c r="I28" s="1">
        <v>2313.8600652656896</v>
      </c>
      <c r="J28" s="1">
        <v>2298.7518843310336</v>
      </c>
      <c r="K28" s="1">
        <v>2375.40610242512</v>
      </c>
      <c r="L28" s="1">
        <v>2359.6908377648101</v>
      </c>
      <c r="M28" s="1">
        <v>2343.9755731045002</v>
      </c>
      <c r="N28" s="1">
        <v>2328.2603084441898</v>
      </c>
      <c r="O28" s="1">
        <v>2312.5450437838799</v>
      </c>
      <c r="P28" s="1">
        <v>2296.82977912357</v>
      </c>
      <c r="Q28" s="1">
        <f>SUM(E28:P28)</f>
        <v>28035.841664652115</v>
      </c>
    </row>
    <row r="29" spans="1:37" x14ac:dyDescent="0.25">
      <c r="A29" s="200"/>
      <c r="B29" s="23" t="s">
        <v>264</v>
      </c>
      <c r="C29" s="23" t="s">
        <v>279</v>
      </c>
      <c r="E29" s="1">
        <v>599.24592111707489</v>
      </c>
      <c r="F29" s="1">
        <v>595.43277901323688</v>
      </c>
      <c r="G29" s="1">
        <v>591.61963690939876</v>
      </c>
      <c r="H29" s="1">
        <v>587.80649480556076</v>
      </c>
      <c r="I29" s="1">
        <v>583.99335270172276</v>
      </c>
      <c r="J29" s="1">
        <v>580.18021059788475</v>
      </c>
      <c r="K29" s="1">
        <v>520.31760314135545</v>
      </c>
      <c r="L29" s="1">
        <v>516.87527434021422</v>
      </c>
      <c r="M29" s="1">
        <v>513.43294553907299</v>
      </c>
      <c r="N29" s="1">
        <v>509.99061673793182</v>
      </c>
      <c r="O29" s="1">
        <v>506.54828793679059</v>
      </c>
      <c r="P29" s="1">
        <v>503.10595913564941</v>
      </c>
      <c r="Q29" s="1">
        <f>SUM(E29:P29)</f>
        <v>6608.5490819758952</v>
      </c>
    </row>
    <row r="30" spans="1:37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7" x14ac:dyDescent="0.25">
      <c r="A31" s="13">
        <v>8</v>
      </c>
      <c r="B31" s="23" t="s">
        <v>280</v>
      </c>
    </row>
    <row r="32" spans="1:37" x14ac:dyDescent="0.25">
      <c r="A32" s="200"/>
      <c r="B32" s="23" t="s">
        <v>262</v>
      </c>
      <c r="C32" s="23" t="s">
        <v>281</v>
      </c>
      <c r="E32" s="1">
        <v>3124.455698168636</v>
      </c>
      <c r="F32" s="1">
        <v>3124.455698168636</v>
      </c>
      <c r="G32" s="1">
        <v>3124.455698168636</v>
      </c>
      <c r="H32" s="1">
        <v>3124.455698168636</v>
      </c>
      <c r="I32" s="1">
        <v>3124.455698168636</v>
      </c>
      <c r="J32" s="1">
        <v>3124.455698168636</v>
      </c>
      <c r="K32" s="1">
        <v>3124.455698168636</v>
      </c>
      <c r="L32" s="1">
        <v>3124.455698168636</v>
      </c>
      <c r="M32" s="1">
        <v>3124.455698168636</v>
      </c>
      <c r="N32" s="1">
        <v>3124.455698168636</v>
      </c>
      <c r="O32" s="1">
        <v>3124.455698168636</v>
      </c>
      <c r="P32" s="1">
        <v>3124.455698168636</v>
      </c>
      <c r="Q32" s="1">
        <f>SUM(E32:P32)</f>
        <v>37493.46837802363</v>
      </c>
    </row>
    <row r="33" spans="1:17" x14ac:dyDescent="0.25">
      <c r="A33" s="200"/>
      <c r="B33" s="23" t="s">
        <v>264</v>
      </c>
      <c r="C33" s="23" t="s">
        <v>282</v>
      </c>
      <c r="E33" s="1">
        <v>157.07795401549998</v>
      </c>
      <c r="F33" s="1">
        <v>157.07795401549998</v>
      </c>
      <c r="G33" s="1">
        <v>157.07795401549998</v>
      </c>
      <c r="H33" s="1">
        <v>157.07795401549998</v>
      </c>
      <c r="I33" s="1">
        <v>157.07795401549998</v>
      </c>
      <c r="J33" s="1">
        <v>157.07795401549998</v>
      </c>
      <c r="K33" s="1">
        <v>157.07795401549998</v>
      </c>
      <c r="L33" s="1">
        <v>157.07795401549998</v>
      </c>
      <c r="M33" s="1">
        <v>157.07795401549998</v>
      </c>
      <c r="N33" s="1">
        <v>157.07795401549998</v>
      </c>
      <c r="O33" s="1">
        <v>157.07795401549998</v>
      </c>
      <c r="P33" s="1">
        <v>157.07795401549998</v>
      </c>
      <c r="Q33" s="1">
        <f>SUM(E33:P33)</f>
        <v>1884.9354481859993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6255.0723623055237</v>
      </c>
      <c r="F38" s="1">
        <f t="shared" ref="F38:P38" si="5">SUM(F28:F36)</f>
        <v>6236.1510392670298</v>
      </c>
      <c r="G38" s="1">
        <f t="shared" si="5"/>
        <v>6217.2297162285358</v>
      </c>
      <c r="H38" s="1">
        <f t="shared" si="5"/>
        <v>6198.3083931900419</v>
      </c>
      <c r="I38" s="1">
        <f t="shared" si="5"/>
        <v>6179.387070151548</v>
      </c>
      <c r="J38" s="1">
        <f t="shared" si="5"/>
        <v>6160.465747113054</v>
      </c>
      <c r="K38" s="1">
        <f t="shared" si="5"/>
        <v>6177.2573577506118</v>
      </c>
      <c r="L38" s="1">
        <f t="shared" si="5"/>
        <v>6158.0997642891598</v>
      </c>
      <c r="M38" s="1">
        <f t="shared" si="5"/>
        <v>6138.9421708277096</v>
      </c>
      <c r="N38" s="1">
        <f t="shared" si="5"/>
        <v>6119.7845773662575</v>
      </c>
      <c r="O38" s="1">
        <f t="shared" si="5"/>
        <v>6100.6269839048064</v>
      </c>
      <c r="P38" s="1">
        <f t="shared" si="5"/>
        <v>6081.4693904433552</v>
      </c>
      <c r="Q38" s="1">
        <f>SUM(E38:P38)</f>
        <v>74022.794572837622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481.15941248504026</v>
      </c>
      <c r="F39" s="1">
        <f t="shared" ref="F39:P39" si="6">F38*1/13</f>
        <v>479.70392609746381</v>
      </c>
      <c r="G39" s="1">
        <f t="shared" si="6"/>
        <v>478.24843970988735</v>
      </c>
      <c r="H39" s="1">
        <f t="shared" si="6"/>
        <v>476.79295332231089</v>
      </c>
      <c r="I39" s="1">
        <f t="shared" si="6"/>
        <v>475.33746693473444</v>
      </c>
      <c r="J39" s="1">
        <f t="shared" si="6"/>
        <v>473.88198054715798</v>
      </c>
      <c r="K39" s="1">
        <f t="shared" si="6"/>
        <v>475.17364290389321</v>
      </c>
      <c r="L39" s="1">
        <f t="shared" si="6"/>
        <v>473.69998186839689</v>
      </c>
      <c r="M39" s="1">
        <f t="shared" si="6"/>
        <v>472.22632083290074</v>
      </c>
      <c r="N39" s="1">
        <f t="shared" si="6"/>
        <v>470.75265979740442</v>
      </c>
      <c r="O39" s="1">
        <f t="shared" si="6"/>
        <v>469.27899876190816</v>
      </c>
      <c r="P39" s="1">
        <f t="shared" si="6"/>
        <v>467.80533772641195</v>
      </c>
      <c r="Q39" s="1">
        <f>SUM(E39:P39)</f>
        <v>5694.0611209875105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5773.91</v>
      </c>
      <c r="F40" s="1">
        <f t="shared" si="7"/>
        <v>5756.45</v>
      </c>
      <c r="G40" s="1">
        <f t="shared" si="7"/>
        <v>5738.98</v>
      </c>
      <c r="H40" s="1">
        <f t="shared" si="7"/>
        <v>5721.52</v>
      </c>
      <c r="I40" s="1">
        <f t="shared" si="7"/>
        <v>5704.05</v>
      </c>
      <c r="J40" s="1">
        <f t="shared" si="7"/>
        <v>5686.58</v>
      </c>
      <c r="K40" s="1">
        <f t="shared" si="7"/>
        <v>5702.08</v>
      </c>
      <c r="L40" s="1">
        <f t="shared" si="7"/>
        <v>5684.4</v>
      </c>
      <c r="M40" s="1">
        <f t="shared" si="7"/>
        <v>5666.72</v>
      </c>
      <c r="N40" s="1">
        <f t="shared" si="7"/>
        <v>5649.03</v>
      </c>
      <c r="O40" s="1">
        <f t="shared" si="7"/>
        <v>5631.35</v>
      </c>
      <c r="P40" s="1">
        <f t="shared" si="7"/>
        <v>5613.66</v>
      </c>
      <c r="Q40" s="1">
        <f>SUM(E40:P40)</f>
        <v>68328.73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481.73680378002234</v>
      </c>
      <c r="F45" s="1">
        <v>480.27957080878082</v>
      </c>
      <c r="G45" s="1">
        <v>478.82233783753924</v>
      </c>
      <c r="H45" s="1">
        <v>477.36510486629771</v>
      </c>
      <c r="I45" s="1">
        <v>475.90787189505613</v>
      </c>
      <c r="J45" s="1">
        <v>474.45063892381461</v>
      </c>
      <c r="K45" s="1">
        <v>475.74385127537795</v>
      </c>
      <c r="L45" s="1">
        <v>474.268421846639</v>
      </c>
      <c r="M45" s="1">
        <v>472.79299241790028</v>
      </c>
      <c r="N45" s="1">
        <v>471.31756298916133</v>
      </c>
      <c r="O45" s="1">
        <v>469.8421335604225</v>
      </c>
      <c r="P45" s="1">
        <v>468.36670413168366</v>
      </c>
      <c r="Q45" s="1">
        <f>SUM(E45:P45)</f>
        <v>5700.8939943326959</v>
      </c>
    </row>
    <row r="46" spans="1:17" x14ac:dyDescent="0.25">
      <c r="A46" s="13">
        <v>13</v>
      </c>
      <c r="B46" s="23" t="s">
        <v>290</v>
      </c>
      <c r="E46" s="199">
        <f>E40*E43</f>
        <v>5614.219238957</v>
      </c>
      <c r="F46" s="199">
        <f t="shared" ref="F46:P46" si="8">F40*F43</f>
        <v>5597.2421354150001</v>
      </c>
      <c r="G46" s="199">
        <f t="shared" si="8"/>
        <v>5580.2553084459996</v>
      </c>
      <c r="H46" s="199">
        <f t="shared" si="8"/>
        <v>5563.2782049040006</v>
      </c>
      <c r="I46" s="199">
        <f t="shared" si="8"/>
        <v>5546.2913779350001</v>
      </c>
      <c r="J46" s="199">
        <f t="shared" si="8"/>
        <v>5529.3045509659996</v>
      </c>
      <c r="K46" s="199">
        <f t="shared" si="8"/>
        <v>5544.3758628160003</v>
      </c>
      <c r="L46" s="199">
        <f t="shared" si="8"/>
        <v>5527.1848438799998</v>
      </c>
      <c r="M46" s="199">
        <f t="shared" si="8"/>
        <v>5509.9938249440002</v>
      </c>
      <c r="N46" s="199">
        <f t="shared" si="8"/>
        <v>5492.7930825809999</v>
      </c>
      <c r="O46" s="199">
        <f t="shared" si="8"/>
        <v>5475.6020636450003</v>
      </c>
      <c r="P46" s="199">
        <f t="shared" si="8"/>
        <v>5458.401321282</v>
      </c>
      <c r="Q46" s="199">
        <f>SUM(E46:P46)</f>
        <v>66438.941815771002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6095.9560427370225</v>
      </c>
      <c r="F47" s="204">
        <f t="shared" si="9"/>
        <v>6077.5217062237807</v>
      </c>
      <c r="G47" s="204">
        <f t="shared" si="9"/>
        <v>6059.0776462835393</v>
      </c>
      <c r="H47" s="204">
        <f t="shared" si="9"/>
        <v>6040.6433097702984</v>
      </c>
      <c r="I47" s="204">
        <f t="shared" si="9"/>
        <v>6022.199249830056</v>
      </c>
      <c r="J47" s="204">
        <f t="shared" si="9"/>
        <v>6003.7551898898146</v>
      </c>
      <c r="K47" s="204">
        <f t="shared" si="9"/>
        <v>6020.1197140913782</v>
      </c>
      <c r="L47" s="204">
        <f t="shared" si="9"/>
        <v>6001.4532657266391</v>
      </c>
      <c r="M47" s="204">
        <f t="shared" si="9"/>
        <v>5982.7868173619008</v>
      </c>
      <c r="N47" s="204">
        <f t="shared" si="9"/>
        <v>5964.1106455701611</v>
      </c>
      <c r="O47" s="204">
        <f t="shared" si="9"/>
        <v>5945.4441972054228</v>
      </c>
      <c r="P47" s="204">
        <f t="shared" si="9"/>
        <v>5926.768025413684</v>
      </c>
      <c r="Q47" s="204">
        <f t="shared" si="9"/>
        <v>72139.835810103701</v>
      </c>
    </row>
    <row r="48" spans="1:17" ht="13" thickTop="1" x14ac:dyDescent="0.25">
      <c r="A48" s="200"/>
      <c r="B48" s="20"/>
    </row>
    <row r="49" spans="1:2" x14ac:dyDescent="0.25">
      <c r="A49" s="210" t="s">
        <v>76</v>
      </c>
      <c r="B49" s="23"/>
    </row>
    <row r="50" spans="1:2" x14ac:dyDescent="0.25">
      <c r="A50" s="23" t="s">
        <v>168</v>
      </c>
      <c r="B50" s="23" t="s">
        <v>292</v>
      </c>
    </row>
    <row r="51" spans="1:2" x14ac:dyDescent="0.25">
      <c r="A51" s="23" t="s">
        <v>170</v>
      </c>
      <c r="B51" s="23" t="s">
        <v>293</v>
      </c>
    </row>
    <row r="52" spans="1:2" x14ac:dyDescent="0.25">
      <c r="A52" s="23" t="s">
        <v>255</v>
      </c>
      <c r="B52" s="23" t="s">
        <v>294</v>
      </c>
    </row>
    <row r="53" spans="1:2" x14ac:dyDescent="0.25">
      <c r="A53" s="23" t="s">
        <v>295</v>
      </c>
      <c r="B53" s="23" t="s">
        <v>296</v>
      </c>
    </row>
    <row r="54" spans="1:2" x14ac:dyDescent="0.25">
      <c r="A54" s="23" t="s">
        <v>297</v>
      </c>
      <c r="B54" s="23" t="s">
        <v>298</v>
      </c>
    </row>
    <row r="55" spans="1:2" x14ac:dyDescent="0.25">
      <c r="A55" s="23" t="s">
        <v>299</v>
      </c>
      <c r="B55" s="23" t="s">
        <v>300</v>
      </c>
    </row>
    <row r="56" spans="1:2" x14ac:dyDescent="0.25">
      <c r="A56" s="23" t="s">
        <v>301</v>
      </c>
      <c r="B56" s="23" t="s">
        <v>302</v>
      </c>
    </row>
    <row r="57" spans="1:2" x14ac:dyDescent="0.25">
      <c r="A57" s="23" t="s">
        <v>303</v>
      </c>
      <c r="B57" s="23" t="s">
        <v>304</v>
      </c>
    </row>
    <row r="58" spans="1:2" x14ac:dyDescent="0.25">
      <c r="A58" s="23" t="s">
        <v>305</v>
      </c>
      <c r="B58" s="23" t="s">
        <v>306</v>
      </c>
    </row>
    <row r="59" spans="1:2" x14ac:dyDescent="0.25">
      <c r="A59" s="11" t="s">
        <v>307</v>
      </c>
      <c r="B59" s="23" t="s">
        <v>308</v>
      </c>
    </row>
    <row r="60" spans="1:2" x14ac:dyDescent="0.25">
      <c r="A60" s="11" t="s">
        <v>309</v>
      </c>
      <c r="B60" s="23" t="s">
        <v>310</v>
      </c>
    </row>
    <row r="69" spans="2:17" ht="13" x14ac:dyDescent="0.3">
      <c r="Q69" s="226"/>
    </row>
    <row r="70" spans="2:17" x14ac:dyDescent="0.25">
      <c r="Q70" s="16"/>
    </row>
    <row r="71" spans="2:17" ht="13" x14ac:dyDescent="0.3">
      <c r="B71" s="187"/>
      <c r="C71" s="188"/>
      <c r="D71" s="188"/>
      <c r="E71" s="188"/>
      <c r="F71" s="188"/>
      <c r="G71" s="188"/>
      <c r="H71" s="187"/>
      <c r="I71" s="188"/>
    </row>
    <row r="72" spans="2:17" x14ac:dyDescent="0.25">
      <c r="B72" s="188"/>
      <c r="C72" s="188"/>
      <c r="D72" s="188"/>
      <c r="E72" s="188"/>
      <c r="F72" s="188"/>
      <c r="G72" s="188"/>
      <c r="H72" s="188"/>
      <c r="I72" s="188"/>
    </row>
    <row r="73" spans="2:17" x14ac:dyDescent="0.25">
      <c r="B73" s="188"/>
      <c r="C73" s="188"/>
      <c r="D73" s="188"/>
      <c r="E73" s="188"/>
      <c r="F73" s="188"/>
      <c r="G73" s="188"/>
      <c r="H73" s="188"/>
      <c r="I73" s="188"/>
    </row>
    <row r="74" spans="2:17" ht="13" x14ac:dyDescent="0.3">
      <c r="B74" s="186"/>
      <c r="C74" s="188"/>
      <c r="D74" s="188"/>
      <c r="E74" s="188"/>
      <c r="F74" s="188"/>
      <c r="G74" s="188"/>
      <c r="H74" s="186"/>
      <c r="I74" s="188"/>
    </row>
    <row r="75" spans="2:17" x14ac:dyDescent="0.25">
      <c r="B75" s="188"/>
      <c r="C75" s="188"/>
      <c r="D75" s="188"/>
      <c r="E75" s="188"/>
      <c r="F75" s="188"/>
      <c r="G75" s="188"/>
      <c r="H75" s="188"/>
      <c r="I75" s="188"/>
    </row>
    <row r="76" spans="2:17" x14ac:dyDescent="0.25">
      <c r="B76" s="188"/>
      <c r="C76" s="188"/>
      <c r="D76" s="188"/>
      <c r="E76" s="188"/>
      <c r="F76" s="188"/>
      <c r="G76" s="188"/>
      <c r="H76" s="188"/>
      <c r="I76" s="188"/>
    </row>
    <row r="77" spans="2:17" x14ac:dyDescent="0.25">
      <c r="B77" s="188"/>
      <c r="C77" s="188"/>
      <c r="F77" s="188"/>
      <c r="G77" s="188"/>
      <c r="H77" s="188"/>
      <c r="I77" s="23"/>
    </row>
    <row r="78" spans="2:17" x14ac:dyDescent="0.25">
      <c r="B78" s="206"/>
      <c r="C78" s="188"/>
      <c r="D78" s="188"/>
      <c r="E78" s="188"/>
      <c r="F78" s="188"/>
      <c r="G78" s="188"/>
      <c r="H78" s="188"/>
      <c r="I78" s="23"/>
    </row>
    <row r="79" spans="2:17" x14ac:dyDescent="0.25">
      <c r="B79" s="206"/>
      <c r="C79" s="188"/>
      <c r="D79" s="188"/>
      <c r="E79" s="188"/>
      <c r="F79" s="188"/>
      <c r="G79" s="188"/>
      <c r="H79" s="188"/>
      <c r="I79" s="23"/>
    </row>
    <row r="80" spans="2:17" x14ac:dyDescent="0.25">
      <c r="B80" s="188"/>
      <c r="C80" s="188"/>
      <c r="D80" s="188"/>
      <c r="E80" s="188"/>
      <c r="F80" s="188"/>
      <c r="G80" s="188"/>
      <c r="H80" s="188"/>
      <c r="I80" s="188"/>
    </row>
    <row r="81" spans="1:17" x14ac:dyDescent="0.25">
      <c r="A81" s="206"/>
      <c r="B81" s="206"/>
      <c r="C81" s="188"/>
      <c r="D81" s="188"/>
      <c r="E81" s="188"/>
      <c r="F81" s="188"/>
      <c r="G81" s="188"/>
      <c r="H81" s="188"/>
      <c r="I81" s="188"/>
    </row>
    <row r="82" spans="1:1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5">
      <c r="A83" s="23"/>
      <c r="B83" s="23"/>
      <c r="C83" s="2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</row>
    <row r="84" spans="1:17" x14ac:dyDescent="0.25">
      <c r="A84" s="23"/>
      <c r="B84" s="23"/>
      <c r="C84" s="23"/>
    </row>
    <row r="85" spans="1:17" x14ac:dyDescent="0.25">
      <c r="A85" s="23"/>
      <c r="B85" s="23"/>
      <c r="C85" s="23"/>
    </row>
    <row r="86" spans="1:17" x14ac:dyDescent="0.25">
      <c r="A86" s="23"/>
      <c r="B86" s="23"/>
      <c r="C86" s="23"/>
    </row>
    <row r="87" spans="1:17" x14ac:dyDescent="0.25">
      <c r="A87" s="23"/>
      <c r="B87" s="23"/>
      <c r="C87" s="23"/>
    </row>
    <row r="88" spans="1:17" x14ac:dyDescent="0.25">
      <c r="A88" s="23"/>
      <c r="B88" s="23"/>
      <c r="C88" s="23"/>
    </row>
    <row r="89" spans="1:17" x14ac:dyDescent="0.25">
      <c r="A89" s="23"/>
      <c r="B89" s="23"/>
      <c r="C89" s="23"/>
    </row>
    <row r="90" spans="1:17" x14ac:dyDescent="0.25">
      <c r="A90" s="23"/>
      <c r="B90" s="23"/>
      <c r="C90" s="23"/>
    </row>
    <row r="91" spans="1:17" x14ac:dyDescent="0.25">
      <c r="A91" s="23"/>
      <c r="B91" s="23"/>
      <c r="C91" s="23"/>
    </row>
    <row r="92" spans="1:17" x14ac:dyDescent="0.25">
      <c r="A92" s="23"/>
      <c r="B92" s="23"/>
      <c r="C92" s="23"/>
    </row>
    <row r="93" spans="1:17" x14ac:dyDescent="0.25">
      <c r="A93" s="23"/>
      <c r="B93" s="23"/>
      <c r="C93" s="23"/>
    </row>
    <row r="94" spans="1:17" x14ac:dyDescent="0.25">
      <c r="A94" s="23"/>
      <c r="B94" s="23"/>
      <c r="C94" s="23"/>
    </row>
    <row r="95" spans="1:17" x14ac:dyDescent="0.25">
      <c r="A95" s="23"/>
      <c r="B95" s="23"/>
      <c r="C95" s="23"/>
    </row>
    <row r="96" spans="1:17" x14ac:dyDescent="0.25">
      <c r="A96" s="23"/>
      <c r="B96" s="23"/>
      <c r="C96" s="23"/>
    </row>
    <row r="97" spans="1:16" x14ac:dyDescent="0.25">
      <c r="A97" s="23"/>
      <c r="B97" s="23"/>
      <c r="C97" s="23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</row>
    <row r="98" spans="1:16" x14ac:dyDescent="0.25">
      <c r="A98" s="23"/>
      <c r="B98" s="23"/>
      <c r="C98" s="23"/>
    </row>
    <row r="99" spans="1:16" x14ac:dyDescent="0.25">
      <c r="A99" s="23"/>
      <c r="B99" s="23"/>
      <c r="C99" s="23"/>
    </row>
    <row r="100" spans="1:16" x14ac:dyDescent="0.25">
      <c r="A100" s="23"/>
      <c r="B100" s="23"/>
      <c r="C100" s="23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</row>
    <row r="101" spans="1:16" x14ac:dyDescent="0.25">
      <c r="A101" s="23"/>
      <c r="B101" s="23"/>
      <c r="C101" s="23"/>
    </row>
    <row r="102" spans="1:16" x14ac:dyDescent="0.25">
      <c r="A102" s="23"/>
      <c r="B102" s="23"/>
      <c r="C102" s="23"/>
    </row>
    <row r="103" spans="1:16" x14ac:dyDescent="0.25">
      <c r="A103" s="23"/>
      <c r="B103" s="23"/>
      <c r="C103" s="23"/>
    </row>
    <row r="104" spans="1:16" x14ac:dyDescent="0.25">
      <c r="A104" s="23"/>
      <c r="B104" s="23"/>
      <c r="C104" s="23"/>
    </row>
    <row r="105" spans="1:16" x14ac:dyDescent="0.25">
      <c r="A105" s="23"/>
      <c r="B105" s="23"/>
      <c r="C105" s="23"/>
    </row>
    <row r="106" spans="1:16" x14ac:dyDescent="0.25">
      <c r="A106" s="23"/>
      <c r="B106" s="23"/>
      <c r="C106" s="23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</row>
    <row r="107" spans="1:16" x14ac:dyDescent="0.25">
      <c r="A107" s="23"/>
      <c r="B107" s="23"/>
      <c r="C107" s="23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</row>
    <row r="108" spans="1:16" x14ac:dyDescent="0.25">
      <c r="A108" s="23"/>
      <c r="B108" s="23"/>
      <c r="C108" s="23"/>
    </row>
    <row r="109" spans="1:16" x14ac:dyDescent="0.25">
      <c r="A109" s="23"/>
      <c r="B109" s="23"/>
      <c r="C109" s="23"/>
    </row>
    <row r="110" spans="1:16" x14ac:dyDescent="0.25">
      <c r="A110" s="23"/>
      <c r="B110" s="23"/>
      <c r="C110" s="23"/>
    </row>
    <row r="111" spans="1:16" x14ac:dyDescent="0.25">
      <c r="A111" s="23"/>
      <c r="B111" s="23"/>
      <c r="C111" s="23"/>
    </row>
    <row r="112" spans="1:16" x14ac:dyDescent="0.25">
      <c r="A112" s="23"/>
      <c r="B112" s="23"/>
      <c r="C112" s="2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</row>
    <row r="113" spans="1:17" x14ac:dyDescent="0.25">
      <c r="A113" s="23"/>
      <c r="B113" s="23"/>
      <c r="C113" s="2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</row>
    <row r="114" spans="1:17" x14ac:dyDescent="0.25">
      <c r="A114" s="23"/>
      <c r="B114" s="23"/>
      <c r="C114" s="2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</row>
    <row r="115" spans="1:17" x14ac:dyDescent="0.25">
      <c r="A115" s="23"/>
      <c r="B115" s="23"/>
      <c r="C115" s="23"/>
    </row>
    <row r="116" spans="1:17" x14ac:dyDescent="0.25">
      <c r="A116" s="23"/>
      <c r="B116" s="23"/>
      <c r="C116" s="23"/>
    </row>
    <row r="117" spans="1:17" x14ac:dyDescent="0.25">
      <c r="A117" s="23"/>
      <c r="B117" s="23"/>
      <c r="C117" s="23"/>
    </row>
    <row r="122" spans="1:17" ht="13" x14ac:dyDescent="0.3">
      <c r="Q122" s="226"/>
    </row>
    <row r="123" spans="1:17" x14ac:dyDescent="0.25">
      <c r="Q123" s="16"/>
    </row>
    <row r="124" spans="1:17" ht="13" x14ac:dyDescent="0.3">
      <c r="B124" s="187"/>
      <c r="C124" s="188"/>
      <c r="D124" s="188"/>
      <c r="E124" s="188"/>
      <c r="F124" s="188"/>
      <c r="G124" s="188"/>
      <c r="H124" s="187"/>
      <c r="I124" s="188"/>
    </row>
    <row r="125" spans="1:17" x14ac:dyDescent="0.25">
      <c r="B125" s="188"/>
      <c r="C125" s="188"/>
      <c r="D125" s="188"/>
      <c r="E125" s="188"/>
      <c r="F125" s="188"/>
      <c r="G125" s="188"/>
      <c r="H125" s="188"/>
      <c r="I125" s="188"/>
    </row>
    <row r="126" spans="1:17" x14ac:dyDescent="0.25">
      <c r="B126" s="188"/>
      <c r="C126" s="188"/>
      <c r="D126" s="188"/>
      <c r="E126" s="188"/>
      <c r="F126" s="188"/>
      <c r="G126" s="188"/>
      <c r="H126" s="188"/>
      <c r="I126" s="188"/>
    </row>
    <row r="127" spans="1:17" ht="13" x14ac:dyDescent="0.3">
      <c r="B127" s="186"/>
      <c r="C127" s="188"/>
      <c r="D127" s="188"/>
      <c r="E127" s="188"/>
      <c r="F127" s="188"/>
      <c r="G127" s="188"/>
      <c r="H127" s="186"/>
      <c r="I127" s="188"/>
    </row>
    <row r="128" spans="1:17" x14ac:dyDescent="0.25">
      <c r="B128" s="188"/>
      <c r="C128" s="188"/>
      <c r="D128" s="188"/>
      <c r="E128" s="188"/>
      <c r="F128" s="188"/>
      <c r="G128" s="188"/>
      <c r="H128" s="188"/>
      <c r="I128" s="188"/>
    </row>
    <row r="129" spans="1:17" x14ac:dyDescent="0.25">
      <c r="B129" s="188"/>
      <c r="C129" s="188"/>
      <c r="D129" s="188"/>
      <c r="E129" s="188"/>
      <c r="F129" s="188"/>
      <c r="G129" s="188"/>
      <c r="H129" s="188"/>
      <c r="I129" s="188"/>
    </row>
    <row r="130" spans="1:17" x14ac:dyDescent="0.25">
      <c r="B130" s="188"/>
      <c r="C130" s="188"/>
      <c r="F130" s="188"/>
      <c r="G130" s="188"/>
      <c r="H130" s="188"/>
      <c r="I130" s="23"/>
    </row>
    <row r="131" spans="1:17" x14ac:dyDescent="0.25">
      <c r="B131" s="206"/>
      <c r="C131" s="188"/>
      <c r="D131" s="188"/>
      <c r="E131" s="188"/>
      <c r="F131" s="188"/>
      <c r="G131" s="188"/>
      <c r="H131" s="188"/>
      <c r="I131" s="188"/>
    </row>
    <row r="132" spans="1:17" x14ac:dyDescent="0.25">
      <c r="B132" s="206"/>
      <c r="C132" s="188"/>
      <c r="D132" s="188"/>
      <c r="E132" s="188"/>
      <c r="F132" s="188"/>
      <c r="G132" s="188"/>
      <c r="H132" s="188"/>
      <c r="I132" s="188"/>
    </row>
    <row r="133" spans="1:17" x14ac:dyDescent="0.25">
      <c r="B133" s="188"/>
      <c r="C133" s="188"/>
      <c r="D133" s="188"/>
      <c r="E133" s="188"/>
      <c r="F133" s="188"/>
      <c r="G133" s="188"/>
      <c r="H133" s="188"/>
      <c r="I133" s="188"/>
    </row>
    <row r="134" spans="1:17" x14ac:dyDescent="0.25">
      <c r="A134" s="206"/>
      <c r="B134" s="206"/>
      <c r="C134" s="188"/>
      <c r="D134" s="188"/>
      <c r="E134" s="188"/>
      <c r="F134" s="188"/>
      <c r="G134" s="188"/>
      <c r="H134" s="188"/>
      <c r="I134" s="188"/>
    </row>
    <row r="135" spans="1:17" x14ac:dyDescent="0.25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23"/>
      <c r="B136" s="23"/>
      <c r="C136" s="2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3"/>
    </row>
    <row r="137" spans="1:17" x14ac:dyDescent="0.25">
      <c r="A137" s="23"/>
      <c r="B137" s="23"/>
      <c r="C137" s="23"/>
    </row>
    <row r="138" spans="1:17" x14ac:dyDescent="0.25">
      <c r="A138" s="23"/>
      <c r="B138" s="23"/>
      <c r="C138" s="23"/>
    </row>
    <row r="139" spans="1:17" x14ac:dyDescent="0.25">
      <c r="A139" s="23"/>
      <c r="B139" s="23"/>
      <c r="C139" s="23"/>
    </row>
    <row r="140" spans="1:17" x14ac:dyDescent="0.25">
      <c r="A140" s="23"/>
      <c r="B140" s="23"/>
      <c r="C140" s="23"/>
    </row>
    <row r="141" spans="1:17" x14ac:dyDescent="0.25">
      <c r="A141" s="23"/>
      <c r="B141" s="23"/>
      <c r="C141" s="23"/>
    </row>
    <row r="142" spans="1:17" x14ac:dyDescent="0.25">
      <c r="A142" s="23"/>
      <c r="B142" s="23"/>
      <c r="C142" s="23"/>
    </row>
    <row r="143" spans="1:17" x14ac:dyDescent="0.25">
      <c r="A143" s="23"/>
      <c r="B143" s="23"/>
      <c r="C143" s="23"/>
    </row>
    <row r="144" spans="1:17" x14ac:dyDescent="0.25">
      <c r="A144" s="23"/>
      <c r="B144" s="23"/>
      <c r="C144" s="23"/>
    </row>
    <row r="145" spans="1:16" x14ac:dyDescent="0.25">
      <c r="A145" s="23"/>
      <c r="B145" s="23"/>
      <c r="C145" s="23"/>
    </row>
    <row r="146" spans="1:16" x14ac:dyDescent="0.25">
      <c r="A146" s="23"/>
      <c r="B146" s="23"/>
      <c r="C146" s="23"/>
    </row>
    <row r="147" spans="1:16" x14ac:dyDescent="0.25">
      <c r="A147" s="23"/>
      <c r="B147" s="23"/>
      <c r="C147" s="23"/>
    </row>
    <row r="148" spans="1:16" x14ac:dyDescent="0.25">
      <c r="A148" s="23"/>
      <c r="B148" s="23"/>
      <c r="C148" s="23"/>
    </row>
    <row r="149" spans="1:16" x14ac:dyDescent="0.25">
      <c r="A149" s="23"/>
      <c r="B149" s="23"/>
      <c r="C149" s="23"/>
    </row>
    <row r="150" spans="1:16" x14ac:dyDescent="0.25">
      <c r="A150" s="23"/>
      <c r="B150" s="23"/>
      <c r="C150" s="23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</row>
    <row r="151" spans="1:16" x14ac:dyDescent="0.25">
      <c r="A151" s="23"/>
      <c r="B151" s="23"/>
      <c r="C151" s="23"/>
    </row>
    <row r="152" spans="1:16" x14ac:dyDescent="0.25">
      <c r="A152" s="23"/>
      <c r="B152" s="23"/>
      <c r="C152" s="23"/>
    </row>
    <row r="153" spans="1:16" x14ac:dyDescent="0.25">
      <c r="A153" s="23"/>
      <c r="B153" s="23"/>
      <c r="C153" s="23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</row>
    <row r="154" spans="1:16" x14ac:dyDescent="0.25">
      <c r="A154" s="23"/>
      <c r="B154" s="23"/>
      <c r="C154" s="23"/>
    </row>
    <row r="155" spans="1:16" x14ac:dyDescent="0.25">
      <c r="A155" s="23"/>
      <c r="B155" s="23"/>
      <c r="C155" s="23"/>
    </row>
    <row r="156" spans="1:16" x14ac:dyDescent="0.25">
      <c r="A156" s="23"/>
      <c r="B156" s="23"/>
      <c r="C156" s="23"/>
    </row>
    <row r="157" spans="1:16" x14ac:dyDescent="0.25">
      <c r="A157" s="23"/>
      <c r="B157" s="23"/>
      <c r="C157" s="23"/>
    </row>
    <row r="158" spans="1:16" x14ac:dyDescent="0.25">
      <c r="A158" s="23"/>
      <c r="B158" s="23"/>
      <c r="C158" s="23"/>
    </row>
    <row r="159" spans="1:16" x14ac:dyDescent="0.25">
      <c r="A159" s="23"/>
      <c r="B159" s="23"/>
      <c r="C159" s="23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</row>
    <row r="160" spans="1:16" x14ac:dyDescent="0.25">
      <c r="A160" s="23"/>
      <c r="B160" s="23"/>
      <c r="C160" s="23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</row>
    <row r="161" spans="1:17" x14ac:dyDescent="0.25">
      <c r="A161" s="23"/>
      <c r="B161" s="23"/>
      <c r="C161" s="23"/>
    </row>
    <row r="162" spans="1:17" x14ac:dyDescent="0.25">
      <c r="A162" s="23"/>
      <c r="B162" s="23"/>
      <c r="C162" s="23"/>
    </row>
    <row r="163" spans="1:17" x14ac:dyDescent="0.25">
      <c r="A163" s="23"/>
      <c r="B163" s="23"/>
      <c r="C163" s="23"/>
    </row>
    <row r="164" spans="1:17" x14ac:dyDescent="0.25">
      <c r="A164" s="23"/>
      <c r="B164" s="23"/>
      <c r="C164" s="23"/>
    </row>
    <row r="165" spans="1:17" x14ac:dyDescent="0.25">
      <c r="A165" s="23"/>
      <c r="B165" s="23"/>
      <c r="C165" s="2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</row>
    <row r="166" spans="1:17" x14ac:dyDescent="0.25">
      <c r="A166" s="23"/>
      <c r="B166" s="23"/>
      <c r="C166" s="2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</row>
    <row r="167" spans="1:17" x14ac:dyDescent="0.25">
      <c r="A167" s="23"/>
      <c r="B167" s="23"/>
      <c r="C167" s="2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</row>
    <row r="168" spans="1:17" x14ac:dyDescent="0.25">
      <c r="A168" s="23"/>
      <c r="B168" s="23"/>
      <c r="C168" s="23"/>
    </row>
    <row r="169" spans="1:17" x14ac:dyDescent="0.25">
      <c r="A169" s="23"/>
      <c r="B169" s="23"/>
      <c r="C169" s="23"/>
    </row>
    <row r="170" spans="1:17" x14ac:dyDescent="0.25">
      <c r="A170" s="23"/>
      <c r="B170" s="23"/>
      <c r="C170" s="23"/>
    </row>
    <row r="175" spans="1:17" ht="13" x14ac:dyDescent="0.3">
      <c r="Q175" s="226"/>
    </row>
    <row r="176" spans="1:17" x14ac:dyDescent="0.25">
      <c r="Q176" s="16"/>
    </row>
    <row r="177" spans="1:17" ht="13" x14ac:dyDescent="0.3">
      <c r="B177" s="187"/>
      <c r="C177" s="188"/>
      <c r="D177" s="188"/>
      <c r="E177" s="188"/>
      <c r="F177" s="188"/>
      <c r="G177" s="188"/>
      <c r="H177" s="187"/>
      <c r="I177" s="188"/>
    </row>
    <row r="178" spans="1:17" x14ac:dyDescent="0.25">
      <c r="B178" s="188"/>
      <c r="C178" s="188"/>
      <c r="D178" s="188"/>
      <c r="E178" s="188"/>
      <c r="F178" s="188"/>
      <c r="G178" s="188"/>
      <c r="H178" s="188"/>
      <c r="I178" s="188"/>
    </row>
    <row r="179" spans="1:17" x14ac:dyDescent="0.25">
      <c r="B179" s="188"/>
      <c r="C179" s="188"/>
      <c r="D179" s="188"/>
      <c r="E179" s="188"/>
      <c r="F179" s="188"/>
      <c r="G179" s="188"/>
      <c r="H179" s="188"/>
      <c r="I179" s="188"/>
    </row>
    <row r="180" spans="1:17" ht="13" x14ac:dyDescent="0.3">
      <c r="B180" s="186"/>
      <c r="C180" s="188"/>
      <c r="D180" s="188"/>
      <c r="E180" s="188"/>
      <c r="F180" s="188"/>
      <c r="G180" s="188"/>
      <c r="H180" s="186"/>
      <c r="I180" s="188"/>
    </row>
    <row r="181" spans="1:17" x14ac:dyDescent="0.25">
      <c r="B181" s="188"/>
      <c r="C181" s="188"/>
      <c r="D181" s="188"/>
      <c r="E181" s="188"/>
      <c r="F181" s="188"/>
      <c r="G181" s="188"/>
      <c r="H181" s="188"/>
      <c r="I181" s="188"/>
    </row>
    <row r="182" spans="1:17" x14ac:dyDescent="0.25">
      <c r="B182" s="188"/>
      <c r="C182" s="188"/>
      <c r="D182" s="188"/>
      <c r="E182" s="188"/>
      <c r="F182" s="188"/>
      <c r="G182" s="188"/>
      <c r="H182" s="188"/>
      <c r="I182" s="188"/>
    </row>
    <row r="183" spans="1:17" x14ac:dyDescent="0.25">
      <c r="B183" s="188"/>
      <c r="C183" s="188"/>
      <c r="F183" s="188"/>
      <c r="G183" s="188"/>
      <c r="H183" s="188"/>
      <c r="I183" s="23"/>
    </row>
    <row r="184" spans="1:17" x14ac:dyDescent="0.25">
      <c r="B184" s="206"/>
      <c r="C184" s="188"/>
      <c r="D184" s="188"/>
      <c r="E184" s="188"/>
      <c r="F184" s="188"/>
      <c r="G184" s="188"/>
      <c r="H184" s="188"/>
      <c r="I184" s="188"/>
    </row>
    <row r="185" spans="1:17" x14ac:dyDescent="0.25">
      <c r="B185" s="206"/>
      <c r="C185" s="188"/>
      <c r="D185" s="188"/>
      <c r="E185" s="188"/>
      <c r="F185" s="188"/>
      <c r="G185" s="188"/>
      <c r="H185" s="188"/>
      <c r="I185" s="188"/>
    </row>
    <row r="186" spans="1:17" x14ac:dyDescent="0.25">
      <c r="B186" s="188"/>
      <c r="C186" s="188"/>
      <c r="D186" s="188"/>
      <c r="E186" s="188"/>
      <c r="F186" s="188"/>
      <c r="G186" s="188"/>
      <c r="H186" s="188"/>
      <c r="I186" s="188"/>
    </row>
    <row r="187" spans="1:17" x14ac:dyDescent="0.25">
      <c r="A187" s="206"/>
      <c r="B187" s="206"/>
      <c r="C187" s="188"/>
      <c r="D187" s="188"/>
      <c r="E187" s="188"/>
      <c r="F187" s="188"/>
      <c r="G187" s="188"/>
      <c r="H187" s="188"/>
      <c r="I187" s="188"/>
    </row>
    <row r="188" spans="1:17" x14ac:dyDescent="0.25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23"/>
      <c r="B189" s="23"/>
      <c r="C189" s="23"/>
      <c r="D189" s="1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3"/>
    </row>
    <row r="190" spans="1:17" x14ac:dyDescent="0.25">
      <c r="A190" s="23"/>
      <c r="B190" s="23"/>
      <c r="C190" s="23"/>
    </row>
    <row r="191" spans="1:17" x14ac:dyDescent="0.25">
      <c r="A191" s="23"/>
      <c r="B191" s="23"/>
      <c r="C191" s="23"/>
    </row>
    <row r="192" spans="1:17" x14ac:dyDescent="0.25">
      <c r="A192" s="23"/>
      <c r="B192" s="23"/>
      <c r="C192" s="23"/>
    </row>
    <row r="193" spans="1:16" x14ac:dyDescent="0.25">
      <c r="A193" s="23"/>
      <c r="B193" s="23"/>
      <c r="C193" s="23"/>
    </row>
    <row r="194" spans="1:16" x14ac:dyDescent="0.25">
      <c r="A194" s="23"/>
      <c r="B194" s="23"/>
      <c r="C194" s="23"/>
    </row>
    <row r="195" spans="1:16" x14ac:dyDescent="0.25">
      <c r="A195" s="23"/>
      <c r="B195" s="23"/>
      <c r="C195" s="23"/>
    </row>
    <row r="196" spans="1:16" x14ac:dyDescent="0.25">
      <c r="A196" s="23"/>
      <c r="B196" s="23"/>
      <c r="C196" s="23"/>
    </row>
    <row r="197" spans="1:16" x14ac:dyDescent="0.25">
      <c r="A197" s="23"/>
      <c r="B197" s="23"/>
      <c r="C197" s="23"/>
    </row>
    <row r="198" spans="1:16" x14ac:dyDescent="0.25">
      <c r="A198" s="23"/>
      <c r="B198" s="23"/>
      <c r="C198" s="23"/>
    </row>
    <row r="199" spans="1:16" x14ac:dyDescent="0.25">
      <c r="A199" s="23"/>
      <c r="B199" s="23"/>
      <c r="C199" s="23"/>
    </row>
    <row r="200" spans="1:16" x14ac:dyDescent="0.25">
      <c r="A200" s="23"/>
      <c r="B200" s="23"/>
      <c r="C200" s="23"/>
    </row>
    <row r="201" spans="1:16" x14ac:dyDescent="0.25">
      <c r="A201" s="23"/>
      <c r="B201" s="23"/>
      <c r="C201" s="23"/>
    </row>
    <row r="202" spans="1:16" x14ac:dyDescent="0.25">
      <c r="A202" s="23"/>
      <c r="B202" s="23"/>
      <c r="C202" s="23"/>
    </row>
    <row r="203" spans="1:16" x14ac:dyDescent="0.25">
      <c r="A203" s="23"/>
      <c r="B203" s="23"/>
      <c r="C203" s="23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</row>
    <row r="204" spans="1:16" x14ac:dyDescent="0.25">
      <c r="A204" s="23"/>
      <c r="B204" s="23"/>
      <c r="C204" s="23"/>
    </row>
    <row r="205" spans="1:16" x14ac:dyDescent="0.25">
      <c r="A205" s="23"/>
      <c r="B205" s="23"/>
      <c r="C205" s="23"/>
    </row>
    <row r="206" spans="1:16" x14ac:dyDescent="0.25">
      <c r="A206" s="23"/>
      <c r="B206" s="23"/>
      <c r="C206" s="23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</row>
    <row r="207" spans="1:16" x14ac:dyDescent="0.25">
      <c r="A207" s="23"/>
      <c r="B207" s="23"/>
      <c r="C207" s="23"/>
    </row>
    <row r="208" spans="1:16" x14ac:dyDescent="0.25">
      <c r="A208" s="23"/>
      <c r="B208" s="23"/>
      <c r="C208" s="23"/>
    </row>
    <row r="209" spans="1:16" x14ac:dyDescent="0.25">
      <c r="A209" s="23"/>
      <c r="B209" s="23"/>
      <c r="C209" s="23"/>
    </row>
    <row r="210" spans="1:16" x14ac:dyDescent="0.25">
      <c r="A210" s="23"/>
      <c r="B210" s="23"/>
      <c r="C210" s="23"/>
    </row>
    <row r="211" spans="1:16" x14ac:dyDescent="0.25">
      <c r="A211" s="23"/>
      <c r="B211" s="23"/>
      <c r="C211" s="23"/>
    </row>
    <row r="212" spans="1:16" x14ac:dyDescent="0.25">
      <c r="A212" s="23"/>
      <c r="B212" s="23"/>
      <c r="C212" s="23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</row>
    <row r="213" spans="1:16" x14ac:dyDescent="0.25">
      <c r="A213" s="23"/>
      <c r="B213" s="23"/>
      <c r="C213" s="23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</row>
    <row r="214" spans="1:16" x14ac:dyDescent="0.25">
      <c r="A214" s="23"/>
      <c r="B214" s="23"/>
      <c r="C214" s="23"/>
    </row>
    <row r="215" spans="1:16" x14ac:dyDescent="0.25">
      <c r="A215" s="23"/>
      <c r="B215" s="23"/>
      <c r="C215" s="23"/>
    </row>
    <row r="216" spans="1:16" x14ac:dyDescent="0.25">
      <c r="A216" s="23"/>
      <c r="B216" s="23"/>
      <c r="C216" s="23"/>
    </row>
    <row r="217" spans="1:16" x14ac:dyDescent="0.25">
      <c r="A217" s="23"/>
      <c r="B217" s="23"/>
      <c r="C217" s="23"/>
    </row>
    <row r="218" spans="1:16" x14ac:dyDescent="0.25">
      <c r="A218" s="23"/>
      <c r="B218" s="23"/>
      <c r="C218" s="2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</row>
    <row r="219" spans="1:16" x14ac:dyDescent="0.25">
      <c r="A219" s="23"/>
      <c r="B219" s="23"/>
      <c r="C219" s="2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</row>
    <row r="220" spans="1:16" x14ac:dyDescent="0.25">
      <c r="A220" s="23"/>
      <c r="B220" s="23"/>
      <c r="C220" s="2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</row>
    <row r="221" spans="1:16" x14ac:dyDescent="0.25">
      <c r="A221" s="23"/>
      <c r="B221" s="23"/>
      <c r="C221" s="23"/>
    </row>
    <row r="222" spans="1:16" x14ac:dyDescent="0.25">
      <c r="A222" s="23"/>
      <c r="B222" s="23"/>
      <c r="C222" s="23"/>
    </row>
    <row r="223" spans="1:16" x14ac:dyDescent="0.25">
      <c r="A223" s="23"/>
      <c r="B223" s="23"/>
      <c r="C223" s="23"/>
    </row>
    <row r="227" spans="1:17" ht="13" x14ac:dyDescent="0.3">
      <c r="Q227" s="226"/>
    </row>
    <row r="228" spans="1:17" x14ac:dyDescent="0.25">
      <c r="Q228" s="16"/>
    </row>
    <row r="229" spans="1:17" ht="13" x14ac:dyDescent="0.3">
      <c r="B229" s="187"/>
      <c r="C229" s="188"/>
      <c r="D229" s="188"/>
      <c r="E229" s="188"/>
      <c r="F229" s="188"/>
      <c r="G229" s="188"/>
      <c r="H229" s="187"/>
      <c r="I229" s="188"/>
    </row>
    <row r="230" spans="1:17" x14ac:dyDescent="0.25">
      <c r="B230" s="188"/>
      <c r="C230" s="188"/>
      <c r="D230" s="188"/>
      <c r="E230" s="188"/>
      <c r="F230" s="188"/>
      <c r="G230" s="188"/>
      <c r="H230" s="188"/>
      <c r="I230" s="188"/>
    </row>
    <row r="231" spans="1:17" x14ac:dyDescent="0.25">
      <c r="B231" s="188"/>
      <c r="C231" s="188"/>
      <c r="D231" s="188"/>
      <c r="E231" s="188"/>
      <c r="F231" s="188"/>
      <c r="G231" s="188"/>
      <c r="H231" s="188"/>
      <c r="I231" s="188"/>
    </row>
    <row r="232" spans="1:17" ht="13" x14ac:dyDescent="0.3">
      <c r="B232" s="186"/>
      <c r="C232" s="188"/>
      <c r="D232" s="188"/>
      <c r="E232" s="188"/>
      <c r="F232" s="188"/>
      <c r="G232" s="188"/>
      <c r="H232" s="186"/>
      <c r="I232" s="188"/>
    </row>
    <row r="233" spans="1:17" x14ac:dyDescent="0.25">
      <c r="B233" s="188"/>
      <c r="C233" s="188"/>
      <c r="D233" s="188"/>
      <c r="E233" s="188"/>
      <c r="F233" s="188"/>
      <c r="G233" s="188"/>
      <c r="H233" s="188"/>
      <c r="I233" s="188"/>
    </row>
    <row r="234" spans="1:17" x14ac:dyDescent="0.25">
      <c r="B234" s="188"/>
      <c r="C234" s="188"/>
      <c r="D234" s="188"/>
      <c r="E234" s="188"/>
      <c r="F234" s="188"/>
      <c r="G234" s="188"/>
      <c r="H234" s="188"/>
      <c r="I234" s="188"/>
    </row>
    <row r="235" spans="1:17" x14ac:dyDescent="0.25">
      <c r="B235" s="188"/>
      <c r="C235" s="188"/>
      <c r="F235" s="188"/>
      <c r="G235" s="188"/>
      <c r="H235" s="188"/>
      <c r="I235" s="23"/>
    </row>
    <row r="236" spans="1:17" x14ac:dyDescent="0.25">
      <c r="B236" s="206"/>
      <c r="C236" s="188"/>
      <c r="D236" s="188"/>
      <c r="E236" s="188"/>
      <c r="F236" s="188"/>
      <c r="G236" s="188"/>
      <c r="H236" s="188"/>
      <c r="I236" s="188"/>
    </row>
    <row r="237" spans="1:17" x14ac:dyDescent="0.25">
      <c r="B237" s="206"/>
      <c r="C237" s="188"/>
      <c r="D237" s="188"/>
      <c r="E237" s="188"/>
      <c r="F237" s="188"/>
      <c r="G237" s="188"/>
      <c r="H237" s="188"/>
      <c r="I237" s="188"/>
    </row>
    <row r="238" spans="1:17" x14ac:dyDescent="0.25">
      <c r="B238" s="188"/>
      <c r="C238" s="188"/>
      <c r="D238" s="188"/>
      <c r="E238" s="188"/>
      <c r="F238" s="188"/>
      <c r="G238" s="188"/>
      <c r="H238" s="188"/>
      <c r="I238" s="188"/>
    </row>
    <row r="239" spans="1:17" x14ac:dyDescent="0.25">
      <c r="A239" s="206"/>
      <c r="B239" s="206"/>
      <c r="C239" s="188"/>
      <c r="D239" s="188"/>
      <c r="E239" s="188"/>
      <c r="F239" s="188"/>
      <c r="G239" s="188"/>
      <c r="H239" s="188"/>
      <c r="I239" s="188"/>
    </row>
    <row r="240" spans="1:17" x14ac:dyDescent="0.25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x14ac:dyDescent="0.25">
      <c r="A241" s="23"/>
      <c r="B241" s="23"/>
      <c r="C241" s="23"/>
      <c r="D241" s="1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3"/>
    </row>
    <row r="242" spans="1:17" x14ac:dyDescent="0.25">
      <c r="A242" s="23"/>
      <c r="B242" s="23"/>
      <c r="C242" s="23"/>
    </row>
    <row r="243" spans="1:17" x14ac:dyDescent="0.25">
      <c r="A243" s="23"/>
      <c r="B243" s="23"/>
      <c r="C243" s="23"/>
    </row>
    <row r="244" spans="1:17" x14ac:dyDescent="0.25">
      <c r="A244" s="23"/>
      <c r="B244" s="23"/>
      <c r="C244" s="23"/>
    </row>
    <row r="245" spans="1:17" x14ac:dyDescent="0.25">
      <c r="A245" s="23"/>
      <c r="B245" s="23"/>
      <c r="C245" s="23"/>
    </row>
    <row r="246" spans="1:17" x14ac:dyDescent="0.25">
      <c r="A246" s="23"/>
      <c r="B246" s="23"/>
      <c r="C246" s="23"/>
    </row>
    <row r="247" spans="1:17" x14ac:dyDescent="0.25">
      <c r="A247" s="23"/>
      <c r="B247" s="23"/>
      <c r="C247" s="23"/>
    </row>
    <row r="248" spans="1:17" x14ac:dyDescent="0.25">
      <c r="A248" s="23"/>
      <c r="B248" s="23"/>
      <c r="C248" s="23"/>
    </row>
    <row r="249" spans="1:17" x14ac:dyDescent="0.25">
      <c r="A249" s="23"/>
      <c r="B249" s="23"/>
      <c r="C249" s="23"/>
    </row>
    <row r="250" spans="1:17" x14ac:dyDescent="0.25">
      <c r="A250" s="23"/>
      <c r="B250" s="23"/>
      <c r="C250" s="23"/>
    </row>
    <row r="251" spans="1:17" x14ac:dyDescent="0.25">
      <c r="A251" s="23"/>
      <c r="B251" s="23"/>
      <c r="C251" s="23"/>
    </row>
    <row r="252" spans="1:17" x14ac:dyDescent="0.25">
      <c r="A252" s="23"/>
      <c r="B252" s="23"/>
      <c r="C252" s="23"/>
    </row>
    <row r="253" spans="1:17" x14ac:dyDescent="0.25">
      <c r="A253" s="23"/>
      <c r="B253" s="23"/>
      <c r="C253" s="23"/>
    </row>
    <row r="254" spans="1:17" x14ac:dyDescent="0.25">
      <c r="A254" s="23"/>
      <c r="B254" s="23"/>
      <c r="C254" s="23"/>
    </row>
    <row r="255" spans="1:17" x14ac:dyDescent="0.25">
      <c r="A255" s="23"/>
      <c r="B255" s="23"/>
      <c r="C255" s="23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</row>
    <row r="256" spans="1:17" x14ac:dyDescent="0.25">
      <c r="A256" s="23"/>
      <c r="B256" s="23"/>
      <c r="C256" s="23"/>
    </row>
    <row r="257" spans="1:16" x14ac:dyDescent="0.25">
      <c r="A257" s="23"/>
      <c r="B257" s="23"/>
      <c r="C257" s="23"/>
    </row>
    <row r="258" spans="1:16" x14ac:dyDescent="0.25">
      <c r="A258" s="23"/>
      <c r="B258" s="23"/>
      <c r="C258" s="23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</row>
    <row r="259" spans="1:16" x14ac:dyDescent="0.25">
      <c r="A259" s="23"/>
      <c r="B259" s="23"/>
      <c r="C259" s="23"/>
    </row>
    <row r="260" spans="1:16" x14ac:dyDescent="0.25">
      <c r="A260" s="23"/>
      <c r="B260" s="23"/>
      <c r="C260" s="23"/>
    </row>
    <row r="261" spans="1:16" x14ac:dyDescent="0.25">
      <c r="A261" s="23"/>
      <c r="B261" s="23"/>
      <c r="C261" s="23"/>
    </row>
    <row r="262" spans="1:16" x14ac:dyDescent="0.25">
      <c r="A262" s="23"/>
      <c r="B262" s="23"/>
      <c r="C262" s="23"/>
    </row>
    <row r="263" spans="1:16" x14ac:dyDescent="0.25">
      <c r="A263" s="23"/>
      <c r="B263" s="23"/>
      <c r="C263" s="23"/>
    </row>
    <row r="264" spans="1:16" x14ac:dyDescent="0.25">
      <c r="A264" s="23"/>
      <c r="B264" s="23"/>
      <c r="C264" s="23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</row>
    <row r="265" spans="1:16" x14ac:dyDescent="0.25">
      <c r="A265" s="23"/>
      <c r="B265" s="23"/>
      <c r="C265" s="23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</row>
    <row r="266" spans="1:16" x14ac:dyDescent="0.25">
      <c r="A266" s="23"/>
      <c r="B266" s="23"/>
      <c r="C266" s="23"/>
    </row>
    <row r="267" spans="1:16" x14ac:dyDescent="0.25">
      <c r="A267" s="23"/>
      <c r="B267" s="23"/>
      <c r="C267" s="23"/>
    </row>
    <row r="268" spans="1:16" x14ac:dyDescent="0.25">
      <c r="A268" s="23"/>
      <c r="B268" s="23"/>
      <c r="C268" s="23"/>
    </row>
    <row r="269" spans="1:16" x14ac:dyDescent="0.25">
      <c r="A269" s="23"/>
      <c r="B269" s="23"/>
      <c r="C269" s="23"/>
    </row>
    <row r="270" spans="1:16" x14ac:dyDescent="0.25">
      <c r="A270" s="23"/>
      <c r="B270" s="23"/>
      <c r="C270" s="2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</row>
    <row r="271" spans="1:16" x14ac:dyDescent="0.25">
      <c r="A271" s="23"/>
      <c r="B271" s="23"/>
      <c r="C271" s="2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</row>
    <row r="272" spans="1:16" x14ac:dyDescent="0.25">
      <c r="A272" s="23"/>
      <c r="B272" s="23"/>
      <c r="C272" s="2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</row>
    <row r="273" spans="1:9" x14ac:dyDescent="0.25">
      <c r="A273" s="23"/>
      <c r="B273" s="23"/>
      <c r="C273" s="23"/>
    </row>
    <row r="274" spans="1:9" x14ac:dyDescent="0.25">
      <c r="A274" s="23"/>
      <c r="B274" s="23"/>
      <c r="C274" s="23"/>
    </row>
    <row r="275" spans="1:9" x14ac:dyDescent="0.25">
      <c r="A275" s="23"/>
      <c r="B275" s="23"/>
      <c r="C275" s="23"/>
    </row>
    <row r="279" spans="1:9" ht="13" x14ac:dyDescent="0.3">
      <c r="B279" s="187"/>
      <c r="C279" s="188"/>
      <c r="D279" s="188"/>
      <c r="E279" s="188"/>
      <c r="F279" s="188"/>
      <c r="G279" s="188"/>
      <c r="H279" s="187"/>
      <c r="I279" s="188"/>
    </row>
    <row r="280" spans="1:9" x14ac:dyDescent="0.25">
      <c r="B280" s="188"/>
      <c r="C280" s="188"/>
      <c r="D280" s="188"/>
      <c r="E280" s="188"/>
      <c r="F280" s="188"/>
      <c r="G280" s="188"/>
      <c r="H280" s="188"/>
      <c r="I280" s="188"/>
    </row>
    <row r="281" spans="1:9" x14ac:dyDescent="0.25">
      <c r="B281" s="188"/>
      <c r="C281" s="188"/>
      <c r="D281" s="188"/>
      <c r="E281" s="188"/>
      <c r="F281" s="188"/>
      <c r="G281" s="188"/>
      <c r="H281" s="188"/>
      <c r="I281" s="188"/>
    </row>
    <row r="282" spans="1:9" ht="13" x14ac:dyDescent="0.3">
      <c r="B282" s="186"/>
      <c r="C282" s="188"/>
      <c r="D282" s="188"/>
      <c r="E282" s="188"/>
      <c r="F282" s="188"/>
      <c r="G282" s="188"/>
      <c r="H282" s="186"/>
      <c r="I282" s="188"/>
    </row>
    <row r="283" spans="1:9" x14ac:dyDescent="0.25">
      <c r="B283" s="188"/>
      <c r="C283" s="188"/>
      <c r="D283" s="188"/>
      <c r="E283" s="188"/>
      <c r="F283" s="188"/>
      <c r="G283" s="188"/>
      <c r="H283" s="188"/>
      <c r="I283" s="188"/>
    </row>
    <row r="284" spans="1:9" x14ac:dyDescent="0.25">
      <c r="B284" s="188"/>
      <c r="C284" s="188"/>
      <c r="D284" s="188"/>
      <c r="E284" s="188"/>
      <c r="F284" s="188"/>
      <c r="G284" s="188"/>
      <c r="H284" s="188"/>
      <c r="I284" s="188"/>
    </row>
    <row r="285" spans="1:9" x14ac:dyDescent="0.25">
      <c r="B285" s="188"/>
      <c r="C285" s="188"/>
      <c r="F285" s="188"/>
      <c r="G285" s="188"/>
      <c r="H285" s="188"/>
      <c r="I285" s="23"/>
    </row>
    <row r="286" spans="1:9" x14ac:dyDescent="0.25">
      <c r="B286" s="206"/>
      <c r="C286" s="188"/>
      <c r="D286" s="188"/>
      <c r="E286" s="188"/>
      <c r="F286" s="188"/>
      <c r="G286" s="188"/>
      <c r="H286" s="188"/>
      <c r="I286" s="23"/>
    </row>
    <row r="287" spans="1:9" x14ac:dyDescent="0.25">
      <c r="B287" s="206"/>
      <c r="C287" s="188"/>
      <c r="D287" s="188"/>
      <c r="E287" s="188"/>
      <c r="F287" s="188"/>
      <c r="G287" s="188"/>
      <c r="H287" s="188"/>
      <c r="I287" s="23"/>
    </row>
    <row r="288" spans="1:9" x14ac:dyDescent="0.25">
      <c r="B288" s="188"/>
      <c r="C288" s="188"/>
      <c r="D288" s="188"/>
      <c r="E288" s="188"/>
      <c r="F288" s="188"/>
      <c r="G288" s="188"/>
      <c r="H288" s="188"/>
      <c r="I288" s="188"/>
    </row>
    <row r="289" spans="1:17" x14ac:dyDescent="0.25">
      <c r="A289" s="206"/>
      <c r="B289" s="206"/>
      <c r="C289" s="188"/>
      <c r="D289" s="188"/>
      <c r="E289" s="188"/>
      <c r="F289" s="188"/>
      <c r="G289" s="188"/>
      <c r="H289" s="188"/>
      <c r="I289" s="188"/>
    </row>
    <row r="290" spans="1:1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x14ac:dyDescent="0.25">
      <c r="A291" s="23"/>
      <c r="B291" s="23"/>
      <c r="C291" s="23"/>
      <c r="D291" s="1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13"/>
    </row>
    <row r="292" spans="1:17" x14ac:dyDescent="0.25">
      <c r="A292" s="23"/>
      <c r="B292" s="23"/>
      <c r="C292" s="23"/>
    </row>
    <row r="293" spans="1:17" x14ac:dyDescent="0.25">
      <c r="A293" s="23"/>
      <c r="B293" s="23"/>
      <c r="C293" s="23"/>
    </row>
    <row r="294" spans="1:17" x14ac:dyDescent="0.25">
      <c r="A294" s="23"/>
      <c r="B294" s="23"/>
      <c r="C294" s="23"/>
    </row>
    <row r="295" spans="1:17" x14ac:dyDescent="0.25">
      <c r="A295" s="23"/>
      <c r="B295" s="23"/>
      <c r="C295" s="23"/>
    </row>
    <row r="296" spans="1:17" x14ac:dyDescent="0.25">
      <c r="A296" s="23"/>
      <c r="B296" s="23"/>
      <c r="C296" s="23"/>
    </row>
    <row r="297" spans="1:17" x14ac:dyDescent="0.25">
      <c r="A297" s="23"/>
      <c r="B297" s="23"/>
      <c r="C297" s="23"/>
    </row>
    <row r="298" spans="1:17" x14ac:dyDescent="0.25">
      <c r="A298" s="23"/>
      <c r="B298" s="23"/>
      <c r="C298" s="23"/>
    </row>
    <row r="299" spans="1:17" x14ac:dyDescent="0.25">
      <c r="A299" s="23"/>
      <c r="B299" s="23"/>
      <c r="C299" s="23"/>
    </row>
    <row r="300" spans="1:17" x14ac:dyDescent="0.25">
      <c r="A300" s="23"/>
      <c r="B300" s="23"/>
      <c r="C300" s="23"/>
    </row>
    <row r="301" spans="1:17" x14ac:dyDescent="0.25">
      <c r="A301" s="23"/>
      <c r="B301" s="23"/>
      <c r="C301" s="23"/>
    </row>
    <row r="302" spans="1:17" x14ac:dyDescent="0.25">
      <c r="A302" s="23"/>
      <c r="B302" s="23"/>
      <c r="C302" s="23"/>
    </row>
    <row r="303" spans="1:17" x14ac:dyDescent="0.25">
      <c r="A303" s="23"/>
      <c r="B303" s="23"/>
      <c r="C303" s="23"/>
    </row>
    <row r="304" spans="1:17" x14ac:dyDescent="0.25">
      <c r="A304" s="23"/>
      <c r="B304" s="23"/>
      <c r="C304" s="23"/>
    </row>
    <row r="305" spans="1:16" x14ac:dyDescent="0.25">
      <c r="A305" s="23"/>
      <c r="B305" s="23"/>
      <c r="C305" s="23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</row>
    <row r="306" spans="1:16" x14ac:dyDescent="0.25">
      <c r="A306" s="23"/>
      <c r="B306" s="23"/>
      <c r="C306" s="23"/>
    </row>
    <row r="307" spans="1:16" x14ac:dyDescent="0.25">
      <c r="A307" s="23"/>
      <c r="B307" s="23"/>
      <c r="C307" s="23"/>
    </row>
    <row r="308" spans="1:16" x14ac:dyDescent="0.25">
      <c r="A308" s="23"/>
      <c r="B308" s="23"/>
      <c r="C308" s="23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</row>
    <row r="309" spans="1:16" x14ac:dyDescent="0.25">
      <c r="A309" s="23"/>
      <c r="B309" s="23"/>
      <c r="C309" s="23"/>
    </row>
    <row r="310" spans="1:16" x14ac:dyDescent="0.25">
      <c r="A310" s="23"/>
      <c r="B310" s="23"/>
      <c r="C310" s="23"/>
    </row>
    <row r="311" spans="1:16" x14ac:dyDescent="0.25">
      <c r="A311" s="23"/>
      <c r="B311" s="23"/>
      <c r="C311" s="23"/>
    </row>
    <row r="312" spans="1:16" x14ac:dyDescent="0.25">
      <c r="A312" s="23"/>
      <c r="B312" s="23"/>
      <c r="C312" s="23"/>
    </row>
    <row r="313" spans="1:16" x14ac:dyDescent="0.25">
      <c r="A313" s="23"/>
      <c r="B313" s="23"/>
      <c r="C313" s="23"/>
    </row>
    <row r="314" spans="1:16" x14ac:dyDescent="0.25">
      <c r="A314" s="23"/>
      <c r="B314" s="23"/>
      <c r="C314" s="23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</row>
    <row r="315" spans="1:16" x14ac:dyDescent="0.25">
      <c r="A315" s="23"/>
      <c r="B315" s="23"/>
      <c r="C315" s="23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</row>
    <row r="316" spans="1:16" x14ac:dyDescent="0.25">
      <c r="A316" s="23"/>
      <c r="B316" s="23"/>
      <c r="C316" s="23"/>
    </row>
    <row r="317" spans="1:16" x14ac:dyDescent="0.25">
      <c r="A317" s="23"/>
      <c r="B317" s="23"/>
      <c r="C317" s="23"/>
    </row>
    <row r="318" spans="1:16" x14ac:dyDescent="0.25">
      <c r="A318" s="23"/>
      <c r="B318" s="23"/>
      <c r="C318" s="23"/>
    </row>
    <row r="319" spans="1:16" x14ac:dyDescent="0.25">
      <c r="A319" s="23"/>
      <c r="B319" s="23"/>
      <c r="C319" s="23"/>
    </row>
    <row r="320" spans="1:16" x14ac:dyDescent="0.25">
      <c r="A320" s="23"/>
      <c r="B320" s="23"/>
      <c r="C320" s="2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</row>
    <row r="321" spans="1:16" x14ac:dyDescent="0.25">
      <c r="A321" s="23"/>
      <c r="B321" s="23"/>
      <c r="C321" s="2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</row>
    <row r="322" spans="1:16" x14ac:dyDescent="0.25">
      <c r="A322" s="23"/>
      <c r="B322" s="23"/>
      <c r="C322" s="2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</row>
    <row r="323" spans="1:16" x14ac:dyDescent="0.25">
      <c r="A323" s="23"/>
      <c r="B323" s="23"/>
      <c r="C323" s="23"/>
    </row>
    <row r="324" spans="1:16" x14ac:dyDescent="0.25">
      <c r="A324" s="23"/>
      <c r="B324" s="23"/>
      <c r="C324" s="23"/>
    </row>
    <row r="325" spans="1:16" x14ac:dyDescent="0.25">
      <c r="A325" s="23"/>
      <c r="B325" s="23"/>
      <c r="C325" s="23"/>
    </row>
  </sheetData>
  <mergeCells count="3">
    <mergeCell ref="A8:Q8"/>
    <mergeCell ref="A9:R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1CDA6-BD10-4B62-96A3-501AEDCBC531}">
  <sheetPr transitionEvaluation="1" transitionEntry="1"/>
  <dimension ref="A1:AF80"/>
  <sheetViews>
    <sheetView showGridLines="0" defaultGridColor="0" view="pageBreakPreview" colorId="8" zoomScale="82" zoomScaleNormal="75" zoomScaleSheetLayoutView="82" workbookViewId="0">
      <selection activeCell="Q28" sqref="Q28"/>
    </sheetView>
  </sheetViews>
  <sheetFormatPr defaultColWidth="11.58203125" defaultRowHeight="12.5" x14ac:dyDescent="0.25"/>
  <cols>
    <col min="1" max="1" width="4" style="1" customWidth="1"/>
    <col min="2" max="2" width="3.58203125" style="1" customWidth="1"/>
    <col min="3" max="3" width="39.25" style="1" customWidth="1"/>
    <col min="4" max="4" width="13" style="1" customWidth="1"/>
    <col min="5" max="5" width="11.5" style="1" customWidth="1"/>
    <col min="6" max="6" width="11" style="1" customWidth="1"/>
    <col min="7" max="8" width="11.33203125" style="1" customWidth="1"/>
    <col min="9" max="9" width="10.83203125" style="1" customWidth="1"/>
    <col min="10" max="10" width="11" style="1" customWidth="1"/>
    <col min="11" max="12" width="11.33203125" style="1" customWidth="1"/>
    <col min="13" max="14" width="10.83203125" style="1" customWidth="1"/>
    <col min="15" max="15" width="11" style="1" customWidth="1"/>
    <col min="16" max="16" width="11.0820312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9.58203125" style="1" bestFit="1" customWidth="1"/>
    <col min="21" max="24" width="8.5" style="1" bestFit="1" customWidth="1"/>
    <col min="25" max="32" width="3.58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21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340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2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2" x14ac:dyDescent="0.25">
      <c r="A20" s="13"/>
      <c r="B20" s="23" t="s">
        <v>313</v>
      </c>
      <c r="C20" s="23" t="s">
        <v>320</v>
      </c>
      <c r="E20" s="1">
        <v>0</v>
      </c>
      <c r="F20" s="1">
        <v>0</v>
      </c>
      <c r="G20" s="1">
        <v>0</v>
      </c>
      <c r="H20" s="1">
        <v>0</v>
      </c>
      <c r="I20" s="1">
        <f>33155.5</f>
        <v>33155.5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33155.5</v>
      </c>
    </row>
    <row r="21" spans="1:32" x14ac:dyDescent="0.25">
      <c r="A21" s="13">
        <v>2</v>
      </c>
      <c r="B21" s="23" t="s">
        <v>272</v>
      </c>
      <c r="C21" s="13"/>
      <c r="D21" s="1">
        <v>0</v>
      </c>
      <c r="E21" s="1">
        <f t="shared" ref="E21:P21" si="1">D21+E16-E17</f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27">
        <f>H21+I16-I17+I19</f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0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3</v>
      </c>
      <c r="B22" s="23" t="s">
        <v>273</v>
      </c>
      <c r="C22" s="13"/>
      <c r="D22" s="21">
        <v>-33155.497034000007</v>
      </c>
      <c r="E22" s="1">
        <f t="shared" ref="E22:P22" si="2">D22-E33-E34-E35+E17+E18-E19</f>
        <v>-33155.497034000007</v>
      </c>
      <c r="F22" s="1">
        <f t="shared" si="2"/>
        <v>-33155.497034000007</v>
      </c>
      <c r="G22" s="1">
        <f t="shared" si="2"/>
        <v>-33155.497034000007</v>
      </c>
      <c r="H22" s="1">
        <f t="shared" si="2"/>
        <v>-33155.497034000007</v>
      </c>
      <c r="I22" s="27">
        <f>H22-I33-I34-I35+I17+I18+I20</f>
        <v>2.9659999927389435E-3</v>
      </c>
      <c r="J22" s="1">
        <f t="shared" si="2"/>
        <v>2.9659999927389435E-3</v>
      </c>
      <c r="K22" s="1">
        <f t="shared" si="2"/>
        <v>2.9659999927389435E-3</v>
      </c>
      <c r="L22" s="1">
        <f t="shared" si="2"/>
        <v>2.9659999927389435E-3</v>
      </c>
      <c r="M22" s="1">
        <f t="shared" si="2"/>
        <v>2.9659999927389435E-3</v>
      </c>
      <c r="N22" s="1">
        <f t="shared" si="2"/>
        <v>2.9659999927389435E-3</v>
      </c>
      <c r="O22" s="1">
        <f t="shared" si="2"/>
        <v>2.9659999927389435E-3</v>
      </c>
      <c r="P22" s="1">
        <f t="shared" si="2"/>
        <v>2.9659999927389435E-3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4</v>
      </c>
      <c r="B23" s="23" t="s">
        <v>274</v>
      </c>
      <c r="C23" s="13"/>
      <c r="D23" s="199">
        <v>0</v>
      </c>
      <c r="E23" s="199">
        <f t="shared" ref="E23:P23" si="3">D23+E15-E16</f>
        <v>0</v>
      </c>
      <c r="F23" s="199">
        <f t="shared" si="3"/>
        <v>0</v>
      </c>
      <c r="G23" s="199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5">
      <c r="A24" s="13">
        <v>5</v>
      </c>
      <c r="B24" s="23" t="s">
        <v>275</v>
      </c>
      <c r="C24" s="13"/>
      <c r="D24" s="199">
        <f t="shared" ref="D24:P24" si="4">SUM(D21:D23)</f>
        <v>-33155.497034000007</v>
      </c>
      <c r="E24" s="199">
        <f t="shared" si="4"/>
        <v>-33155.497034000007</v>
      </c>
      <c r="F24" s="199">
        <f t="shared" si="4"/>
        <v>-33155.497034000007</v>
      </c>
      <c r="G24" s="199">
        <f t="shared" si="4"/>
        <v>-33155.497034000007</v>
      </c>
      <c r="H24" s="199">
        <f t="shared" si="4"/>
        <v>-33155.497034000007</v>
      </c>
      <c r="I24" s="199">
        <f t="shared" si="4"/>
        <v>2.9659999927389435E-3</v>
      </c>
      <c r="J24" s="199">
        <f t="shared" si="4"/>
        <v>2.9659999927389435E-3</v>
      </c>
      <c r="K24" s="199">
        <f t="shared" si="4"/>
        <v>2.9659999927389435E-3</v>
      </c>
      <c r="L24" s="199">
        <f t="shared" si="4"/>
        <v>2.9659999927389435E-3</v>
      </c>
      <c r="M24" s="199">
        <f t="shared" si="4"/>
        <v>2.9659999927389435E-3</v>
      </c>
      <c r="N24" s="199">
        <f t="shared" si="4"/>
        <v>2.9659999927389435E-3</v>
      </c>
      <c r="O24" s="199">
        <f t="shared" si="4"/>
        <v>2.9659999927389435E-3</v>
      </c>
      <c r="P24" s="199">
        <f t="shared" si="4"/>
        <v>2.9659999927389435E-3</v>
      </c>
    </row>
    <row r="25" spans="1:32" x14ac:dyDescent="0.25">
      <c r="A25" s="13"/>
      <c r="B25" s="23"/>
    </row>
    <row r="26" spans="1:32" x14ac:dyDescent="0.25">
      <c r="A26" s="13">
        <v>6</v>
      </c>
      <c r="B26" s="23" t="s">
        <v>276</v>
      </c>
      <c r="C26" s="23"/>
      <c r="E26" s="1">
        <f>(D24+E24)/2</f>
        <v>-33155.497034000007</v>
      </c>
      <c r="F26" s="1">
        <f t="shared" ref="F26:P26" si="5">(E24+F24)/2</f>
        <v>-33155.497034000007</v>
      </c>
      <c r="G26" s="1">
        <f t="shared" si="5"/>
        <v>-33155.497034000007</v>
      </c>
      <c r="H26" s="1">
        <f t="shared" si="5"/>
        <v>-33155.497034000007</v>
      </c>
      <c r="I26" s="1">
        <f t="shared" si="5"/>
        <v>-16577.747034000007</v>
      </c>
      <c r="J26" s="1">
        <f t="shared" si="5"/>
        <v>2.9659999927389435E-3</v>
      </c>
      <c r="K26" s="1">
        <f t="shared" si="5"/>
        <v>2.9659999927389435E-3</v>
      </c>
      <c r="L26" s="1">
        <f t="shared" si="5"/>
        <v>2.9659999927389435E-3</v>
      </c>
      <c r="M26" s="1">
        <f t="shared" si="5"/>
        <v>2.9659999927389435E-3</v>
      </c>
      <c r="N26" s="1">
        <f t="shared" si="5"/>
        <v>2.9659999927389435E-3</v>
      </c>
      <c r="O26" s="1">
        <f t="shared" si="5"/>
        <v>2.9659999927389435E-3</v>
      </c>
      <c r="P26" s="1">
        <f t="shared" si="5"/>
        <v>2.9659999927389435E-3</v>
      </c>
    </row>
    <row r="27" spans="1:32" x14ac:dyDescent="0.25">
      <c r="A27" s="200"/>
      <c r="B27" s="20"/>
    </row>
    <row r="28" spans="1:32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x14ac:dyDescent="0.25">
      <c r="A29" s="200"/>
      <c r="B29" s="23" t="s">
        <v>262</v>
      </c>
      <c r="C29" s="23" t="s">
        <v>278</v>
      </c>
      <c r="E29" s="1">
        <v>-152.64790834453601</v>
      </c>
      <c r="F29" s="1">
        <v>-152.64790834453601</v>
      </c>
      <c r="G29" s="1">
        <v>-152.64790834453601</v>
      </c>
      <c r="H29" s="1">
        <v>-152.64790834453601</v>
      </c>
      <c r="I29" s="1">
        <v>-76.323947344536023</v>
      </c>
      <c r="J29" s="1">
        <v>1.3655463966570095E-5</v>
      </c>
      <c r="K29" s="1">
        <v>1.42041739652268E-5</v>
      </c>
      <c r="L29" s="1">
        <v>1.42041739652268E-5</v>
      </c>
      <c r="M29" s="1">
        <v>1.42041739652268E-5</v>
      </c>
      <c r="N29" s="1">
        <v>1.42041739652268E-5</v>
      </c>
      <c r="O29" s="1">
        <v>1.42041739652268E-5</v>
      </c>
      <c r="P29" s="1">
        <v>1.42041739652268E-5</v>
      </c>
      <c r="Q29" s="1">
        <f>SUM(E29:P29)</f>
        <v>-686.91548184217197</v>
      </c>
    </row>
    <row r="30" spans="1:32" x14ac:dyDescent="0.25">
      <c r="A30" s="200"/>
      <c r="B30" s="23" t="s">
        <v>264</v>
      </c>
      <c r="C30" s="23" t="s">
        <v>279</v>
      </c>
      <c r="E30" s="1">
        <v>-38.526687553508012</v>
      </c>
      <c r="F30" s="1">
        <v>-38.526687553508012</v>
      </c>
      <c r="G30" s="1">
        <v>-38.526687553508012</v>
      </c>
      <c r="H30" s="1">
        <v>-38.526687553508012</v>
      </c>
      <c r="I30" s="1">
        <v>-19.263342053508008</v>
      </c>
      <c r="J30" s="1">
        <v>3.4464919915626525E-6</v>
      </c>
      <c r="K30" s="1">
        <v>3.1113339923831518E-6</v>
      </c>
      <c r="L30" s="1">
        <v>3.1113339923831518E-6</v>
      </c>
      <c r="M30" s="1">
        <v>3.1113339923831518E-6</v>
      </c>
      <c r="N30" s="1">
        <v>3.1113339923831518E-6</v>
      </c>
      <c r="O30" s="1">
        <v>3.1113339923831518E-6</v>
      </c>
      <c r="P30" s="1">
        <v>3.1113339923831518E-6</v>
      </c>
      <c r="Q30" s="1">
        <f>SUM(E30:P30)</f>
        <v>-173.37007015304408</v>
      </c>
    </row>
    <row r="31" spans="1:32" x14ac:dyDescent="0.25">
      <c r="A31" s="200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270</v>
      </c>
      <c r="C37" s="23" t="s">
        <v>285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199">
        <f>SUM(E37:P37)</f>
        <v>0</v>
      </c>
    </row>
    <row r="38" spans="1:17" x14ac:dyDescent="0.25">
      <c r="A38" s="200"/>
      <c r="B38" s="20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-191.174595898044</v>
      </c>
      <c r="F39" s="1">
        <f t="shared" ref="F39:P39" si="6">SUM(F29:F37)</f>
        <v>-191.174595898044</v>
      </c>
      <c r="G39" s="1">
        <f t="shared" si="6"/>
        <v>-191.174595898044</v>
      </c>
      <c r="H39" s="1">
        <f t="shared" si="6"/>
        <v>-191.174595898044</v>
      </c>
      <c r="I39" s="1">
        <f t="shared" si="6"/>
        <v>-95.587289398044035</v>
      </c>
      <c r="J39" s="1">
        <f t="shared" si="6"/>
        <v>1.7101955958132747E-5</v>
      </c>
      <c r="K39" s="1">
        <f t="shared" si="6"/>
        <v>1.7315507957609951E-5</v>
      </c>
      <c r="L39" s="1">
        <f t="shared" si="6"/>
        <v>1.7315507957609951E-5</v>
      </c>
      <c r="M39" s="1">
        <f t="shared" si="6"/>
        <v>1.7315507957609951E-5</v>
      </c>
      <c r="N39" s="1">
        <f t="shared" si="6"/>
        <v>1.7315507957609951E-5</v>
      </c>
      <c r="O39" s="1">
        <f t="shared" si="6"/>
        <v>1.7315507957609951E-5</v>
      </c>
      <c r="P39" s="1">
        <f t="shared" si="6"/>
        <v>1.7315507957609951E-5</v>
      </c>
      <c r="Q39" s="1">
        <f>SUM(E39:P39)</f>
        <v>-860.28555199521622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-14.705738146003386</v>
      </c>
      <c r="F40" s="1">
        <f t="shared" ref="F40:P40" si="7">F39*1/13</f>
        <v>-14.705738146003386</v>
      </c>
      <c r="G40" s="1">
        <f t="shared" si="7"/>
        <v>-14.705738146003386</v>
      </c>
      <c r="H40" s="1">
        <f t="shared" si="7"/>
        <v>-14.705738146003386</v>
      </c>
      <c r="I40" s="1">
        <f t="shared" si="7"/>
        <v>-7.3528684152341564</v>
      </c>
      <c r="J40" s="1">
        <f t="shared" si="7"/>
        <v>1.315535073702519E-6</v>
      </c>
      <c r="K40" s="1">
        <f t="shared" si="7"/>
        <v>1.3319621505853809E-6</v>
      </c>
      <c r="L40" s="1">
        <f t="shared" si="7"/>
        <v>1.3319621505853809E-6</v>
      </c>
      <c r="M40" s="1">
        <f t="shared" si="7"/>
        <v>1.3319621505853809E-6</v>
      </c>
      <c r="N40" s="1">
        <f t="shared" si="7"/>
        <v>1.3319621505853809E-6</v>
      </c>
      <c r="O40" s="1">
        <f t="shared" si="7"/>
        <v>1.3319621505853809E-6</v>
      </c>
      <c r="P40" s="1">
        <f t="shared" si="7"/>
        <v>1.3319621505853809E-6</v>
      </c>
      <c r="Q40" s="1">
        <f>SUM(E40:P40)</f>
        <v>-66.175811691939714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E39-E40</f>
        <v>-176.46885775204061</v>
      </c>
      <c r="F41" s="1">
        <f t="shared" si="8"/>
        <v>-176.46885775204061</v>
      </c>
      <c r="G41" s="1">
        <f t="shared" si="8"/>
        <v>-176.46885775204061</v>
      </c>
      <c r="H41" s="1">
        <f t="shared" si="8"/>
        <v>-176.46885775204061</v>
      </c>
      <c r="I41" s="1">
        <f t="shared" si="8"/>
        <v>-88.23442098280988</v>
      </c>
      <c r="J41" s="1">
        <f t="shared" si="8"/>
        <v>1.5786420884430228E-5</v>
      </c>
      <c r="K41" s="1">
        <f t="shared" si="8"/>
        <v>1.5983545807024569E-5</v>
      </c>
      <c r="L41" s="1">
        <f t="shared" si="8"/>
        <v>1.5983545807024569E-5</v>
      </c>
      <c r="M41" s="1">
        <f t="shared" si="8"/>
        <v>1.5983545807024569E-5</v>
      </c>
      <c r="N41" s="1">
        <f t="shared" si="8"/>
        <v>1.5983545807024569E-5</v>
      </c>
      <c r="O41" s="1">
        <f t="shared" si="8"/>
        <v>1.5983545807024569E-5</v>
      </c>
      <c r="P41" s="1">
        <f t="shared" si="8"/>
        <v>1.5983545807024569E-5</v>
      </c>
      <c r="Q41" s="1">
        <f>SUM(E41:P41)</f>
        <v>-794.10974030327634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-14.723385031778591</v>
      </c>
      <c r="F46" s="1">
        <v>-14.723385031778591</v>
      </c>
      <c r="G46" s="1">
        <v>-14.723385031778591</v>
      </c>
      <c r="H46" s="1">
        <v>-14.723385031778591</v>
      </c>
      <c r="I46" s="1">
        <v>-7.3616918573324384</v>
      </c>
      <c r="J46" s="1">
        <v>1.3171137157909621E-6</v>
      </c>
      <c r="K46" s="1">
        <v>1.3335605051660835E-6</v>
      </c>
      <c r="L46" s="1">
        <v>1.3335605051660835E-6</v>
      </c>
      <c r="M46" s="1">
        <v>1.3335605051660835E-6</v>
      </c>
      <c r="N46" s="1">
        <v>1.3335605051660835E-6</v>
      </c>
      <c r="O46" s="1">
        <v>1.3335605051660835E-6</v>
      </c>
      <c r="P46" s="1">
        <v>1.3335605051660835E-6</v>
      </c>
      <c r="Q46" s="1">
        <f>SUM(E46:P46)</f>
        <v>-66.255222665970052</v>
      </c>
    </row>
    <row r="47" spans="1:17" x14ac:dyDescent="0.25">
      <c r="A47" s="13">
        <v>13</v>
      </c>
      <c r="B47" s="23" t="s">
        <v>290</v>
      </c>
      <c r="E47" s="199">
        <f>E41*E44</f>
        <v>-171.58820561253509</v>
      </c>
      <c r="F47" s="199">
        <f t="shared" ref="F47:P47" si="9">F41*F44</f>
        <v>-171.58820561253509</v>
      </c>
      <c r="G47" s="199">
        <f t="shared" si="9"/>
        <v>-171.58820561253509</v>
      </c>
      <c r="H47" s="199">
        <f t="shared" si="9"/>
        <v>-171.58820561253509</v>
      </c>
      <c r="I47" s="199">
        <f t="shared" si="9"/>
        <v>-85.794095131362013</v>
      </c>
      <c r="J47" s="199">
        <f t="shared" si="9"/>
        <v>1.5349811106103274E-5</v>
      </c>
      <c r="K47" s="199">
        <f t="shared" si="9"/>
        <v>1.5541484085575948E-5</v>
      </c>
      <c r="L47" s="199">
        <f t="shared" si="9"/>
        <v>1.5541484085575948E-5</v>
      </c>
      <c r="M47" s="199">
        <f t="shared" si="9"/>
        <v>1.5541484085575948E-5</v>
      </c>
      <c r="N47" s="199">
        <f t="shared" si="9"/>
        <v>1.5541484085575948E-5</v>
      </c>
      <c r="O47" s="199">
        <f t="shared" si="9"/>
        <v>1.5541484085575948E-5</v>
      </c>
      <c r="P47" s="199">
        <f t="shared" si="9"/>
        <v>1.5541484085575948E-5</v>
      </c>
      <c r="Q47" s="199">
        <f>SUM(E47:P47)</f>
        <v>-772.14680898278664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-186.3115906443137</v>
      </c>
      <c r="F48" s="204">
        <f t="shared" si="10"/>
        <v>-186.3115906443137</v>
      </c>
      <c r="G48" s="204">
        <f t="shared" si="10"/>
        <v>-186.3115906443137</v>
      </c>
      <c r="H48" s="204">
        <f t="shared" si="10"/>
        <v>-186.3115906443137</v>
      </c>
      <c r="I48" s="204">
        <f t="shared" si="10"/>
        <v>-93.155786988694445</v>
      </c>
      <c r="J48" s="204">
        <f t="shared" si="10"/>
        <v>1.6666924821894236E-5</v>
      </c>
      <c r="K48" s="204">
        <f t="shared" si="10"/>
        <v>1.6875044590742032E-5</v>
      </c>
      <c r="L48" s="204">
        <f t="shared" si="10"/>
        <v>1.6875044590742032E-5</v>
      </c>
      <c r="M48" s="204">
        <f t="shared" si="10"/>
        <v>1.6875044590742032E-5</v>
      </c>
      <c r="N48" s="204">
        <f t="shared" si="10"/>
        <v>1.6875044590742032E-5</v>
      </c>
      <c r="O48" s="204">
        <f t="shared" si="10"/>
        <v>1.6875044590742032E-5</v>
      </c>
      <c r="P48" s="204">
        <f t="shared" si="10"/>
        <v>1.6875044590742032E-5</v>
      </c>
      <c r="Q48" s="204">
        <f t="shared" si="10"/>
        <v>-838.40203164875675</v>
      </c>
    </row>
    <row r="49" spans="1:2" ht="13" thickTop="1" x14ac:dyDescent="0.25">
      <c r="A49" s="200"/>
      <c r="B49" s="20"/>
    </row>
    <row r="50" spans="1:2" x14ac:dyDescent="0.25">
      <c r="A50" s="210" t="s">
        <v>76</v>
      </c>
      <c r="B50" s="23"/>
    </row>
    <row r="51" spans="1:2" x14ac:dyDescent="0.25">
      <c r="A51" s="23" t="s">
        <v>168</v>
      </c>
      <c r="B51" s="228" t="s">
        <v>327</v>
      </c>
    </row>
    <row r="52" spans="1:2" x14ac:dyDescent="0.25">
      <c r="A52" s="23" t="s">
        <v>170</v>
      </c>
      <c r="B52" s="23" t="s">
        <v>293</v>
      </c>
    </row>
    <row r="53" spans="1:2" x14ac:dyDescent="0.25">
      <c r="A53" s="23" t="s">
        <v>255</v>
      </c>
      <c r="B53" s="23" t="s">
        <v>294</v>
      </c>
    </row>
    <row r="54" spans="1:2" x14ac:dyDescent="0.25">
      <c r="A54" s="23" t="s">
        <v>295</v>
      </c>
      <c r="B54" s="23" t="s">
        <v>296</v>
      </c>
    </row>
    <row r="55" spans="1:2" x14ac:dyDescent="0.25">
      <c r="A55" s="23" t="s">
        <v>297</v>
      </c>
      <c r="B55" s="11" t="s">
        <v>298</v>
      </c>
    </row>
    <row r="56" spans="1:2" x14ac:dyDescent="0.25">
      <c r="A56" s="23" t="s">
        <v>299</v>
      </c>
      <c r="B56" s="23" t="s">
        <v>300</v>
      </c>
    </row>
    <row r="57" spans="1:2" x14ac:dyDescent="0.25">
      <c r="A57" s="23" t="s">
        <v>301</v>
      </c>
      <c r="B57" s="23" t="s">
        <v>302</v>
      </c>
    </row>
    <row r="58" spans="1:2" x14ac:dyDescent="0.25">
      <c r="A58" s="23" t="s">
        <v>303</v>
      </c>
      <c r="B58" s="23" t="s">
        <v>304</v>
      </c>
    </row>
    <row r="59" spans="1:2" x14ac:dyDescent="0.25">
      <c r="A59" s="23" t="s">
        <v>305</v>
      </c>
      <c r="B59" s="23" t="s">
        <v>306</v>
      </c>
    </row>
    <row r="60" spans="1:2" x14ac:dyDescent="0.25">
      <c r="A60" s="11" t="s">
        <v>307</v>
      </c>
      <c r="B60" s="23" t="s">
        <v>308</v>
      </c>
    </row>
    <row r="61" spans="1:2" x14ac:dyDescent="0.25">
      <c r="A61" s="11" t="s">
        <v>309</v>
      </c>
      <c r="B61" s="23" t="s">
        <v>310</v>
      </c>
    </row>
    <row r="62" spans="1:2" x14ac:dyDescent="0.25">
      <c r="B62" s="23"/>
    </row>
    <row r="63" spans="1:2" x14ac:dyDescent="0.25">
      <c r="B63" s="23"/>
    </row>
    <row r="64" spans="1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8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2A5D-6858-4C59-869E-1ED8027B4D66}">
  <dimension ref="A1:XFD364"/>
  <sheetViews>
    <sheetView showGridLines="0" defaultGridColor="0" view="pageBreakPreview" colorId="8" zoomScale="85" zoomScaleNormal="100" zoomScaleSheetLayoutView="85" workbookViewId="0">
      <selection activeCell="Q28" sqref="Q28"/>
    </sheetView>
  </sheetViews>
  <sheetFormatPr defaultColWidth="8.75" defaultRowHeight="12.5" x14ac:dyDescent="0.25"/>
  <cols>
    <col min="1" max="1" width="4.58203125" style="1" customWidth="1"/>
    <col min="2" max="2" width="3.58203125" style="1" customWidth="1"/>
    <col min="3" max="3" width="38" style="1" customWidth="1"/>
    <col min="4" max="4" width="13.58203125" style="1" customWidth="1"/>
    <col min="5" max="5" width="13.75" style="1" customWidth="1"/>
    <col min="6" max="6" width="11.5" style="1" customWidth="1"/>
    <col min="7" max="8" width="11.58203125" style="1" customWidth="1"/>
    <col min="9" max="9" width="11.75" style="1" customWidth="1"/>
    <col min="10" max="10" width="12.5" style="1" customWidth="1"/>
    <col min="11" max="11" width="12" style="1" customWidth="1"/>
    <col min="12" max="12" width="13.75" style="1" customWidth="1"/>
    <col min="13" max="13" width="12.83203125" style="1" customWidth="1"/>
    <col min="14" max="15" width="11.58203125" style="1" bestFit="1" customWidth="1"/>
    <col min="16" max="16" width="12.83203125" style="1" customWidth="1"/>
    <col min="17" max="17" width="12.08203125" style="1" customWidth="1"/>
    <col min="18" max="18" width="3.58203125" style="1" customWidth="1"/>
    <col min="19" max="19" width="8.83203125" style="1" bestFit="1" customWidth="1"/>
    <col min="20" max="20" width="6.33203125" style="1" bestFit="1" customWidth="1"/>
    <col min="21" max="22" width="11.58203125" style="1" bestFit="1" customWidth="1"/>
    <col min="23" max="24" width="8.75" style="1"/>
    <col min="25" max="37" width="12.08203125" style="1" bestFit="1" customWidth="1"/>
    <col min="38" max="16384" width="8.75" style="1"/>
  </cols>
  <sheetData>
    <row r="1" spans="1:22" ht="13" x14ac:dyDescent="0.3">
      <c r="Q1" s="2"/>
    </row>
    <row r="2" spans="1:22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22</v>
      </c>
    </row>
    <row r="3" spans="1:22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2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2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2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2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2" x14ac:dyDescent="0.25">
      <c r="A8" s="211" t="s">
        <v>341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2" hidden="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22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2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2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2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2" x14ac:dyDescent="0.25">
      <c r="A14" s="13">
        <v>1</v>
      </c>
      <c r="B14" s="23" t="s">
        <v>261</v>
      </c>
      <c r="C14" s="13"/>
    </row>
    <row r="15" spans="1:22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  <c r="U15" s="13"/>
      <c r="V15" s="13"/>
    </row>
    <row r="16" spans="1:22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  <c r="U16" s="5"/>
      <c r="V16" s="5"/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13895638.689999999</v>
      </c>
      <c r="O17" s="1">
        <v>0</v>
      </c>
      <c r="P17" s="1">
        <v>0</v>
      </c>
      <c r="Q17" s="1">
        <f t="shared" si="0"/>
        <v>13895638.689999999</v>
      </c>
    </row>
    <row r="18" spans="1:16384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si="0"/>
        <v>0</v>
      </c>
    </row>
    <row r="19" spans="1:16384" x14ac:dyDescent="0.25">
      <c r="A19" s="13"/>
      <c r="B19" s="23" t="s">
        <v>270</v>
      </c>
      <c r="C19" s="23" t="s">
        <v>342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343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-7632753.0821833331</v>
      </c>
      <c r="O20" s="1">
        <v>0</v>
      </c>
      <c r="P20" s="1">
        <v>0</v>
      </c>
      <c r="Q20" s="1">
        <f t="shared" si="0"/>
        <v>-7632753.0821833331</v>
      </c>
    </row>
    <row r="21" spans="1:16384" x14ac:dyDescent="0.25">
      <c r="A21" s="13">
        <v>2</v>
      </c>
      <c r="B21" s="23" t="s">
        <v>272</v>
      </c>
      <c r="C21" s="13"/>
      <c r="D21" s="1">
        <v>13895638.689999999</v>
      </c>
      <c r="E21" s="1">
        <f t="shared" ref="E21:P21" si="1">D21+E16-E17</f>
        <v>13895638.689999999</v>
      </c>
      <c r="F21" s="1">
        <f t="shared" si="1"/>
        <v>13895638.689999999</v>
      </c>
      <c r="G21" s="1">
        <f t="shared" si="1"/>
        <v>13895638.689999999</v>
      </c>
      <c r="H21" s="1">
        <f t="shared" si="1"/>
        <v>13895638.689999999</v>
      </c>
      <c r="I21" s="1">
        <f t="shared" si="1"/>
        <v>13895638.689999999</v>
      </c>
      <c r="J21" s="1">
        <f t="shared" si="1"/>
        <v>13895638.689999999</v>
      </c>
      <c r="K21" s="1">
        <f t="shared" si="1"/>
        <v>13895638.689999999</v>
      </c>
      <c r="L21" s="1">
        <f t="shared" si="1"/>
        <v>13895638.689999999</v>
      </c>
      <c r="M21" s="1">
        <f>L21+M16-M17</f>
        <v>13895638.689999999</v>
      </c>
      <c r="N21" s="1">
        <f t="shared" si="1"/>
        <v>0</v>
      </c>
      <c r="O21" s="1">
        <f t="shared" si="1"/>
        <v>0</v>
      </c>
      <c r="P21" s="1">
        <f t="shared" si="1"/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1:16384" x14ac:dyDescent="0.25">
      <c r="A22" s="13">
        <v>3</v>
      </c>
      <c r="B22" s="23" t="s">
        <v>273</v>
      </c>
      <c r="C22" s="13"/>
      <c r="D22" s="21">
        <v>-5822857.0936567886</v>
      </c>
      <c r="E22" s="1">
        <f t="shared" ref="E22:P22" si="2">D22-E34-E35-E36+E17+E18-E19</f>
        <v>-5869175.8888269337</v>
      </c>
      <c r="F22" s="1">
        <f t="shared" si="2"/>
        <v>-5915494.6839970788</v>
      </c>
      <c r="G22" s="1">
        <f t="shared" si="2"/>
        <v>-5961813.4791672239</v>
      </c>
      <c r="H22" s="1">
        <f t="shared" si="2"/>
        <v>-6008132.274337369</v>
      </c>
      <c r="I22" s="1">
        <f t="shared" si="2"/>
        <v>-6054451.0695075141</v>
      </c>
      <c r="J22" s="1">
        <f t="shared" si="2"/>
        <v>-6100769.8646776592</v>
      </c>
      <c r="K22" s="1">
        <f t="shared" si="2"/>
        <v>-6147088.6598478043</v>
      </c>
      <c r="L22" s="1">
        <f t="shared" si="2"/>
        <v>-6193407.4550179495</v>
      </c>
      <c r="M22" s="1">
        <f>L22-M34-M35-M36+M17+M18-M19</f>
        <v>-6239726.2501880946</v>
      </c>
      <c r="N22" s="1">
        <f>M22-N34-N35-N36+N17+N18-N19+N20</f>
        <v>-3.9956500753760338E-2</v>
      </c>
      <c r="O22" s="1">
        <f>N22-O34-O35-O36+O17+O18-O19</f>
        <v>-3.9956500753760338E-2</v>
      </c>
      <c r="P22" s="1">
        <f t="shared" si="2"/>
        <v>-3.9956500753760338E-2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7632753.0821833331</v>
      </c>
      <c r="O23" s="1">
        <f>N23</f>
        <v>7632753.0821833331</v>
      </c>
      <c r="P23" s="1">
        <f>O23</f>
        <v>7632753.0821833331</v>
      </c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99">
        <v>0</v>
      </c>
      <c r="E24" s="199">
        <f t="shared" ref="E24:P24" si="3">D24+E15-E16</f>
        <v>0</v>
      </c>
      <c r="F24" s="199">
        <f t="shared" si="3"/>
        <v>0</v>
      </c>
      <c r="G24" s="199">
        <f t="shared" si="3"/>
        <v>0</v>
      </c>
      <c r="H24" s="199">
        <f t="shared" si="3"/>
        <v>0</v>
      </c>
      <c r="I24" s="199">
        <f t="shared" si="3"/>
        <v>0</v>
      </c>
      <c r="J24" s="199">
        <f t="shared" si="3"/>
        <v>0</v>
      </c>
      <c r="K24" s="199">
        <f t="shared" si="3"/>
        <v>0</v>
      </c>
      <c r="L24" s="199">
        <f t="shared" si="3"/>
        <v>0</v>
      </c>
      <c r="M24" s="199">
        <f t="shared" si="3"/>
        <v>0</v>
      </c>
      <c r="N24" s="199">
        <f t="shared" si="3"/>
        <v>0</v>
      </c>
      <c r="O24" s="199">
        <f t="shared" si="3"/>
        <v>0</v>
      </c>
      <c r="P24" s="199">
        <f t="shared" si="3"/>
        <v>0</v>
      </c>
      <c r="Y24" s="1">
        <f>SUM(Z24:AK24)</f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1:16384" x14ac:dyDescent="0.25">
      <c r="A25" s="13">
        <v>5</v>
      </c>
      <c r="B25" s="23" t="s">
        <v>275</v>
      </c>
      <c r="C25" s="13"/>
      <c r="D25" s="199">
        <f t="shared" ref="D25:P25" si="4">SUM(D21:D24)</f>
        <v>8072781.5963432109</v>
      </c>
      <c r="E25" s="199">
        <f t="shared" si="4"/>
        <v>8026462.8011730658</v>
      </c>
      <c r="F25" s="199">
        <f t="shared" si="4"/>
        <v>7980144.0060029207</v>
      </c>
      <c r="G25" s="199">
        <f t="shared" si="4"/>
        <v>7933825.2108327756</v>
      </c>
      <c r="H25" s="199">
        <f t="shared" si="4"/>
        <v>7887506.4156626305</v>
      </c>
      <c r="I25" s="199">
        <f t="shared" si="4"/>
        <v>7841187.6204924854</v>
      </c>
      <c r="J25" s="199">
        <f t="shared" si="4"/>
        <v>7794868.8253223402</v>
      </c>
      <c r="K25" s="199">
        <f t="shared" si="4"/>
        <v>7748550.0301521951</v>
      </c>
      <c r="L25" s="199">
        <f t="shared" si="4"/>
        <v>7702231.23498205</v>
      </c>
      <c r="M25" s="199">
        <f t="shared" si="4"/>
        <v>7655912.4398119049</v>
      </c>
      <c r="N25" s="199">
        <f t="shared" si="4"/>
        <v>7632753.0422268324</v>
      </c>
      <c r="O25" s="199">
        <f t="shared" si="4"/>
        <v>7632753.0422268324</v>
      </c>
      <c r="P25" s="199">
        <f t="shared" si="4"/>
        <v>7632753.0422268324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8049622.1987581383</v>
      </c>
      <c r="F27" s="1">
        <f t="shared" ref="F27:P27" si="5">(E25+F25)/2</f>
        <v>8003303.4035879932</v>
      </c>
      <c r="G27" s="1">
        <f t="shared" si="5"/>
        <v>7956984.6084178481</v>
      </c>
      <c r="H27" s="1">
        <f t="shared" si="5"/>
        <v>7910665.813247703</v>
      </c>
      <c r="I27" s="1">
        <f t="shared" si="5"/>
        <v>7864347.0180775579</v>
      </c>
      <c r="J27" s="1">
        <f t="shared" si="5"/>
        <v>7818028.2229074128</v>
      </c>
      <c r="K27" s="1">
        <f t="shared" si="5"/>
        <v>7771709.4277372677</v>
      </c>
      <c r="L27" s="1">
        <f t="shared" si="5"/>
        <v>7725390.6325671226</v>
      </c>
      <c r="M27" s="1">
        <f t="shared" si="5"/>
        <v>7679071.8373969775</v>
      </c>
      <c r="N27" s="1">
        <f t="shared" si="5"/>
        <v>7644332.7410193682</v>
      </c>
      <c r="O27" s="1">
        <f t="shared" si="5"/>
        <v>7632753.0422268324</v>
      </c>
      <c r="P27" s="1">
        <f t="shared" si="5"/>
        <v>7632753.0422268324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37060.460603082465</v>
      </c>
      <c r="F30" s="1">
        <v>36847.208870119117</v>
      </c>
      <c r="G30" s="1">
        <v>36633.957137155769</v>
      </c>
      <c r="H30" s="1">
        <v>36420.70540419242</v>
      </c>
      <c r="I30" s="1">
        <v>36207.453671229072</v>
      </c>
      <c r="J30" s="1">
        <v>35994.201938265724</v>
      </c>
      <c r="K30" s="1">
        <v>37218.71644943377</v>
      </c>
      <c r="L30" s="1">
        <v>36996.89573936395</v>
      </c>
      <c r="M30" s="1">
        <v>36775.075029294123</v>
      </c>
      <c r="N30" s="1">
        <v>36608.709496741751</v>
      </c>
      <c r="O30" s="1">
        <v>36553.254319224296</v>
      </c>
      <c r="P30" s="1">
        <v>36553.254319224296</v>
      </c>
      <c r="Q30" s="1">
        <f>ROUND(SUM(E30:P30),2)</f>
        <v>439869.89</v>
      </c>
    </row>
    <row r="31" spans="1:16384" x14ac:dyDescent="0.25">
      <c r="A31" s="200"/>
      <c r="B31" s="23" t="s">
        <v>264</v>
      </c>
      <c r="C31" s="23" t="s">
        <v>279</v>
      </c>
      <c r="E31" s="1">
        <v>9353.6609949569574</v>
      </c>
      <c r="F31" s="1">
        <v>9299.8385549692484</v>
      </c>
      <c r="G31" s="1">
        <v>9246.0161149815394</v>
      </c>
      <c r="H31" s="1">
        <v>9192.1936749938322</v>
      </c>
      <c r="I31" s="1">
        <v>9138.3712350061232</v>
      </c>
      <c r="J31" s="1">
        <v>9084.5487950184142</v>
      </c>
      <c r="K31" s="1">
        <v>8152.5231896963942</v>
      </c>
      <c r="L31" s="1">
        <v>8103.9347735629117</v>
      </c>
      <c r="M31" s="1">
        <v>8055.3463574294292</v>
      </c>
      <c r="N31" s="1">
        <v>8018.9050453293175</v>
      </c>
      <c r="O31" s="1">
        <v>8006.7579412959476</v>
      </c>
      <c r="P31" s="1">
        <v>8006.7579412959476</v>
      </c>
      <c r="Q31" s="1">
        <f>ROUND(SUM(E31:P31),2)</f>
        <v>103658.85</v>
      </c>
    </row>
    <row r="32" spans="1:16384" x14ac:dyDescent="0.25">
      <c r="A32" s="200"/>
      <c r="B32" s="202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E34" s="1">
        <v>46318.795170145371</v>
      </c>
      <c r="F34" s="1">
        <v>46318.795170145371</v>
      </c>
      <c r="G34" s="1">
        <v>46318.795170145371</v>
      </c>
      <c r="H34" s="1">
        <v>46318.795170145371</v>
      </c>
      <c r="I34" s="1">
        <v>46318.795170145371</v>
      </c>
      <c r="J34" s="1">
        <v>46318.795170145371</v>
      </c>
      <c r="K34" s="1">
        <v>46318.795170145371</v>
      </c>
      <c r="L34" s="1">
        <v>46318.795170145371</v>
      </c>
      <c r="M34" s="1">
        <v>46318.795170145371</v>
      </c>
      <c r="N34" s="1">
        <v>23159.397585072686</v>
      </c>
      <c r="O34" s="1">
        <v>0</v>
      </c>
      <c r="P34" s="1">
        <v>0</v>
      </c>
      <c r="Q34" s="1">
        <f>ROUND(SUM(E34:P34),2)</f>
        <v>440028.55</v>
      </c>
    </row>
    <row r="35" spans="1:17" x14ac:dyDescent="0.25">
      <c r="A35" s="200"/>
      <c r="B35" s="23" t="s">
        <v>264</v>
      </c>
      <c r="C35" s="23" t="s">
        <v>282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ROUND(SUM(E35:P35),2)</f>
        <v>0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ROUND(SUM(E36:P36),2)</f>
        <v>0</v>
      </c>
    </row>
    <row r="37" spans="1:17" x14ac:dyDescent="0.25">
      <c r="A37" s="200"/>
      <c r="B37" s="23" t="s">
        <v>268</v>
      </c>
      <c r="C37" s="23" t="s">
        <v>284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ROUND(SUM(E37:P37),2)</f>
        <v>0</v>
      </c>
    </row>
    <row r="38" spans="1:17" x14ac:dyDescent="0.25">
      <c r="A38" s="200"/>
      <c r="B38" s="23" t="s">
        <v>270</v>
      </c>
      <c r="C38" s="23" t="s">
        <v>285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36">
        <v>0</v>
      </c>
      <c r="P38" s="236">
        <v>0</v>
      </c>
      <c r="Q38" s="236">
        <f>ROUND(SUM(E38:P38),2)</f>
        <v>0</v>
      </c>
    </row>
    <row r="39" spans="1:17" x14ac:dyDescent="0.25">
      <c r="A39" s="200"/>
      <c r="B39" s="202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92732.91676818479</v>
      </c>
      <c r="F40" s="1">
        <f t="shared" ref="F40:P40" si="6">SUM(F30:F38)</f>
        <v>92465.842595233727</v>
      </c>
      <c r="G40" s="1">
        <f t="shared" si="6"/>
        <v>92198.768422282679</v>
      </c>
      <c r="H40" s="1">
        <f t="shared" si="6"/>
        <v>91931.694249331631</v>
      </c>
      <c r="I40" s="1">
        <f t="shared" si="6"/>
        <v>91664.620076380568</v>
      </c>
      <c r="J40" s="1">
        <f t="shared" si="6"/>
        <v>91397.545903429505</v>
      </c>
      <c r="K40" s="1">
        <f t="shared" si="6"/>
        <v>91690.03480927553</v>
      </c>
      <c r="L40" s="1">
        <f t="shared" si="6"/>
        <v>91419.625683072227</v>
      </c>
      <c r="M40" s="1">
        <f t="shared" si="6"/>
        <v>91149.216556868923</v>
      </c>
      <c r="N40" s="1">
        <f t="shared" si="6"/>
        <v>67787.012127143753</v>
      </c>
      <c r="O40" s="1">
        <f t="shared" si="6"/>
        <v>44560.012260520241</v>
      </c>
      <c r="P40" s="1">
        <f t="shared" si="6"/>
        <v>44560.012260520241</v>
      </c>
      <c r="Q40" s="1">
        <f>SUM(E40:P40)</f>
        <v>983557.30171224382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7133.3012898603683</v>
      </c>
      <c r="F41" s="1">
        <f t="shared" ref="F41:P41" si="7">F40*1/13</f>
        <v>7112.7571227102871</v>
      </c>
      <c r="G41" s="1">
        <f t="shared" si="7"/>
        <v>7092.212955560206</v>
      </c>
      <c r="H41" s="1">
        <f t="shared" si="7"/>
        <v>7071.6687884101257</v>
      </c>
      <c r="I41" s="1">
        <f t="shared" si="7"/>
        <v>7051.1246212600436</v>
      </c>
      <c r="J41" s="1">
        <f t="shared" si="7"/>
        <v>7030.5804541099624</v>
      </c>
      <c r="K41" s="1">
        <f t="shared" si="7"/>
        <v>7053.0796007135023</v>
      </c>
      <c r="L41" s="1">
        <f t="shared" si="7"/>
        <v>7032.278898697864</v>
      </c>
      <c r="M41" s="1">
        <f t="shared" si="7"/>
        <v>7011.4781966822247</v>
      </c>
      <c r="N41" s="1">
        <f t="shared" si="7"/>
        <v>5214.3855482418276</v>
      </c>
      <c r="O41" s="1">
        <f t="shared" si="7"/>
        <v>3427.6932508092495</v>
      </c>
      <c r="P41" s="1">
        <f t="shared" si="7"/>
        <v>3427.6932508092495</v>
      </c>
      <c r="Q41" s="1">
        <f>SUM(E41:P41)</f>
        <v>75658.253977864893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E40-E41</f>
        <v>85599.615478324427</v>
      </c>
      <c r="F42" s="1">
        <f t="shared" si="8"/>
        <v>85353.085472523439</v>
      </c>
      <c r="G42" s="1">
        <f t="shared" si="8"/>
        <v>85106.555466722479</v>
      </c>
      <c r="H42" s="1">
        <f t="shared" si="8"/>
        <v>84860.025460921504</v>
      </c>
      <c r="I42" s="1">
        <f t="shared" si="8"/>
        <v>84613.49545512053</v>
      </c>
      <c r="J42" s="1">
        <f t="shared" si="8"/>
        <v>84366.965449319541</v>
      </c>
      <c r="K42" s="1">
        <f t="shared" si="8"/>
        <v>84636.955208562023</v>
      </c>
      <c r="L42" s="1">
        <f t="shared" si="8"/>
        <v>84387.346784374357</v>
      </c>
      <c r="M42" s="1">
        <f t="shared" si="8"/>
        <v>84137.738360186704</v>
      </c>
      <c r="N42" s="1">
        <f t="shared" si="8"/>
        <v>62572.626578901923</v>
      </c>
      <c r="O42" s="1">
        <f t="shared" si="8"/>
        <v>41132.319009710991</v>
      </c>
      <c r="P42" s="1">
        <f t="shared" si="8"/>
        <v>41132.319009710991</v>
      </c>
      <c r="Q42" s="1">
        <f>SUM(E42:P42)</f>
        <v>907899.04773437884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7141.8612514082015</v>
      </c>
      <c r="F47" s="1">
        <v>7121.2924312575406</v>
      </c>
      <c r="G47" s="1">
        <v>7100.7236111068787</v>
      </c>
      <c r="H47" s="1">
        <v>7080.1547909562187</v>
      </c>
      <c r="I47" s="1">
        <v>7059.5859708055559</v>
      </c>
      <c r="J47" s="1">
        <v>7039.017150654895</v>
      </c>
      <c r="K47" s="1">
        <v>7061.5432962343593</v>
      </c>
      <c r="L47" s="1">
        <v>7040.7176333763018</v>
      </c>
      <c r="M47" s="1">
        <v>7019.8919705182443</v>
      </c>
      <c r="N47" s="1">
        <v>5220.6428108997179</v>
      </c>
      <c r="O47" s="1">
        <v>3431.8064827102207</v>
      </c>
      <c r="P47" s="1">
        <v>3431.8064827102207</v>
      </c>
      <c r="Q47" s="1">
        <f>SUM(E47:P47)</f>
        <v>75749.043882638347</v>
      </c>
    </row>
    <row r="48" spans="1:17" x14ac:dyDescent="0.25">
      <c r="A48" s="13">
        <v>13</v>
      </c>
      <c r="B48" s="23" t="s">
        <v>290</v>
      </c>
      <c r="E48" s="199">
        <f>E42*E45</f>
        <v>83232.16123315577</v>
      </c>
      <c r="F48" s="199">
        <f t="shared" ref="F48:P48" si="9">F42*F45</f>
        <v>82992.44958168421</v>
      </c>
      <c r="G48" s="199">
        <f t="shared" si="9"/>
        <v>82752.737930212694</v>
      </c>
      <c r="H48" s="199">
        <f t="shared" si="9"/>
        <v>82513.026278741163</v>
      </c>
      <c r="I48" s="199">
        <f t="shared" si="9"/>
        <v>82273.314627269632</v>
      </c>
      <c r="J48" s="199">
        <f t="shared" si="9"/>
        <v>82033.602975798072</v>
      </c>
      <c r="K48" s="199">
        <f t="shared" si="9"/>
        <v>82296.125547272255</v>
      </c>
      <c r="L48" s="199">
        <f t="shared" si="9"/>
        <v>82053.42061815488</v>
      </c>
      <c r="M48" s="199">
        <f t="shared" si="9"/>
        <v>81810.715689037519</v>
      </c>
      <c r="N48" s="199">
        <f t="shared" si="9"/>
        <v>60842.036673821262</v>
      </c>
      <c r="O48" s="199">
        <f t="shared" si="9"/>
        <v>39994.710123163713</v>
      </c>
      <c r="P48" s="199">
        <f t="shared" si="9"/>
        <v>39994.710123163713</v>
      </c>
      <c r="Q48" s="199">
        <f>SUM(E48:P48)</f>
        <v>882789.01140147494</v>
      </c>
    </row>
    <row r="49" spans="1:17" ht="13" thickBot="1" x14ac:dyDescent="0.3">
      <c r="A49" s="13">
        <v>14</v>
      </c>
      <c r="B49" s="23" t="s">
        <v>291</v>
      </c>
      <c r="E49" s="204">
        <f t="shared" ref="E49:Q49" si="10">E47+E48</f>
        <v>90374.022484563975</v>
      </c>
      <c r="F49" s="204">
        <f t="shared" si="10"/>
        <v>90113.742012941744</v>
      </c>
      <c r="G49" s="204">
        <f t="shared" si="10"/>
        <v>89853.461541319572</v>
      </c>
      <c r="H49" s="204">
        <f t="shared" si="10"/>
        <v>89593.181069697384</v>
      </c>
      <c r="I49" s="204">
        <f t="shared" si="10"/>
        <v>89332.900598075183</v>
      </c>
      <c r="J49" s="204">
        <f t="shared" si="10"/>
        <v>89072.620126452966</v>
      </c>
      <c r="K49" s="204">
        <f t="shared" si="10"/>
        <v>89357.668843506617</v>
      </c>
      <c r="L49" s="204">
        <f t="shared" si="10"/>
        <v>89094.138251531185</v>
      </c>
      <c r="M49" s="204">
        <f t="shared" si="10"/>
        <v>88830.607659555768</v>
      </c>
      <c r="N49" s="204">
        <f t="shared" si="10"/>
        <v>66062.679484720982</v>
      </c>
      <c r="O49" s="204">
        <f t="shared" si="10"/>
        <v>43426.516605873934</v>
      </c>
      <c r="P49" s="204">
        <f t="shared" si="10"/>
        <v>43426.516605873934</v>
      </c>
      <c r="Q49" s="204">
        <f t="shared" si="10"/>
        <v>958538.05528411327</v>
      </c>
    </row>
    <row r="50" spans="1:17" ht="13" thickTop="1" x14ac:dyDescent="0.25">
      <c r="A50" s="200"/>
      <c r="B50" s="200"/>
    </row>
    <row r="51" spans="1:17" x14ac:dyDescent="0.25">
      <c r="A51" s="210" t="s">
        <v>76</v>
      </c>
      <c r="B51" s="13"/>
    </row>
    <row r="52" spans="1:17" x14ac:dyDescent="0.25">
      <c r="A52" s="23" t="s">
        <v>168</v>
      </c>
      <c r="B52" s="23" t="s">
        <v>292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23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x14ac:dyDescent="0.25">
      <c r="A61" s="11" t="s">
        <v>307</v>
      </c>
      <c r="B61" s="23" t="s">
        <v>308</v>
      </c>
    </row>
    <row r="62" spans="1:17" ht="13" x14ac:dyDescent="0.3">
      <c r="A62" s="11" t="s">
        <v>309</v>
      </c>
      <c r="B62" s="23" t="s">
        <v>310</v>
      </c>
      <c r="Q62" s="226"/>
    </row>
    <row r="63" spans="1:17" x14ac:dyDescent="0.25">
      <c r="Q63" s="16"/>
    </row>
    <row r="64" spans="1:17" ht="13" x14ac:dyDescent="0.3">
      <c r="B64" s="187"/>
      <c r="C64" s="188"/>
      <c r="D64" s="188"/>
      <c r="E64" s="188"/>
      <c r="F64" s="188"/>
      <c r="G64" s="188"/>
      <c r="H64" s="187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188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23"/>
    </row>
    <row r="71" spans="1:17" x14ac:dyDescent="0.25">
      <c r="B71" s="206"/>
      <c r="C71" s="188"/>
      <c r="D71" s="188"/>
      <c r="E71" s="188"/>
      <c r="F71" s="188"/>
      <c r="G71" s="188"/>
      <c r="H71" s="10"/>
      <c r="I71" s="230"/>
    </row>
    <row r="72" spans="1:17" x14ac:dyDescent="0.25">
      <c r="B72" s="206"/>
      <c r="C72" s="188"/>
      <c r="D72" s="188"/>
      <c r="E72" s="188"/>
      <c r="F72" s="188"/>
      <c r="G72" s="188"/>
      <c r="H72" s="10"/>
      <c r="I72" s="230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2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  <c r="C86" s="13"/>
    </row>
    <row r="87" spans="1:16" x14ac:dyDescent="0.25">
      <c r="A87" s="13"/>
      <c r="B87" s="23"/>
    </row>
    <row r="88" spans="1:16" x14ac:dyDescent="0.25">
      <c r="A88" s="13"/>
      <c r="B88" s="23"/>
      <c r="C88" s="23"/>
    </row>
    <row r="89" spans="1:16" x14ac:dyDescent="0.25">
      <c r="A89" s="200"/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A91" s="200"/>
      <c r="B91" s="23"/>
      <c r="C91" s="23"/>
    </row>
    <row r="92" spans="1:16" x14ac:dyDescent="0.25">
      <c r="A92" s="200"/>
      <c r="B92" s="23"/>
      <c r="C92" s="23"/>
    </row>
    <row r="93" spans="1:16" x14ac:dyDescent="0.25">
      <c r="A93" s="200"/>
      <c r="B93" s="202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x14ac:dyDescent="0.25">
      <c r="A94" s="13"/>
      <c r="B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7" x14ac:dyDescent="0.25">
      <c r="A97" s="200"/>
      <c r="B97" s="23"/>
      <c r="C97" s="23"/>
    </row>
    <row r="98" spans="1:17" x14ac:dyDescent="0.25">
      <c r="A98" s="200"/>
      <c r="B98" s="23"/>
      <c r="C98" s="23"/>
    </row>
    <row r="99" spans="1:17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</row>
    <row r="100" spans="1:17" x14ac:dyDescent="0.25">
      <c r="A100" s="200"/>
      <c r="B100" s="202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7" x14ac:dyDescent="0.25">
      <c r="A101" s="13"/>
      <c r="B101" s="23"/>
    </row>
    <row r="102" spans="1:17" x14ac:dyDescent="0.25">
      <c r="A102" s="200"/>
      <c r="B102" s="23"/>
      <c r="C102" s="23"/>
    </row>
    <row r="103" spans="1:17" x14ac:dyDescent="0.25">
      <c r="A103" s="200"/>
      <c r="B103" s="23"/>
      <c r="C103" s="23"/>
    </row>
    <row r="104" spans="1:17" x14ac:dyDescent="0.25">
      <c r="A104" s="200"/>
      <c r="B104" s="20"/>
      <c r="C104" s="202"/>
    </row>
    <row r="105" spans="1:17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7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7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7" x14ac:dyDescent="0.25">
      <c r="A108" s="13"/>
      <c r="B108" s="23"/>
    </row>
    <row r="109" spans="1:17" x14ac:dyDescent="0.25">
      <c r="A109" s="13"/>
      <c r="B109" s="23"/>
    </row>
    <row r="110" spans="1:17" x14ac:dyDescent="0.25">
      <c r="A110" s="13"/>
      <c r="B110" s="23"/>
    </row>
    <row r="111" spans="1:17" x14ac:dyDescent="0.25">
      <c r="A111" s="200"/>
      <c r="B111" s="200"/>
    </row>
    <row r="113" spans="1:17" ht="13" x14ac:dyDescent="0.3">
      <c r="Q113" s="226"/>
    </row>
    <row r="114" spans="1:17" x14ac:dyDescent="0.25">
      <c r="Q114" s="16"/>
    </row>
    <row r="115" spans="1:17" ht="13" x14ac:dyDescent="0.3">
      <c r="B115" s="187"/>
      <c r="C115" s="188"/>
      <c r="D115" s="188"/>
      <c r="E115" s="188"/>
      <c r="F115" s="188"/>
      <c r="G115" s="188"/>
      <c r="H115" s="187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ht="13" x14ac:dyDescent="0.3">
      <c r="B118" s="186"/>
      <c r="C118" s="188"/>
      <c r="D118" s="188"/>
      <c r="E118" s="188"/>
      <c r="F118" s="188"/>
      <c r="G118" s="188"/>
      <c r="H118" s="186"/>
      <c r="I118" s="188"/>
    </row>
    <row r="119" spans="1:17" x14ac:dyDescent="0.25">
      <c r="B119" s="188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B121" s="188"/>
      <c r="C121" s="188"/>
      <c r="F121" s="188"/>
      <c r="G121" s="188"/>
      <c r="H121" s="188"/>
      <c r="I121" s="23"/>
    </row>
    <row r="122" spans="1:17" x14ac:dyDescent="0.25">
      <c r="B122" s="206"/>
      <c r="C122" s="188"/>
      <c r="D122" s="188"/>
      <c r="E122" s="188"/>
      <c r="F122" s="188"/>
      <c r="G122" s="188"/>
      <c r="H122" s="10"/>
      <c r="I122" s="230"/>
    </row>
    <row r="123" spans="1:17" x14ac:dyDescent="0.25">
      <c r="B123" s="206"/>
      <c r="C123" s="188"/>
      <c r="D123" s="188"/>
      <c r="E123" s="188"/>
      <c r="F123" s="188"/>
      <c r="G123" s="188"/>
      <c r="H123" s="10"/>
      <c r="I123" s="230"/>
    </row>
    <row r="124" spans="1:17" x14ac:dyDescent="0.25">
      <c r="B124" s="188"/>
      <c r="C124" s="188"/>
      <c r="D124" s="188"/>
      <c r="E124" s="188"/>
      <c r="F124" s="188"/>
      <c r="G124" s="188"/>
      <c r="H124" s="188"/>
      <c r="I124" s="188"/>
    </row>
    <row r="125" spans="1:17" x14ac:dyDescent="0.25">
      <c r="A125" s="206"/>
      <c r="B125" s="206"/>
      <c r="C125" s="188"/>
      <c r="D125" s="188"/>
      <c r="E125" s="188"/>
      <c r="F125" s="188"/>
      <c r="G125" s="188"/>
      <c r="H125" s="188"/>
      <c r="I125" s="188"/>
    </row>
    <row r="126" spans="1:17" x14ac:dyDescent="0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5"/>
      <c r="B127" s="5"/>
      <c r="C127" s="5"/>
      <c r="D127" s="1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13"/>
      <c r="B128" s="23"/>
      <c r="C128" s="1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23"/>
    </row>
    <row r="134" spans="1:16" x14ac:dyDescent="0.25">
      <c r="A134" s="13"/>
      <c r="B134" s="23"/>
      <c r="C134" s="23"/>
    </row>
    <row r="135" spans="1:16" x14ac:dyDescent="0.25">
      <c r="A135" s="13"/>
      <c r="B135" s="23"/>
      <c r="C135" s="23"/>
    </row>
    <row r="136" spans="1:16" x14ac:dyDescent="0.25">
      <c r="A136" s="13"/>
      <c r="B136" s="23"/>
      <c r="C136" s="23"/>
    </row>
    <row r="137" spans="1:16" x14ac:dyDescent="0.25">
      <c r="A137" s="13"/>
      <c r="B137" s="23"/>
      <c r="C137" s="23"/>
    </row>
    <row r="138" spans="1:16" x14ac:dyDescent="0.25">
      <c r="A138" s="13"/>
      <c r="B138" s="23"/>
    </row>
    <row r="139" spans="1:16" x14ac:dyDescent="0.25">
      <c r="A139" s="13"/>
      <c r="B139" s="23"/>
      <c r="C139" s="23"/>
    </row>
    <row r="140" spans="1:16" x14ac:dyDescent="0.25">
      <c r="A140" s="200"/>
      <c r="B140" s="20"/>
    </row>
    <row r="141" spans="1:16" x14ac:dyDescent="0.25">
      <c r="A141" s="13"/>
      <c r="B141" s="23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</row>
    <row r="142" spans="1:16" x14ac:dyDescent="0.25">
      <c r="A142" s="200"/>
      <c r="B142" s="23"/>
      <c r="C142" s="23"/>
    </row>
    <row r="143" spans="1:16" x14ac:dyDescent="0.25">
      <c r="A143" s="200"/>
      <c r="B143" s="23"/>
      <c r="C143" s="23"/>
    </row>
    <row r="144" spans="1:16" x14ac:dyDescent="0.25">
      <c r="A144" s="200"/>
      <c r="B144" s="202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</row>
    <row r="145" spans="1:16" x14ac:dyDescent="0.25">
      <c r="A145" s="13"/>
      <c r="B145" s="23"/>
    </row>
    <row r="146" spans="1:16" x14ac:dyDescent="0.25">
      <c r="A146" s="200"/>
      <c r="B146" s="23"/>
      <c r="C146" s="23"/>
    </row>
    <row r="147" spans="1:16" x14ac:dyDescent="0.25">
      <c r="A147" s="200"/>
      <c r="B147" s="23"/>
      <c r="C147" s="23"/>
    </row>
    <row r="148" spans="1:16" x14ac:dyDescent="0.25">
      <c r="A148" s="200"/>
      <c r="B148" s="23"/>
      <c r="C148" s="23"/>
    </row>
    <row r="149" spans="1:16" x14ac:dyDescent="0.25">
      <c r="A149" s="200"/>
      <c r="B149" s="23"/>
      <c r="C149" s="23"/>
    </row>
    <row r="150" spans="1:16" x14ac:dyDescent="0.25">
      <c r="A150" s="200"/>
      <c r="B150" s="23"/>
      <c r="C150" s="23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</row>
    <row r="151" spans="1:16" x14ac:dyDescent="0.25">
      <c r="A151" s="200"/>
      <c r="B151" s="202"/>
      <c r="C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</row>
    <row r="152" spans="1:16" x14ac:dyDescent="0.25">
      <c r="A152" s="13"/>
      <c r="B152" s="23"/>
    </row>
    <row r="153" spans="1:16" x14ac:dyDescent="0.25">
      <c r="A153" s="200"/>
      <c r="B153" s="23"/>
      <c r="C153" s="23"/>
    </row>
    <row r="154" spans="1:16" x14ac:dyDescent="0.25">
      <c r="A154" s="200"/>
      <c r="B154" s="23"/>
      <c r="C154" s="23"/>
    </row>
    <row r="155" spans="1:16" x14ac:dyDescent="0.25">
      <c r="A155" s="200"/>
      <c r="B155" s="20"/>
      <c r="C155" s="202"/>
    </row>
    <row r="156" spans="1:16" x14ac:dyDescent="0.25">
      <c r="A156" s="13"/>
      <c r="B156" s="2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x14ac:dyDescent="0.25">
      <c r="A157" s="13"/>
      <c r="B157" s="2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</row>
    <row r="158" spans="1:16" x14ac:dyDescent="0.25">
      <c r="A158" s="13"/>
      <c r="B158" s="23"/>
      <c r="C158" s="202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1:16" x14ac:dyDescent="0.25">
      <c r="A159" s="13"/>
      <c r="B159" s="23"/>
    </row>
    <row r="160" spans="1:16" x14ac:dyDescent="0.25">
      <c r="A160" s="13"/>
      <c r="B160" s="23"/>
    </row>
    <row r="161" spans="1:9" x14ac:dyDescent="0.25">
      <c r="A161" s="13"/>
      <c r="B161" s="23"/>
    </row>
    <row r="162" spans="1:9" x14ac:dyDescent="0.25">
      <c r="A162" s="200"/>
      <c r="B162" s="200"/>
    </row>
    <row r="166" spans="1:9" ht="13" x14ac:dyDescent="0.3">
      <c r="B166" s="187"/>
      <c r="C166" s="188"/>
      <c r="D166" s="188"/>
      <c r="E166" s="188"/>
      <c r="F166" s="188"/>
      <c r="G166" s="188"/>
      <c r="H166" s="187"/>
      <c r="I166" s="188"/>
    </row>
    <row r="167" spans="1:9" x14ac:dyDescent="0.25">
      <c r="B167" s="188"/>
      <c r="C167" s="188"/>
      <c r="D167" s="188"/>
      <c r="E167" s="188"/>
      <c r="F167" s="188"/>
      <c r="G167" s="188"/>
      <c r="H167" s="188"/>
      <c r="I167" s="188"/>
    </row>
    <row r="168" spans="1:9" x14ac:dyDescent="0.25">
      <c r="B168" s="188"/>
      <c r="C168" s="188"/>
      <c r="D168" s="188"/>
      <c r="E168" s="188"/>
      <c r="F168" s="188"/>
      <c r="G168" s="188"/>
      <c r="H168" s="188"/>
      <c r="I168" s="188"/>
    </row>
    <row r="169" spans="1:9" ht="13" x14ac:dyDescent="0.3">
      <c r="B169" s="186"/>
      <c r="C169" s="188"/>
      <c r="D169" s="188"/>
      <c r="E169" s="188"/>
      <c r="F169" s="188"/>
      <c r="G169" s="188"/>
      <c r="H169" s="186"/>
      <c r="I169" s="188"/>
    </row>
    <row r="170" spans="1:9" x14ac:dyDescent="0.25">
      <c r="B170" s="188"/>
      <c r="C170" s="188"/>
      <c r="D170" s="188"/>
      <c r="E170" s="188"/>
      <c r="F170" s="188"/>
      <c r="G170" s="188"/>
      <c r="H170" s="188"/>
      <c r="I170" s="188"/>
    </row>
    <row r="171" spans="1:9" x14ac:dyDescent="0.25">
      <c r="B171" s="188"/>
      <c r="C171" s="188"/>
      <c r="D171" s="188"/>
      <c r="E171" s="188"/>
      <c r="F171" s="188"/>
      <c r="G171" s="188"/>
      <c r="H171" s="188"/>
      <c r="I171" s="188"/>
    </row>
    <row r="172" spans="1:9" x14ac:dyDescent="0.25">
      <c r="B172" s="188"/>
      <c r="C172" s="188"/>
      <c r="F172" s="188"/>
      <c r="G172" s="188"/>
      <c r="H172" s="188"/>
      <c r="I172" s="202"/>
    </row>
    <row r="173" spans="1:9" x14ac:dyDescent="0.25">
      <c r="B173" s="206"/>
      <c r="C173" s="188"/>
      <c r="D173" s="188"/>
      <c r="E173" s="188"/>
      <c r="F173" s="188"/>
      <c r="G173" s="188"/>
      <c r="H173" s="10"/>
      <c r="I173" s="230"/>
    </row>
    <row r="174" spans="1:9" x14ac:dyDescent="0.25">
      <c r="B174" s="206"/>
      <c r="C174" s="188"/>
      <c r="D174" s="188"/>
      <c r="E174" s="188"/>
      <c r="F174" s="188"/>
      <c r="G174" s="188"/>
      <c r="H174" s="10"/>
      <c r="I174" s="230"/>
    </row>
    <row r="175" spans="1:9" x14ac:dyDescent="0.25">
      <c r="B175" s="188"/>
      <c r="C175" s="188"/>
      <c r="D175" s="188"/>
      <c r="E175" s="188"/>
      <c r="F175" s="188"/>
      <c r="G175" s="188"/>
      <c r="H175" s="188"/>
      <c r="I175" s="188"/>
    </row>
    <row r="176" spans="1:9" x14ac:dyDescent="0.25">
      <c r="A176" s="206"/>
      <c r="B176" s="206"/>
      <c r="C176" s="188"/>
      <c r="D176" s="188"/>
      <c r="E176" s="188"/>
      <c r="F176" s="188"/>
      <c r="G176" s="188"/>
      <c r="H176" s="188"/>
      <c r="I176" s="188"/>
    </row>
    <row r="177" spans="1:17" x14ac:dyDescent="0.25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x14ac:dyDescent="0.25">
      <c r="A178" s="5"/>
      <c r="B178" s="5"/>
      <c r="C178" s="5"/>
      <c r="D178" s="1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13"/>
    </row>
    <row r="179" spans="1:17" x14ac:dyDescent="0.25">
      <c r="A179" s="13"/>
      <c r="B179" s="23"/>
      <c r="C179" s="13"/>
    </row>
    <row r="180" spans="1:17" x14ac:dyDescent="0.25">
      <c r="A180" s="13"/>
      <c r="B180" s="23"/>
      <c r="C180" s="23"/>
    </row>
    <row r="181" spans="1:17" x14ac:dyDescent="0.25">
      <c r="A181" s="13"/>
      <c r="B181" s="23"/>
      <c r="C181" s="23"/>
    </row>
    <row r="182" spans="1:17" x14ac:dyDescent="0.25">
      <c r="A182" s="13"/>
      <c r="B182" s="23"/>
      <c r="C182" s="23"/>
    </row>
    <row r="183" spans="1:17" x14ac:dyDescent="0.25">
      <c r="A183" s="13"/>
      <c r="B183" s="23"/>
      <c r="C183" s="23"/>
    </row>
    <row r="184" spans="1:17" x14ac:dyDescent="0.25">
      <c r="A184" s="13"/>
      <c r="B184" s="23"/>
      <c r="C184" s="23"/>
    </row>
    <row r="185" spans="1:17" x14ac:dyDescent="0.25">
      <c r="A185" s="13"/>
      <c r="B185" s="23"/>
      <c r="C185" s="23"/>
    </row>
    <row r="186" spans="1:17" x14ac:dyDescent="0.25">
      <c r="A186" s="13"/>
      <c r="B186" s="23"/>
      <c r="C186" s="23"/>
    </row>
    <row r="187" spans="1:17" x14ac:dyDescent="0.25">
      <c r="A187" s="13"/>
      <c r="B187" s="23"/>
      <c r="C187" s="23"/>
    </row>
    <row r="188" spans="1:17" x14ac:dyDescent="0.25">
      <c r="A188" s="13"/>
      <c r="B188" s="23"/>
      <c r="C188" s="23"/>
    </row>
    <row r="189" spans="1:17" x14ac:dyDescent="0.25">
      <c r="A189" s="13"/>
      <c r="B189" s="23"/>
    </row>
    <row r="190" spans="1:17" x14ac:dyDescent="0.25">
      <c r="A190" s="13"/>
      <c r="B190" s="23"/>
      <c r="C190" s="23"/>
    </row>
    <row r="191" spans="1:17" x14ac:dyDescent="0.25">
      <c r="A191" s="13"/>
      <c r="B191" s="20"/>
    </row>
    <row r="192" spans="1:17" x14ac:dyDescent="0.25">
      <c r="A192" s="13"/>
      <c r="B192" s="23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</row>
    <row r="193" spans="1:16" x14ac:dyDescent="0.25">
      <c r="A193" s="13"/>
      <c r="B193" s="13"/>
      <c r="C193" s="23"/>
    </row>
    <row r="194" spans="1:16" x14ac:dyDescent="0.25">
      <c r="A194" s="13"/>
      <c r="B194" s="13"/>
      <c r="C194" s="23"/>
    </row>
    <row r="195" spans="1:16" x14ac:dyDescent="0.25">
      <c r="A195" s="13"/>
      <c r="B195" s="13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</row>
    <row r="196" spans="1:16" x14ac:dyDescent="0.25">
      <c r="A196" s="13"/>
      <c r="B196" s="23"/>
    </row>
    <row r="197" spans="1:16" x14ac:dyDescent="0.25">
      <c r="A197" s="13"/>
      <c r="B197" s="13"/>
      <c r="C197" s="23"/>
    </row>
    <row r="198" spans="1:16" x14ac:dyDescent="0.25">
      <c r="A198" s="13"/>
      <c r="B198" s="13"/>
      <c r="C198" s="23"/>
    </row>
    <row r="199" spans="1:16" x14ac:dyDescent="0.25">
      <c r="A199" s="13"/>
      <c r="B199" s="13"/>
      <c r="C199" s="23"/>
    </row>
    <row r="200" spans="1:16" x14ac:dyDescent="0.25">
      <c r="A200" s="13"/>
      <c r="B200" s="13"/>
      <c r="C200" s="23"/>
    </row>
    <row r="201" spans="1:16" x14ac:dyDescent="0.25">
      <c r="A201" s="13"/>
      <c r="B201" s="13"/>
      <c r="C201" s="23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</row>
    <row r="202" spans="1:16" x14ac:dyDescent="0.25">
      <c r="A202" s="13"/>
      <c r="B202" s="202"/>
      <c r="C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</row>
    <row r="203" spans="1:16" x14ac:dyDescent="0.25">
      <c r="A203" s="13"/>
      <c r="B203" s="23"/>
      <c r="C203" s="13"/>
    </row>
    <row r="204" spans="1:16" x14ac:dyDescent="0.25">
      <c r="A204" s="13"/>
      <c r="B204" s="23"/>
      <c r="C204" s="23"/>
    </row>
    <row r="205" spans="1:16" x14ac:dyDescent="0.25">
      <c r="A205" s="13"/>
      <c r="B205" s="23"/>
      <c r="C205" s="23"/>
    </row>
    <row r="206" spans="1:16" x14ac:dyDescent="0.25">
      <c r="A206" s="13"/>
      <c r="B206" s="20"/>
      <c r="C206" s="202"/>
    </row>
    <row r="207" spans="1:16" x14ac:dyDescent="0.25">
      <c r="A207" s="13"/>
      <c r="B207" s="2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16" x14ac:dyDescent="0.25">
      <c r="A208" s="13"/>
      <c r="B208" s="2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</row>
    <row r="209" spans="1:16" x14ac:dyDescent="0.25">
      <c r="A209" s="13"/>
      <c r="B209" s="23"/>
      <c r="C209" s="202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</row>
    <row r="210" spans="1:16" x14ac:dyDescent="0.25">
      <c r="A210" s="13"/>
      <c r="B210" s="23"/>
    </row>
    <row r="211" spans="1:16" x14ac:dyDescent="0.25">
      <c r="A211" s="13"/>
      <c r="B211" s="23"/>
    </row>
    <row r="212" spans="1:16" x14ac:dyDescent="0.25">
      <c r="A212" s="13"/>
      <c r="B212" s="23"/>
    </row>
    <row r="213" spans="1:16" x14ac:dyDescent="0.25">
      <c r="A213" s="13"/>
      <c r="B213" s="200"/>
    </row>
    <row r="216" spans="1:16" ht="13" x14ac:dyDescent="0.3">
      <c r="B216" s="187"/>
      <c r="C216" s="188"/>
      <c r="D216" s="188"/>
      <c r="E216" s="188"/>
      <c r="F216" s="188"/>
      <c r="G216" s="188"/>
      <c r="H216" s="187"/>
      <c r="I216" s="188"/>
    </row>
    <row r="217" spans="1:16" x14ac:dyDescent="0.25">
      <c r="B217" s="188"/>
      <c r="C217" s="188"/>
      <c r="D217" s="188"/>
      <c r="E217" s="188"/>
      <c r="F217" s="188"/>
      <c r="G217" s="188"/>
      <c r="H217" s="188"/>
      <c r="I217" s="188"/>
    </row>
    <row r="218" spans="1:16" x14ac:dyDescent="0.25">
      <c r="B218" s="188"/>
      <c r="C218" s="188"/>
      <c r="D218" s="188"/>
      <c r="E218" s="188"/>
      <c r="F218" s="188"/>
      <c r="G218" s="188"/>
      <c r="H218" s="188"/>
      <c r="I218" s="188"/>
    </row>
    <row r="219" spans="1:16" ht="13" x14ac:dyDescent="0.3">
      <c r="B219" s="186"/>
      <c r="C219" s="188"/>
      <c r="D219" s="188"/>
      <c r="E219" s="188"/>
      <c r="F219" s="188"/>
      <c r="G219" s="188"/>
      <c r="H219" s="186"/>
      <c r="I219" s="188"/>
    </row>
    <row r="220" spans="1:16" x14ac:dyDescent="0.25">
      <c r="B220" s="188"/>
      <c r="C220" s="188"/>
      <c r="D220" s="188"/>
      <c r="E220" s="188"/>
      <c r="F220" s="188"/>
      <c r="G220" s="188"/>
      <c r="H220" s="188"/>
      <c r="I220" s="188"/>
    </row>
    <row r="221" spans="1:16" x14ac:dyDescent="0.25">
      <c r="B221" s="188"/>
      <c r="C221" s="188"/>
      <c r="D221" s="188"/>
      <c r="E221" s="188"/>
      <c r="F221" s="188"/>
      <c r="G221" s="188"/>
      <c r="H221" s="188"/>
      <c r="I221" s="188"/>
    </row>
    <row r="222" spans="1:16" x14ac:dyDescent="0.25">
      <c r="B222" s="188"/>
      <c r="C222" s="188"/>
      <c r="F222" s="188"/>
      <c r="G222" s="188"/>
      <c r="H222" s="188"/>
      <c r="I222" s="23"/>
    </row>
    <row r="223" spans="1:16" x14ac:dyDescent="0.25">
      <c r="B223" s="206"/>
      <c r="C223" s="188"/>
      <c r="D223" s="188"/>
      <c r="E223" s="188"/>
      <c r="F223" s="188"/>
      <c r="G223" s="188"/>
      <c r="H223" s="10"/>
      <c r="I223" s="230"/>
    </row>
    <row r="224" spans="1:16" x14ac:dyDescent="0.25">
      <c r="B224" s="206"/>
      <c r="C224" s="188"/>
      <c r="D224" s="188"/>
      <c r="E224" s="188"/>
      <c r="F224" s="188"/>
      <c r="G224" s="188"/>
      <c r="H224" s="10"/>
      <c r="I224" s="230"/>
    </row>
    <row r="225" spans="1:17" ht="15" customHeight="1" x14ac:dyDescent="0.25">
      <c r="B225" s="188"/>
      <c r="C225" s="188"/>
      <c r="D225" s="188"/>
      <c r="E225" s="188"/>
      <c r="F225" s="188"/>
      <c r="G225" s="188"/>
      <c r="H225" s="188"/>
      <c r="I225" s="188"/>
    </row>
    <row r="226" spans="1:17" x14ac:dyDescent="0.25">
      <c r="A226" s="206"/>
      <c r="B226" s="206"/>
      <c r="C226" s="188"/>
      <c r="D226" s="188"/>
      <c r="E226" s="188"/>
      <c r="F226" s="188"/>
      <c r="G226" s="188"/>
      <c r="H226" s="188"/>
      <c r="I226" s="188"/>
    </row>
    <row r="227" spans="1:17" x14ac:dyDescent="0.2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x14ac:dyDescent="0.25">
      <c r="A228" s="5"/>
      <c r="B228" s="5"/>
      <c r="C228" s="5"/>
      <c r="D228" s="1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3"/>
    </row>
    <row r="229" spans="1:17" x14ac:dyDescent="0.25">
      <c r="A229" s="13"/>
      <c r="B229" s="210"/>
      <c r="C229" s="210"/>
    </row>
    <row r="230" spans="1:17" x14ac:dyDescent="0.25">
      <c r="A230" s="13"/>
      <c r="B230" s="23"/>
      <c r="C230" s="23"/>
    </row>
    <row r="231" spans="1:17" x14ac:dyDescent="0.25">
      <c r="A231" s="13"/>
      <c r="B231" s="23"/>
      <c r="C231" s="23"/>
    </row>
    <row r="232" spans="1:17" x14ac:dyDescent="0.25">
      <c r="A232" s="13"/>
      <c r="B232" s="23"/>
      <c r="C232" s="23"/>
    </row>
    <row r="233" spans="1:17" x14ac:dyDescent="0.25">
      <c r="A233" s="13"/>
      <c r="B233" s="23"/>
      <c r="C233" s="23"/>
    </row>
    <row r="234" spans="1:17" x14ac:dyDescent="0.25">
      <c r="A234" s="13"/>
      <c r="B234" s="23"/>
      <c r="C234" s="23"/>
    </row>
    <row r="235" spans="1:17" x14ac:dyDescent="0.25">
      <c r="A235" s="13"/>
      <c r="B235" s="23"/>
      <c r="C235" s="5"/>
    </row>
    <row r="236" spans="1:17" x14ac:dyDescent="0.25">
      <c r="A236" s="13"/>
      <c r="B236" s="23"/>
      <c r="C236" s="5"/>
    </row>
    <row r="237" spans="1:17" x14ac:dyDescent="0.25">
      <c r="A237" s="13"/>
      <c r="B237" s="23"/>
      <c r="C237" s="5"/>
    </row>
    <row r="238" spans="1:17" x14ac:dyDescent="0.25">
      <c r="A238" s="13"/>
      <c r="B238" s="23"/>
      <c r="C238" s="5"/>
    </row>
    <row r="239" spans="1:17" x14ac:dyDescent="0.25">
      <c r="A239" s="13"/>
      <c r="B239" s="23"/>
      <c r="C239" s="5"/>
    </row>
    <row r="240" spans="1:17" x14ac:dyDescent="0.25">
      <c r="A240" s="13"/>
      <c r="B240" s="23"/>
      <c r="C240" s="5"/>
    </row>
    <row r="241" spans="1:16" x14ac:dyDescent="0.25">
      <c r="A241" s="13"/>
      <c r="B241" s="23"/>
      <c r="C241" s="5"/>
    </row>
    <row r="242" spans="1:16" x14ac:dyDescent="0.25">
      <c r="A242" s="13"/>
      <c r="B242" s="23"/>
      <c r="C242" s="5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</row>
    <row r="243" spans="1:16" x14ac:dyDescent="0.25">
      <c r="A243" s="13"/>
      <c r="B243" s="23"/>
      <c r="C243" s="23"/>
    </row>
    <row r="244" spans="1:16" x14ac:dyDescent="0.25">
      <c r="A244" s="13"/>
      <c r="B244" s="23"/>
      <c r="C244" s="23"/>
    </row>
    <row r="245" spans="1:16" x14ac:dyDescent="0.25">
      <c r="A245" s="13"/>
      <c r="B245" s="5"/>
      <c r="C245" s="5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</row>
    <row r="246" spans="1:16" x14ac:dyDescent="0.25">
      <c r="A246" s="13"/>
      <c r="B246" s="23"/>
      <c r="C246" s="23"/>
    </row>
    <row r="247" spans="1:16" x14ac:dyDescent="0.25">
      <c r="A247" s="13"/>
      <c r="B247" s="23"/>
      <c r="C247" s="23"/>
    </row>
    <row r="248" spans="1:16" x14ac:dyDescent="0.25">
      <c r="A248" s="13"/>
      <c r="B248" s="23"/>
      <c r="C248" s="23"/>
    </row>
    <row r="249" spans="1:16" x14ac:dyDescent="0.25">
      <c r="A249" s="13"/>
      <c r="B249" s="23"/>
      <c r="C249" s="23"/>
    </row>
    <row r="250" spans="1:16" x14ac:dyDescent="0.25">
      <c r="A250" s="13"/>
      <c r="B250" s="23"/>
      <c r="C250" s="23"/>
    </row>
    <row r="251" spans="1:16" x14ac:dyDescent="0.25">
      <c r="A251" s="13"/>
      <c r="B251" s="23"/>
      <c r="C251" s="23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</row>
    <row r="252" spans="1:16" x14ac:dyDescent="0.25">
      <c r="A252" s="13"/>
      <c r="B252" s="23"/>
      <c r="C252" s="23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</row>
    <row r="253" spans="1:16" x14ac:dyDescent="0.25">
      <c r="A253" s="13"/>
      <c r="B253" s="23"/>
      <c r="C253" s="23"/>
    </row>
    <row r="254" spans="1:16" x14ac:dyDescent="0.25">
      <c r="A254" s="13"/>
      <c r="B254" s="23"/>
      <c r="C254" s="23"/>
    </row>
    <row r="255" spans="1:16" x14ac:dyDescent="0.25">
      <c r="A255" s="13"/>
      <c r="B255" s="23"/>
      <c r="C255" s="23"/>
    </row>
    <row r="256" spans="1:16" x14ac:dyDescent="0.25">
      <c r="A256" s="13"/>
      <c r="B256" s="23"/>
      <c r="C256" s="23"/>
    </row>
    <row r="257" spans="1:16" x14ac:dyDescent="0.25">
      <c r="A257" s="13"/>
      <c r="B257" s="23"/>
      <c r="C257" s="2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</row>
    <row r="258" spans="1:16" x14ac:dyDescent="0.25">
      <c r="A258" s="13"/>
      <c r="B258" s="23"/>
      <c r="C258" s="2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</row>
    <row r="259" spans="1:16" x14ac:dyDescent="0.25">
      <c r="A259" s="13"/>
      <c r="B259" s="23"/>
      <c r="C259" s="2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</row>
    <row r="260" spans="1:16" x14ac:dyDescent="0.25">
      <c r="A260" s="13"/>
      <c r="B260" s="23"/>
      <c r="C260" s="23"/>
    </row>
    <row r="261" spans="1:16" x14ac:dyDescent="0.25">
      <c r="A261" s="13"/>
      <c r="B261" s="23"/>
      <c r="C261" s="23"/>
    </row>
    <row r="262" spans="1:16" x14ac:dyDescent="0.25">
      <c r="A262" s="13"/>
      <c r="B262" s="23"/>
      <c r="C262" s="23"/>
    </row>
    <row r="263" spans="1:16" x14ac:dyDescent="0.25">
      <c r="A263" s="13"/>
      <c r="B263" s="23"/>
      <c r="C263" s="23"/>
    </row>
    <row r="264" spans="1:16" x14ac:dyDescent="0.25">
      <c r="A264" s="13"/>
      <c r="B264" s="5"/>
      <c r="C264" s="5"/>
    </row>
    <row r="267" spans="1:16" ht="13" x14ac:dyDescent="0.3">
      <c r="B267" s="187"/>
      <c r="C267" s="188"/>
      <c r="D267" s="188"/>
      <c r="E267" s="188"/>
      <c r="F267" s="188"/>
      <c r="G267" s="188"/>
      <c r="H267" s="187"/>
      <c r="I267" s="188"/>
    </row>
    <row r="268" spans="1:16" x14ac:dyDescent="0.25">
      <c r="B268" s="188"/>
      <c r="C268" s="188"/>
      <c r="D268" s="188"/>
      <c r="E268" s="188"/>
      <c r="F268" s="188"/>
      <c r="G268" s="188"/>
      <c r="H268" s="188"/>
      <c r="I268" s="188"/>
    </row>
    <row r="269" spans="1:16" x14ac:dyDescent="0.25">
      <c r="B269" s="188"/>
      <c r="C269" s="188"/>
      <c r="D269" s="188"/>
      <c r="E269" s="188"/>
      <c r="F269" s="188"/>
      <c r="G269" s="188"/>
      <c r="H269" s="188"/>
      <c r="I269" s="188"/>
    </row>
    <row r="270" spans="1:16" ht="13" x14ac:dyDescent="0.3">
      <c r="B270" s="186"/>
      <c r="C270" s="188"/>
      <c r="D270" s="188"/>
      <c r="E270" s="188"/>
      <c r="F270" s="188"/>
      <c r="G270" s="188"/>
      <c r="H270" s="186"/>
      <c r="I270" s="188"/>
    </row>
    <row r="271" spans="1:16" x14ac:dyDescent="0.25">
      <c r="B271" s="188"/>
      <c r="C271" s="188"/>
      <c r="D271" s="188"/>
      <c r="E271" s="188"/>
      <c r="F271" s="188"/>
      <c r="G271" s="188"/>
      <c r="H271" s="188"/>
      <c r="I271" s="188"/>
    </row>
    <row r="272" spans="1:16" x14ac:dyDescent="0.25">
      <c r="B272" s="188"/>
      <c r="C272" s="188"/>
      <c r="D272" s="188"/>
      <c r="E272" s="188"/>
      <c r="F272" s="188"/>
      <c r="G272" s="188"/>
      <c r="H272" s="188"/>
      <c r="I272" s="188"/>
    </row>
    <row r="273" spans="1:17" x14ac:dyDescent="0.25">
      <c r="B273" s="188"/>
      <c r="C273" s="188"/>
      <c r="F273" s="188"/>
      <c r="G273" s="188"/>
      <c r="H273" s="188"/>
      <c r="I273" s="23"/>
    </row>
    <row r="274" spans="1:17" x14ac:dyDescent="0.25">
      <c r="B274" s="206"/>
      <c r="C274" s="188"/>
      <c r="D274" s="188"/>
      <c r="E274" s="188"/>
      <c r="F274" s="188"/>
      <c r="G274" s="188"/>
      <c r="H274" s="10"/>
      <c r="I274" s="230"/>
    </row>
    <row r="275" spans="1:17" x14ac:dyDescent="0.25">
      <c r="B275" s="206"/>
      <c r="C275" s="188"/>
      <c r="D275" s="188"/>
      <c r="E275" s="188"/>
      <c r="F275" s="188"/>
      <c r="G275" s="188"/>
      <c r="H275" s="10"/>
      <c r="I275" s="230"/>
    </row>
    <row r="276" spans="1:17" x14ac:dyDescent="0.25">
      <c r="B276" s="188"/>
      <c r="C276" s="188"/>
      <c r="D276" s="188"/>
      <c r="E276" s="188"/>
      <c r="F276" s="188"/>
      <c r="G276" s="188"/>
      <c r="H276" s="188"/>
      <c r="I276" s="188"/>
    </row>
    <row r="277" spans="1:17" x14ac:dyDescent="0.25">
      <c r="A277" s="206"/>
      <c r="B277" s="206"/>
      <c r="C277" s="188"/>
      <c r="D277" s="188"/>
      <c r="E277" s="188"/>
      <c r="F277" s="188"/>
      <c r="G277" s="188"/>
      <c r="H277" s="188"/>
      <c r="I277" s="188"/>
    </row>
    <row r="278" spans="1:17" x14ac:dyDescent="0.25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x14ac:dyDescent="0.25">
      <c r="A279" s="5"/>
      <c r="B279" s="5"/>
      <c r="C279" s="5"/>
      <c r="D279" s="1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13"/>
    </row>
    <row r="280" spans="1:17" x14ac:dyDescent="0.25">
      <c r="A280" s="13"/>
      <c r="B280" s="210"/>
      <c r="C280" s="210"/>
    </row>
    <row r="281" spans="1:17" x14ac:dyDescent="0.25">
      <c r="A281" s="13"/>
      <c r="B281" s="23"/>
      <c r="C281" s="23"/>
    </row>
    <row r="282" spans="1:17" x14ac:dyDescent="0.25">
      <c r="A282" s="13"/>
      <c r="B282" s="23"/>
      <c r="C282" s="23"/>
    </row>
    <row r="283" spans="1:17" x14ac:dyDescent="0.25">
      <c r="A283" s="13"/>
      <c r="B283" s="23"/>
      <c r="C283" s="23"/>
    </row>
    <row r="284" spans="1:17" x14ac:dyDescent="0.25">
      <c r="A284" s="13"/>
      <c r="B284" s="23"/>
      <c r="C284" s="23"/>
    </row>
    <row r="285" spans="1:17" x14ac:dyDescent="0.25">
      <c r="A285" s="13"/>
      <c r="B285" s="23"/>
      <c r="C285" s="23"/>
    </row>
    <row r="286" spans="1:17" x14ac:dyDescent="0.25">
      <c r="A286" s="13"/>
      <c r="B286" s="23"/>
      <c r="C286" s="5"/>
    </row>
    <row r="287" spans="1:17" x14ac:dyDescent="0.25">
      <c r="A287" s="13"/>
      <c r="B287" s="23"/>
      <c r="C287" s="5"/>
    </row>
    <row r="288" spans="1:17" x14ac:dyDescent="0.25">
      <c r="A288" s="13"/>
      <c r="B288" s="23"/>
      <c r="C288" s="5"/>
    </row>
    <row r="289" spans="1:16" x14ac:dyDescent="0.25">
      <c r="A289" s="13"/>
      <c r="B289" s="23"/>
      <c r="C289" s="5"/>
    </row>
    <row r="290" spans="1:16" x14ac:dyDescent="0.25">
      <c r="A290" s="13"/>
      <c r="B290" s="23"/>
      <c r="C290" s="5"/>
    </row>
    <row r="291" spans="1:16" x14ac:dyDescent="0.25">
      <c r="A291" s="13"/>
      <c r="B291" s="23"/>
      <c r="C291" s="5"/>
    </row>
    <row r="292" spans="1:16" x14ac:dyDescent="0.25">
      <c r="A292" s="13"/>
      <c r="B292" s="23"/>
      <c r="C292" s="5"/>
    </row>
    <row r="293" spans="1:16" x14ac:dyDescent="0.25">
      <c r="A293" s="13"/>
      <c r="B293" s="23"/>
      <c r="C293" s="5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</row>
    <row r="294" spans="1:16" x14ac:dyDescent="0.25">
      <c r="A294" s="13"/>
      <c r="B294" s="23"/>
      <c r="C294" s="23"/>
    </row>
    <row r="295" spans="1:16" x14ac:dyDescent="0.25">
      <c r="A295" s="13"/>
      <c r="B295" s="23"/>
      <c r="C295" s="23"/>
    </row>
    <row r="296" spans="1:16" x14ac:dyDescent="0.25">
      <c r="A296" s="13"/>
      <c r="B296" s="5"/>
      <c r="C296" s="5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</row>
    <row r="297" spans="1:16" x14ac:dyDescent="0.25">
      <c r="A297" s="13"/>
      <c r="B297" s="23"/>
      <c r="C297" s="23"/>
    </row>
    <row r="298" spans="1:16" x14ac:dyDescent="0.25">
      <c r="A298" s="13"/>
      <c r="B298" s="23"/>
      <c r="C298" s="23"/>
    </row>
    <row r="299" spans="1:16" x14ac:dyDescent="0.25">
      <c r="A299" s="13"/>
      <c r="B299" s="23"/>
      <c r="C299" s="23"/>
    </row>
    <row r="300" spans="1:16" x14ac:dyDescent="0.25">
      <c r="A300" s="13"/>
      <c r="B300" s="23"/>
      <c r="C300" s="23"/>
    </row>
    <row r="301" spans="1:16" x14ac:dyDescent="0.25">
      <c r="A301" s="13"/>
      <c r="B301" s="23"/>
      <c r="C301" s="23"/>
    </row>
    <row r="302" spans="1:16" x14ac:dyDescent="0.25">
      <c r="A302" s="13"/>
      <c r="B302" s="23"/>
      <c r="C302" s="23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</row>
    <row r="303" spans="1:16" x14ac:dyDescent="0.25">
      <c r="A303" s="13"/>
      <c r="B303" s="23"/>
      <c r="C303" s="23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</row>
    <row r="304" spans="1:16" x14ac:dyDescent="0.25">
      <c r="A304" s="13"/>
      <c r="B304" s="23"/>
      <c r="C304" s="23"/>
    </row>
    <row r="305" spans="1:16" x14ac:dyDescent="0.25">
      <c r="A305" s="13"/>
      <c r="B305" s="23"/>
      <c r="C305" s="23"/>
    </row>
    <row r="306" spans="1:16" x14ac:dyDescent="0.25">
      <c r="A306" s="13"/>
      <c r="B306" s="23"/>
      <c r="C306" s="23"/>
    </row>
    <row r="307" spans="1:16" x14ac:dyDescent="0.25">
      <c r="A307" s="13"/>
      <c r="B307" s="23"/>
      <c r="C307" s="23"/>
    </row>
    <row r="308" spans="1:16" x14ac:dyDescent="0.25">
      <c r="A308" s="13"/>
      <c r="B308" s="23"/>
      <c r="C308" s="2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</row>
    <row r="309" spans="1:16" x14ac:dyDescent="0.25">
      <c r="A309" s="13"/>
      <c r="B309" s="23"/>
      <c r="C309" s="2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</row>
    <row r="310" spans="1:16" x14ac:dyDescent="0.25">
      <c r="A310" s="13"/>
      <c r="B310" s="23"/>
      <c r="C310" s="2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</row>
    <row r="311" spans="1:16" x14ac:dyDescent="0.25">
      <c r="A311" s="13"/>
      <c r="B311" s="23"/>
      <c r="C311" s="23"/>
    </row>
    <row r="312" spans="1:16" x14ac:dyDescent="0.25">
      <c r="A312" s="13"/>
      <c r="B312" s="23"/>
      <c r="C312" s="23"/>
    </row>
    <row r="313" spans="1:16" x14ac:dyDescent="0.25">
      <c r="A313" s="13"/>
      <c r="B313" s="23"/>
      <c r="C313" s="23"/>
    </row>
    <row r="314" spans="1:16" x14ac:dyDescent="0.25">
      <c r="A314" s="13"/>
      <c r="B314" s="23"/>
      <c r="C314" s="23"/>
    </row>
    <row r="316" spans="1:16" x14ac:dyDescent="0.25">
      <c r="B316" s="23"/>
    </row>
    <row r="317" spans="1:16" x14ac:dyDescent="0.25">
      <c r="B317" s="23"/>
    </row>
    <row r="318" spans="1:16" x14ac:dyDescent="0.25">
      <c r="B318" s="23"/>
    </row>
    <row r="319" spans="1:16" ht="13" x14ac:dyDescent="0.3">
      <c r="B319" s="187"/>
      <c r="C319" s="188"/>
      <c r="D319" s="188"/>
      <c r="E319" s="188"/>
      <c r="F319" s="188"/>
      <c r="G319" s="188"/>
      <c r="H319" s="187"/>
      <c r="I319" s="188"/>
    </row>
    <row r="320" spans="1:16" x14ac:dyDescent="0.25">
      <c r="B320" s="188"/>
      <c r="C320" s="188"/>
      <c r="D320" s="188"/>
      <c r="E320" s="188"/>
      <c r="F320" s="188"/>
      <c r="G320" s="188"/>
      <c r="H320" s="188"/>
      <c r="I320" s="188"/>
    </row>
    <row r="321" spans="1:17" x14ac:dyDescent="0.25">
      <c r="B321" s="188"/>
      <c r="C321" s="188"/>
      <c r="D321" s="188"/>
      <c r="E321" s="188"/>
      <c r="F321" s="188"/>
      <c r="G321" s="188"/>
      <c r="H321" s="188"/>
      <c r="I321" s="188"/>
    </row>
    <row r="322" spans="1:17" ht="13" x14ac:dyDescent="0.3">
      <c r="B322" s="186"/>
      <c r="C322" s="188"/>
      <c r="D322" s="188"/>
      <c r="E322" s="188"/>
      <c r="F322" s="188"/>
      <c r="G322" s="188"/>
      <c r="H322" s="186"/>
      <c r="I322" s="188"/>
    </row>
    <row r="323" spans="1:17" x14ac:dyDescent="0.25">
      <c r="B323" s="188"/>
      <c r="C323" s="188"/>
      <c r="D323" s="188"/>
      <c r="E323" s="188"/>
      <c r="F323" s="188"/>
      <c r="G323" s="188"/>
      <c r="H323" s="188"/>
      <c r="I323" s="188"/>
    </row>
    <row r="324" spans="1:17" x14ac:dyDescent="0.25">
      <c r="B324" s="188"/>
      <c r="C324" s="188"/>
      <c r="D324" s="188"/>
      <c r="E324" s="188"/>
      <c r="F324" s="188"/>
      <c r="G324" s="188"/>
      <c r="H324" s="188"/>
      <c r="I324" s="188"/>
    </row>
    <row r="325" spans="1:17" x14ac:dyDescent="0.25">
      <c r="B325" s="188"/>
      <c r="C325" s="188"/>
      <c r="F325" s="188"/>
      <c r="G325" s="188"/>
      <c r="H325" s="13"/>
      <c r="I325" s="209"/>
      <c r="J325" s="209"/>
    </row>
    <row r="326" spans="1:17" x14ac:dyDescent="0.25">
      <c r="B326" s="206"/>
      <c r="C326" s="188"/>
      <c r="D326" s="188"/>
      <c r="E326" s="188"/>
      <c r="F326" s="188"/>
      <c r="G326" s="188"/>
      <c r="H326" s="206"/>
      <c r="I326" s="188"/>
    </row>
    <row r="327" spans="1:17" x14ac:dyDescent="0.25">
      <c r="B327" s="188"/>
      <c r="C327" s="188"/>
      <c r="D327" s="188"/>
      <c r="E327" s="188"/>
      <c r="F327" s="188"/>
      <c r="G327" s="188"/>
      <c r="H327" s="188"/>
      <c r="I327" s="188"/>
    </row>
    <row r="328" spans="1:17" x14ac:dyDescent="0.25">
      <c r="A328" s="206"/>
      <c r="B328" s="206"/>
      <c r="C328" s="188"/>
      <c r="D328" s="188"/>
      <c r="E328" s="188"/>
      <c r="F328" s="188"/>
      <c r="G328" s="188"/>
      <c r="H328" s="188"/>
      <c r="I328" s="188"/>
    </row>
    <row r="329" spans="1:17" x14ac:dyDescent="0.25">
      <c r="B329" s="2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x14ac:dyDescent="0.25">
      <c r="A330" s="5"/>
      <c r="B330" s="210"/>
      <c r="C330" s="5"/>
      <c r="D330" s="1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x14ac:dyDescent="0.25">
      <c r="A331" s="13"/>
      <c r="B331" s="23"/>
      <c r="C331" s="13"/>
    </row>
    <row r="332" spans="1:17" x14ac:dyDescent="0.25">
      <c r="A332" s="13"/>
      <c r="B332" s="23"/>
      <c r="C332" s="23"/>
    </row>
    <row r="333" spans="1:17" x14ac:dyDescent="0.25">
      <c r="A333" s="13"/>
      <c r="B333" s="23"/>
      <c r="C333" s="23"/>
    </row>
    <row r="334" spans="1:17" x14ac:dyDescent="0.25">
      <c r="A334" s="13"/>
      <c r="B334" s="23"/>
      <c r="C334" s="23"/>
    </row>
    <row r="335" spans="1:17" x14ac:dyDescent="0.25">
      <c r="A335" s="13"/>
      <c r="B335" s="23"/>
      <c r="C335" s="23"/>
    </row>
    <row r="336" spans="1:17" x14ac:dyDescent="0.25">
      <c r="A336" s="13"/>
      <c r="B336" s="23"/>
      <c r="C336" s="23"/>
    </row>
    <row r="337" spans="1:16" x14ac:dyDescent="0.25">
      <c r="A337" s="13"/>
      <c r="B337" s="23"/>
      <c r="C337" s="13"/>
    </row>
    <row r="338" spans="1:16" x14ac:dyDescent="0.25">
      <c r="A338" s="13"/>
      <c r="B338" s="23"/>
      <c r="C338" s="13"/>
    </row>
    <row r="339" spans="1:16" x14ac:dyDescent="0.25">
      <c r="A339" s="13"/>
      <c r="B339" s="23"/>
      <c r="C339" s="13"/>
    </row>
    <row r="340" spans="1:16" x14ac:dyDescent="0.25">
      <c r="A340" s="13"/>
      <c r="B340" s="23"/>
      <c r="C340" s="13"/>
    </row>
    <row r="341" spans="1:16" x14ac:dyDescent="0.25">
      <c r="A341" s="13"/>
      <c r="B341" s="23"/>
    </row>
    <row r="342" spans="1:16" x14ac:dyDescent="0.25">
      <c r="A342" s="13"/>
      <c r="B342" s="23"/>
      <c r="C342" s="23"/>
    </row>
    <row r="343" spans="1:16" x14ac:dyDescent="0.25">
      <c r="A343" s="200"/>
      <c r="B343" s="20"/>
    </row>
    <row r="344" spans="1:16" x14ac:dyDescent="0.25">
      <c r="A344" s="13"/>
      <c r="B344" s="23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</row>
    <row r="345" spans="1:16" x14ac:dyDescent="0.25">
      <c r="A345" s="200"/>
      <c r="B345" s="23"/>
      <c r="C345" s="23"/>
    </row>
    <row r="346" spans="1:16" x14ac:dyDescent="0.25">
      <c r="A346" s="200"/>
      <c r="B346" s="23"/>
      <c r="C346" s="23"/>
    </row>
    <row r="347" spans="1:16" x14ac:dyDescent="0.25">
      <c r="A347" s="200"/>
      <c r="B347" s="20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</row>
    <row r="348" spans="1:16" x14ac:dyDescent="0.25">
      <c r="A348" s="13"/>
      <c r="B348" s="23"/>
    </row>
    <row r="349" spans="1:16" x14ac:dyDescent="0.25">
      <c r="A349" s="200"/>
      <c r="B349" s="23"/>
      <c r="C349" s="23"/>
    </row>
    <row r="350" spans="1:16" x14ac:dyDescent="0.25">
      <c r="A350" s="200"/>
      <c r="B350" s="23"/>
      <c r="C350" s="23"/>
    </row>
    <row r="351" spans="1:16" x14ac:dyDescent="0.25">
      <c r="A351" s="200"/>
      <c r="B351" s="23"/>
      <c r="C351" s="23"/>
    </row>
    <row r="352" spans="1:16" x14ac:dyDescent="0.25">
      <c r="A352" s="200"/>
      <c r="B352" s="23"/>
      <c r="C352" s="23"/>
    </row>
    <row r="353" spans="1:16" x14ac:dyDescent="0.25">
      <c r="A353" s="200"/>
      <c r="B353" s="23"/>
      <c r="C353" s="23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</row>
    <row r="354" spans="1:16" x14ac:dyDescent="0.25">
      <c r="A354" s="200"/>
      <c r="B354" s="20"/>
      <c r="C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</row>
    <row r="355" spans="1:16" x14ac:dyDescent="0.25">
      <c r="A355" s="13"/>
      <c r="B355" s="23"/>
      <c r="C355" s="202"/>
    </row>
    <row r="356" spans="1:16" x14ac:dyDescent="0.25">
      <c r="A356" s="13"/>
      <c r="B356" s="23"/>
      <c r="C356" s="23"/>
    </row>
    <row r="357" spans="1:16" x14ac:dyDescent="0.25">
      <c r="A357" s="13"/>
      <c r="B357" s="23"/>
      <c r="C357" s="23"/>
    </row>
    <row r="358" spans="1:16" x14ac:dyDescent="0.25">
      <c r="A358" s="13"/>
      <c r="B358" s="23"/>
      <c r="C358" s="202"/>
    </row>
    <row r="359" spans="1:16" x14ac:dyDescent="0.25">
      <c r="A359" s="13"/>
      <c r="B359" s="23"/>
      <c r="C359" s="202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</row>
    <row r="360" spans="1:16" x14ac:dyDescent="0.25">
      <c r="A360" s="13"/>
      <c r="B360" s="23"/>
      <c r="C360" s="202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</row>
    <row r="361" spans="1:16" x14ac:dyDescent="0.25">
      <c r="A361" s="200"/>
      <c r="B361" s="20"/>
      <c r="C361" s="202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</row>
    <row r="362" spans="1:16" x14ac:dyDescent="0.25">
      <c r="A362" s="13"/>
      <c r="B362" s="23"/>
    </row>
    <row r="363" spans="1:16" x14ac:dyDescent="0.25">
      <c r="A363" s="13"/>
      <c r="B363" s="23"/>
    </row>
    <row r="364" spans="1:16" x14ac:dyDescent="0.25">
      <c r="A364" s="13"/>
      <c r="B364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4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5" manualBreakCount="5">
    <brk id="113" max="16" man="1"/>
    <brk id="164" max="16" man="1"/>
    <brk id="214" max="16" man="1"/>
    <brk id="265" max="16" man="1"/>
    <brk id="31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63E3-36FE-4B09-95CF-DE34ECA9F237}">
  <sheetPr transitionEvaluation="1" transitionEntry="1"/>
  <dimension ref="A1:P41"/>
  <sheetViews>
    <sheetView showGridLines="0" view="pageBreakPreview" zoomScale="80" zoomScaleNormal="100" zoomScaleSheetLayoutView="80" workbookViewId="0">
      <selection activeCell="Q28" sqref="Q28"/>
    </sheetView>
  </sheetViews>
  <sheetFormatPr defaultColWidth="11.58203125" defaultRowHeight="12.5" x14ac:dyDescent="0.25"/>
  <cols>
    <col min="1" max="1" width="3.33203125" style="27" customWidth="1"/>
    <col min="2" max="2" width="46.33203125" style="27" bestFit="1" customWidth="1"/>
    <col min="3" max="3" width="48.5" style="27" hidden="1" customWidth="1"/>
    <col min="4" max="5" width="13.08203125" style="27" bestFit="1" customWidth="1"/>
    <col min="6" max="7" width="11.83203125" style="27" customWidth="1"/>
    <col min="8" max="8" width="12" style="27" customWidth="1"/>
    <col min="9" max="9" width="13.08203125" style="27" bestFit="1" customWidth="1"/>
    <col min="10" max="10" width="13.33203125" style="27" customWidth="1"/>
    <col min="11" max="11" width="13.58203125" style="27" customWidth="1"/>
    <col min="12" max="12" width="14.83203125" style="27" customWidth="1"/>
    <col min="13" max="13" width="13.58203125" style="27" customWidth="1"/>
    <col min="14" max="15" width="11.83203125" style="27" customWidth="1"/>
    <col min="16" max="16" width="12.58203125" style="27" customWidth="1"/>
    <col min="17" max="17" width="15.08203125" style="27" customWidth="1"/>
    <col min="18" max="18" width="12.58203125" style="27" customWidth="1"/>
    <col min="19" max="16384" width="11.58203125" style="27"/>
  </cols>
  <sheetData>
    <row r="1" spans="1:16" ht="13" x14ac:dyDescent="0.3">
      <c r="C1" s="28"/>
      <c r="J1" s="29"/>
      <c r="K1" s="29"/>
      <c r="L1" s="29"/>
      <c r="M1" s="29"/>
      <c r="O1" s="30"/>
      <c r="P1" s="30"/>
    </row>
    <row r="2" spans="1:16" ht="15" customHeight="1" thickBot="1" x14ac:dyDescent="0.3">
      <c r="A2" s="31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" x14ac:dyDescent="0.3">
      <c r="A3" s="35"/>
      <c r="B3" s="35"/>
      <c r="C3" s="35"/>
      <c r="D3" s="35"/>
      <c r="E3" s="35"/>
      <c r="F3" s="36" t="s">
        <v>11</v>
      </c>
      <c r="G3" s="36"/>
      <c r="H3" s="36"/>
      <c r="I3" s="36"/>
      <c r="J3" s="36"/>
      <c r="K3" s="37"/>
      <c r="L3" s="37"/>
      <c r="M3" s="38"/>
      <c r="N3" s="37"/>
      <c r="O3" s="37"/>
      <c r="P3" s="37"/>
    </row>
    <row r="4" spans="1:16" ht="15" customHeight="1" thickBot="1" x14ac:dyDescent="0.3">
      <c r="A4" s="39"/>
      <c r="B4" s="39"/>
      <c r="C4" s="39"/>
      <c r="D4" s="34"/>
      <c r="E4" s="34"/>
      <c r="F4" s="34"/>
      <c r="G4" s="34"/>
      <c r="H4" s="34"/>
      <c r="I4" s="34"/>
      <c r="J4" s="39"/>
      <c r="K4" s="39"/>
      <c r="L4" s="39"/>
      <c r="M4" s="34"/>
      <c r="N4" s="39"/>
      <c r="O4" s="39"/>
      <c r="P4" s="39"/>
    </row>
    <row r="5" spans="1:16" x14ac:dyDescent="0.25">
      <c r="A5" s="74"/>
      <c r="B5" s="75"/>
      <c r="C5" s="76"/>
      <c r="D5" s="77" t="s">
        <v>400</v>
      </c>
      <c r="E5" s="78" t="s">
        <v>400</v>
      </c>
      <c r="F5" s="78" t="s">
        <v>400</v>
      </c>
      <c r="G5" s="78" t="s">
        <v>400</v>
      </c>
      <c r="H5" s="78" t="s">
        <v>400</v>
      </c>
      <c r="I5" s="79" t="s">
        <v>401</v>
      </c>
      <c r="J5" s="78" t="s">
        <v>401</v>
      </c>
      <c r="K5" s="78" t="s">
        <v>401</v>
      </c>
      <c r="L5" s="78" t="s">
        <v>401</v>
      </c>
      <c r="M5" s="78" t="s">
        <v>401</v>
      </c>
      <c r="N5" s="78" t="s">
        <v>401</v>
      </c>
      <c r="O5" s="78" t="s">
        <v>401</v>
      </c>
      <c r="P5" s="78"/>
    </row>
    <row r="6" spans="1:16" ht="13" thickBot="1" x14ac:dyDescent="0.3">
      <c r="A6" s="80"/>
      <c r="B6" s="81"/>
      <c r="C6" s="82"/>
      <c r="D6" s="83" t="s">
        <v>15</v>
      </c>
      <c r="E6" s="84" t="s">
        <v>16</v>
      </c>
      <c r="F6" s="84" t="s">
        <v>17</v>
      </c>
      <c r="G6" s="84" t="s">
        <v>18</v>
      </c>
      <c r="H6" s="84" t="s">
        <v>19</v>
      </c>
      <c r="I6" s="85" t="s">
        <v>20</v>
      </c>
      <c r="J6" s="84" t="s">
        <v>21</v>
      </c>
      <c r="K6" s="84" t="s">
        <v>22</v>
      </c>
      <c r="L6" s="84" t="s">
        <v>23</v>
      </c>
      <c r="M6" s="84" t="s">
        <v>24</v>
      </c>
      <c r="N6" s="84" t="s">
        <v>25</v>
      </c>
      <c r="O6" s="84" t="s">
        <v>26</v>
      </c>
      <c r="P6" s="84" t="s">
        <v>27</v>
      </c>
    </row>
    <row r="7" spans="1:16" hidden="1" x14ac:dyDescent="0.25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idden="1" x14ac:dyDescent="0.25"/>
    <row r="9" spans="1:16" x14ac:dyDescent="0.25">
      <c r="A9" s="27" t="s">
        <v>55</v>
      </c>
      <c r="B9" s="58" t="s">
        <v>56</v>
      </c>
      <c r="D9" s="55">
        <f>'42-2E'!D28+'42-2E'!D29</f>
        <v>12397545.65</v>
      </c>
      <c r="E9" s="55">
        <f>'42-2E'!E28+'42-2E'!E29</f>
        <v>10689370.210000001</v>
      </c>
      <c r="F9" s="55">
        <f>'42-2E'!F28+'42-2E'!F29</f>
        <v>8044647.0600000005</v>
      </c>
      <c r="G9" s="55">
        <f>'42-2E'!G28+'42-2E'!G29</f>
        <v>4672975.5099999988</v>
      </c>
      <c r="H9" s="55">
        <f>'42-2E'!H28+'42-2E'!H29</f>
        <v>3127027.3299999991</v>
      </c>
      <c r="I9" s="55">
        <f>'42-2E'!I28+'42-2E'!I29</f>
        <v>2027150.4600000009</v>
      </c>
      <c r="J9" s="55">
        <f>'42-2E'!J28+'42-2E'!J29</f>
        <v>4759181.0500000007</v>
      </c>
      <c r="K9" s="55">
        <f>'42-2E'!K28+'42-2E'!K29</f>
        <v>11007394.570000002</v>
      </c>
      <c r="L9" s="55">
        <f>'42-2E'!L28+'42-2E'!L29</f>
        <v>14768227.800000003</v>
      </c>
      <c r="M9" s="55">
        <f>'42-2E'!M28+'42-2E'!M29</f>
        <v>16278411.710000005</v>
      </c>
      <c r="N9" s="55">
        <f>'42-2E'!N28+'42-2E'!N29</f>
        <v>15997106.420000004</v>
      </c>
      <c r="O9" s="55">
        <f>'42-2E'!O28+'42-2E'!O29</f>
        <v>13409479.600000005</v>
      </c>
    </row>
    <row r="11" spans="1:16" ht="13" thickBot="1" x14ac:dyDescent="0.3">
      <c r="A11" s="27" t="s">
        <v>57</v>
      </c>
      <c r="B11" s="27" t="s">
        <v>58</v>
      </c>
      <c r="C11" s="58" t="s">
        <v>59</v>
      </c>
      <c r="D11" s="56">
        <f>D9+'42-2E'!D24+'42-2E'!D33</f>
        <v>10673843.17</v>
      </c>
      <c r="E11" s="56">
        <f>E9+'42-2E'!E24+'42-2E'!E33</f>
        <v>8032169.1400000006</v>
      </c>
      <c r="F11" s="56">
        <f>F9+'42-2E'!F24+'42-2E'!F33</f>
        <v>4661106.6199999992</v>
      </c>
      <c r="G11" s="56">
        <f>G9+'42-2E'!G24+'42-2E'!G33</f>
        <v>3123339.669999999</v>
      </c>
      <c r="H11" s="56">
        <f>H9+'42-2E'!H24+'42-2E'!H33</f>
        <v>2027000.9900000012</v>
      </c>
      <c r="I11" s="56">
        <f>I9+'42-2E'!I24+'42-2E'!I33</f>
        <v>4758953.7200000007</v>
      </c>
      <c r="J11" s="56">
        <f>J9+'42-2E'!J24+'42-2E'!J33</f>
        <v>11006866.410000002</v>
      </c>
      <c r="K11" s="56">
        <f>K9+'42-2E'!K24+'42-2E'!K33</f>
        <v>14767364.350000001</v>
      </c>
      <c r="L11" s="56">
        <f>L9+'42-2E'!L24+'42-2E'!L33</f>
        <v>16277371.680000007</v>
      </c>
      <c r="M11" s="56">
        <f>M9+'42-2E'!M24+'42-2E'!M33</f>
        <v>15996025.230000004</v>
      </c>
      <c r="N11" s="56">
        <f>N9+'42-2E'!N24+'42-2E'!N33</f>
        <v>13408494.510000005</v>
      </c>
      <c r="O11" s="56">
        <f>O9+'42-2E'!O24+'42-2E'!O33</f>
        <v>13552683.710000005</v>
      </c>
    </row>
    <row r="12" spans="1:16" hidden="1" x14ac:dyDescent="0.25"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6" x14ac:dyDescent="0.25">
      <c r="A13" s="27" t="s">
        <v>60</v>
      </c>
      <c r="B13" s="27" t="s">
        <v>61</v>
      </c>
      <c r="D13" s="55">
        <f t="shared" ref="D13:O13" si="0">D9+D11</f>
        <v>23071388.82</v>
      </c>
      <c r="E13" s="55">
        <f t="shared" si="0"/>
        <v>18721539.350000001</v>
      </c>
      <c r="F13" s="55">
        <f t="shared" si="0"/>
        <v>12705753.68</v>
      </c>
      <c r="G13" s="55">
        <f t="shared" si="0"/>
        <v>7796315.1799999978</v>
      </c>
      <c r="H13" s="55">
        <f t="shared" si="0"/>
        <v>5154028.32</v>
      </c>
      <c r="I13" s="55">
        <f t="shared" si="0"/>
        <v>6786104.1800000016</v>
      </c>
      <c r="J13" s="55">
        <f t="shared" si="0"/>
        <v>15766047.460000003</v>
      </c>
      <c r="K13" s="55">
        <f t="shared" si="0"/>
        <v>25774758.920000002</v>
      </c>
      <c r="L13" s="55">
        <f t="shared" si="0"/>
        <v>31045599.480000012</v>
      </c>
      <c r="M13" s="55">
        <f t="shared" si="0"/>
        <v>32274436.940000009</v>
      </c>
      <c r="N13" s="55">
        <f t="shared" si="0"/>
        <v>29405600.930000007</v>
      </c>
      <c r="O13" s="55">
        <f t="shared" si="0"/>
        <v>26962163.31000001</v>
      </c>
    </row>
    <row r="14" spans="1:16" hidden="1" x14ac:dyDescent="0.25"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6" x14ac:dyDescent="0.25">
      <c r="A15" s="27" t="s">
        <v>62</v>
      </c>
      <c r="B15" s="27" t="s">
        <v>63</v>
      </c>
      <c r="D15" s="55">
        <f t="shared" ref="D15:O15" si="1">ROUND(D13/2,2)</f>
        <v>11535694.41</v>
      </c>
      <c r="E15" s="55">
        <f t="shared" si="1"/>
        <v>9360769.6799999997</v>
      </c>
      <c r="F15" s="55">
        <f t="shared" si="1"/>
        <v>6352876.8399999999</v>
      </c>
      <c r="G15" s="55">
        <f t="shared" si="1"/>
        <v>3898157.59</v>
      </c>
      <c r="H15" s="55">
        <f t="shared" si="1"/>
        <v>2577014.16</v>
      </c>
      <c r="I15" s="55">
        <f t="shared" si="1"/>
        <v>3393052.09</v>
      </c>
      <c r="J15" s="55">
        <f t="shared" si="1"/>
        <v>7883023.7300000004</v>
      </c>
      <c r="K15" s="55">
        <f t="shared" si="1"/>
        <v>12887379.460000001</v>
      </c>
      <c r="L15" s="55">
        <f>ROUND(L13/2,2)</f>
        <v>15522799.74</v>
      </c>
      <c r="M15" s="55">
        <f t="shared" si="1"/>
        <v>16137218.470000001</v>
      </c>
      <c r="N15" s="55">
        <f t="shared" si="1"/>
        <v>14702800.470000001</v>
      </c>
      <c r="O15" s="55">
        <f t="shared" si="1"/>
        <v>13481081.66</v>
      </c>
    </row>
    <row r="17" spans="1:16" ht="14.5" x14ac:dyDescent="0.25">
      <c r="A17" s="27" t="s">
        <v>64</v>
      </c>
      <c r="B17" s="27" t="s">
        <v>65</v>
      </c>
      <c r="D17" s="86">
        <v>1.5900000000000001E-2</v>
      </c>
      <c r="E17" s="86">
        <f>D19</f>
        <v>1.6400000000000001E-2</v>
      </c>
      <c r="F17" s="86">
        <f>E19</f>
        <v>1.5599999999999999E-2</v>
      </c>
      <c r="G17" s="86">
        <f>F19</f>
        <v>2.2100000000000002E-2</v>
      </c>
      <c r="H17" s="86">
        <f>G19</f>
        <v>5.9999999999999995E-4</v>
      </c>
      <c r="I17" s="86">
        <f>H19</f>
        <v>8.0000000000000004E-4</v>
      </c>
      <c r="J17" s="86">
        <f t="shared" ref="J17:O17" si="2">I17</f>
        <v>8.0000000000000004E-4</v>
      </c>
      <c r="K17" s="86">
        <f t="shared" si="2"/>
        <v>8.0000000000000004E-4</v>
      </c>
      <c r="L17" s="86">
        <f t="shared" si="2"/>
        <v>8.0000000000000004E-4</v>
      </c>
      <c r="M17" s="86">
        <f t="shared" si="2"/>
        <v>8.0000000000000004E-4</v>
      </c>
      <c r="N17" s="86">
        <f t="shared" si="2"/>
        <v>8.0000000000000004E-4</v>
      </c>
      <c r="O17" s="86">
        <f t="shared" si="2"/>
        <v>8.0000000000000004E-4</v>
      </c>
      <c r="P17" s="69"/>
    </row>
    <row r="18" spans="1:16" hidden="1" x14ac:dyDescent="0.25"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6" ht="14.5" x14ac:dyDescent="0.25">
      <c r="A19" s="27" t="s">
        <v>66</v>
      </c>
      <c r="B19" s="27" t="s">
        <v>67</v>
      </c>
      <c r="D19" s="86">
        <v>1.6400000000000001E-2</v>
      </c>
      <c r="E19" s="86">
        <v>1.5599999999999999E-2</v>
      </c>
      <c r="F19" s="86">
        <v>2.2100000000000002E-2</v>
      </c>
      <c r="G19" s="86">
        <v>5.9999999999999995E-4</v>
      </c>
      <c r="H19" s="86">
        <v>8.0000000000000004E-4</v>
      </c>
      <c r="I19" s="86">
        <f t="shared" ref="I19:O19" si="3">H19</f>
        <v>8.0000000000000004E-4</v>
      </c>
      <c r="J19" s="86">
        <f t="shared" si="3"/>
        <v>8.0000000000000004E-4</v>
      </c>
      <c r="K19" s="86">
        <f t="shared" si="3"/>
        <v>8.0000000000000004E-4</v>
      </c>
      <c r="L19" s="86">
        <f t="shared" si="3"/>
        <v>8.0000000000000004E-4</v>
      </c>
      <c r="M19" s="86">
        <f t="shared" si="3"/>
        <v>8.0000000000000004E-4</v>
      </c>
      <c r="N19" s="86">
        <f t="shared" si="3"/>
        <v>8.0000000000000004E-4</v>
      </c>
      <c r="O19" s="86">
        <f t="shared" si="3"/>
        <v>8.0000000000000004E-4</v>
      </c>
      <c r="P19" s="69"/>
    </row>
    <row r="20" spans="1:16" x14ac:dyDescent="0.25"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6" x14ac:dyDescent="0.25">
      <c r="A21" s="27" t="s">
        <v>68</v>
      </c>
      <c r="B21" s="27" t="s">
        <v>69</v>
      </c>
      <c r="D21" s="86">
        <f>D17+D19</f>
        <v>3.2300000000000002E-2</v>
      </c>
      <c r="E21" s="86">
        <f t="shared" ref="E21:O21" si="4">E17+E19</f>
        <v>3.2000000000000001E-2</v>
      </c>
      <c r="F21" s="86">
        <f t="shared" si="4"/>
        <v>3.7699999999999997E-2</v>
      </c>
      <c r="G21" s="86">
        <f t="shared" si="4"/>
        <v>2.2700000000000001E-2</v>
      </c>
      <c r="H21" s="86">
        <f t="shared" si="4"/>
        <v>1.4E-3</v>
      </c>
      <c r="I21" s="86">
        <f t="shared" si="4"/>
        <v>1.6000000000000001E-3</v>
      </c>
      <c r="J21" s="86">
        <f t="shared" si="4"/>
        <v>1.6000000000000001E-3</v>
      </c>
      <c r="K21" s="86">
        <f t="shared" si="4"/>
        <v>1.6000000000000001E-3</v>
      </c>
      <c r="L21" s="86">
        <f t="shared" si="4"/>
        <v>1.6000000000000001E-3</v>
      </c>
      <c r="M21" s="86">
        <f t="shared" si="4"/>
        <v>1.6000000000000001E-3</v>
      </c>
      <c r="N21" s="86">
        <f t="shared" si="4"/>
        <v>1.6000000000000001E-3</v>
      </c>
      <c r="O21" s="86">
        <f t="shared" si="4"/>
        <v>1.6000000000000001E-3</v>
      </c>
      <c r="P21" s="69"/>
    </row>
    <row r="22" spans="1:16" hidden="1" x14ac:dyDescent="0.25"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6" x14ac:dyDescent="0.25">
      <c r="A23" s="27" t="s">
        <v>70</v>
      </c>
      <c r="B23" s="27" t="s">
        <v>71</v>
      </c>
      <c r="D23" s="86">
        <f>ROUND(D21/2,6)</f>
        <v>1.6150000000000001E-2</v>
      </c>
      <c r="E23" s="86">
        <f t="shared" ref="E23:O23" si="5">ROUND(E21/2,6)</f>
        <v>1.6E-2</v>
      </c>
      <c r="F23" s="86">
        <f t="shared" si="5"/>
        <v>1.8849999999999999E-2</v>
      </c>
      <c r="G23" s="86">
        <f t="shared" si="5"/>
        <v>1.1350000000000001E-2</v>
      </c>
      <c r="H23" s="86">
        <f t="shared" si="5"/>
        <v>6.9999999999999999E-4</v>
      </c>
      <c r="I23" s="86">
        <f t="shared" si="5"/>
        <v>8.0000000000000004E-4</v>
      </c>
      <c r="J23" s="86">
        <f t="shared" si="5"/>
        <v>8.0000000000000004E-4</v>
      </c>
      <c r="K23" s="86">
        <f t="shared" si="5"/>
        <v>8.0000000000000004E-4</v>
      </c>
      <c r="L23" s="86">
        <f t="shared" si="5"/>
        <v>8.0000000000000004E-4</v>
      </c>
      <c r="M23" s="86">
        <f t="shared" si="5"/>
        <v>8.0000000000000004E-4</v>
      </c>
      <c r="N23" s="86">
        <f t="shared" si="5"/>
        <v>8.0000000000000004E-4</v>
      </c>
      <c r="O23" s="86">
        <f t="shared" si="5"/>
        <v>8.0000000000000004E-4</v>
      </c>
      <c r="P23" s="69"/>
    </row>
    <row r="24" spans="1:16" hidden="1" x14ac:dyDescent="0.25"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6" x14ac:dyDescent="0.25">
      <c r="A25" s="27" t="s">
        <v>72</v>
      </c>
      <c r="B25" s="27" t="s">
        <v>73</v>
      </c>
      <c r="D25" s="86">
        <f>ROUND(D23/12,6)</f>
        <v>1.346E-3</v>
      </c>
      <c r="E25" s="86">
        <f t="shared" ref="E25:O25" si="6">ROUND(E23/12,6)</f>
        <v>1.333E-3</v>
      </c>
      <c r="F25" s="86">
        <f t="shared" si="6"/>
        <v>1.5709999999999999E-3</v>
      </c>
      <c r="G25" s="86">
        <f t="shared" si="6"/>
        <v>9.4600000000000001E-4</v>
      </c>
      <c r="H25" s="86">
        <f t="shared" si="6"/>
        <v>5.8E-5</v>
      </c>
      <c r="I25" s="86">
        <f t="shared" si="6"/>
        <v>6.7000000000000002E-5</v>
      </c>
      <c r="J25" s="86">
        <f t="shared" si="6"/>
        <v>6.7000000000000002E-5</v>
      </c>
      <c r="K25" s="86">
        <f t="shared" si="6"/>
        <v>6.7000000000000002E-5</v>
      </c>
      <c r="L25" s="86">
        <f t="shared" si="6"/>
        <v>6.7000000000000002E-5</v>
      </c>
      <c r="M25" s="86">
        <f t="shared" si="6"/>
        <v>6.7000000000000002E-5</v>
      </c>
      <c r="N25" s="86">
        <f t="shared" si="6"/>
        <v>6.7000000000000002E-5</v>
      </c>
      <c r="O25" s="86">
        <f t="shared" si="6"/>
        <v>6.7000000000000002E-5</v>
      </c>
      <c r="P25" s="69"/>
    </row>
    <row r="26" spans="1:16" ht="13" thickBot="1" x14ac:dyDescent="0.3"/>
    <row r="27" spans="1:16" ht="19.5" customHeight="1" thickBot="1" x14ac:dyDescent="0.3">
      <c r="A27" s="27" t="s">
        <v>74</v>
      </c>
      <c r="B27" s="27" t="s">
        <v>75</v>
      </c>
      <c r="D27" s="64">
        <f>ROUND(+D15*D25,2)</f>
        <v>15527.04</v>
      </c>
      <c r="E27" s="64">
        <f>ROUND(+E15*E25,2)+0.01</f>
        <v>12477.92</v>
      </c>
      <c r="F27" s="64">
        <f t="shared" ref="F27:O27" si="7">ROUND(+F15*F25,2)</f>
        <v>9980.3700000000008</v>
      </c>
      <c r="G27" s="64">
        <f t="shared" si="7"/>
        <v>3687.66</v>
      </c>
      <c r="H27" s="64">
        <f>ROUND(+H15*H25,2)</f>
        <v>149.47</v>
      </c>
      <c r="I27" s="64">
        <f t="shared" si="7"/>
        <v>227.33</v>
      </c>
      <c r="J27" s="64">
        <f t="shared" si="7"/>
        <v>528.16</v>
      </c>
      <c r="K27" s="64">
        <f t="shared" si="7"/>
        <v>863.45</v>
      </c>
      <c r="L27" s="64">
        <f>ROUND(+L15*L25,2)</f>
        <v>1040.03</v>
      </c>
      <c r="M27" s="64">
        <f t="shared" si="7"/>
        <v>1081.19</v>
      </c>
      <c r="N27" s="64">
        <f t="shared" si="7"/>
        <v>985.09</v>
      </c>
      <c r="O27" s="64">
        <f t="shared" si="7"/>
        <v>903.23</v>
      </c>
      <c r="P27" s="64">
        <f>SUM(D27:O27)</f>
        <v>47450.94000000001</v>
      </c>
    </row>
    <row r="28" spans="1:16" ht="13" thickTop="1" x14ac:dyDescent="0.25"/>
    <row r="30" spans="1:16" x14ac:dyDescent="0.25">
      <c r="A30" s="87" t="s">
        <v>76</v>
      </c>
      <c r="B30" s="88"/>
      <c r="C30" s="89"/>
    </row>
    <row r="31" spans="1:16" x14ac:dyDescent="0.25">
      <c r="A31" s="87">
        <v>1</v>
      </c>
      <c r="B31" s="90" t="s">
        <v>77</v>
      </c>
      <c r="C31" s="89"/>
      <c r="H31" s="59"/>
    </row>
    <row r="32" spans="1:16" x14ac:dyDescent="0.25">
      <c r="G32" s="40"/>
      <c r="H32" s="40"/>
      <c r="I32" s="40"/>
    </row>
    <row r="34" spans="2:15" ht="15.5" x14ac:dyDescent="0.35">
      <c r="B34" s="66"/>
      <c r="D34" s="73"/>
      <c r="E34" s="73"/>
      <c r="F34" s="73"/>
      <c r="G34" s="73"/>
      <c r="H34" s="73"/>
    </row>
    <row r="35" spans="2:15" x14ac:dyDescent="0.25">
      <c r="B35" s="66"/>
    </row>
    <row r="41" spans="2:15" x14ac:dyDescent="0.25">
      <c r="O41" s="27" t="s">
        <v>8</v>
      </c>
    </row>
  </sheetData>
  <mergeCells count="1">
    <mergeCell ref="F3:J3"/>
  </mergeCells>
  <pageMargins left="0.5" right="0.5" top="1" bottom="0.75" header="0.55000000000000004" footer="0.3"/>
  <pageSetup scale="54" fitToHeight="0" orientation="landscape" r:id="rId1"/>
  <headerFooter alignWithMargins="0">
    <oddHeader>&amp;C&amp;"Arial,Regular"&amp;8GULF POWER COMPANY
 ENVIRONMENTAL COST RECOVERY CLAUSE
 CALCULATION OF THE ACTUAL / ESTIMATED TRUE-UP AMOUNT FOR THE PERIOD&amp;R&amp;"Arial,Regular"&amp;8REVISED FORM 42-3E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3EE1-FEDF-4B5D-82D1-04B2425430B8}">
  <dimension ref="A1:AF180"/>
  <sheetViews>
    <sheetView showGridLines="0" defaultGridColor="0" view="pageBreakPreview" colorId="8" zoomScale="82" zoomScaleNormal="75" zoomScaleSheetLayoutView="82" workbookViewId="0">
      <selection activeCell="Q28" sqref="Q28"/>
    </sheetView>
  </sheetViews>
  <sheetFormatPr defaultColWidth="8.75" defaultRowHeight="12.5" x14ac:dyDescent="0.25"/>
  <cols>
    <col min="1" max="1" width="3.75" style="1" customWidth="1"/>
    <col min="2" max="2" width="3.58203125" style="1" customWidth="1"/>
    <col min="3" max="3" width="37.33203125" style="1" customWidth="1"/>
    <col min="4" max="4" width="13.5" style="1" customWidth="1"/>
    <col min="5" max="5" width="11.25" style="1" customWidth="1"/>
    <col min="6" max="6" width="10" style="1" customWidth="1"/>
    <col min="7" max="7" width="10.83203125" style="1" customWidth="1"/>
    <col min="8" max="8" width="10.08203125" style="1" customWidth="1"/>
    <col min="9" max="9" width="10.83203125" style="1" customWidth="1"/>
    <col min="10" max="10" width="11" style="1" customWidth="1"/>
    <col min="11" max="11" width="9.83203125" style="1" customWidth="1"/>
    <col min="12" max="12" width="10.58203125" style="1" customWidth="1"/>
    <col min="13" max="13" width="10.75" style="1" customWidth="1"/>
    <col min="14" max="14" width="10.08203125" style="1" customWidth="1"/>
    <col min="15" max="15" width="9.75" style="1" customWidth="1"/>
    <col min="16" max="16" width="10.58203125" style="1" customWidth="1"/>
    <col min="17" max="17" width="12.08203125" style="1" customWidth="1"/>
    <col min="18" max="18" width="3.58203125" style="1" customWidth="1"/>
    <col min="19" max="19" width="8.75" style="1"/>
    <col min="20" max="32" width="3" style="1" bestFit="1" customWidth="1"/>
    <col min="33" max="16384" width="8.7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23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9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344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0</v>
      </c>
      <c r="E20" s="1">
        <f t="shared" ref="E20:P20" si="0">D20+E16-E17</f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1">
        <v>0</v>
      </c>
      <c r="E21" s="1">
        <f t="shared" ref="E21:P21" si="1">D21-E32-E33-E34+E17+E18-E19</f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0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P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  <c r="P22" s="199">
        <f t="shared" si="2"/>
        <v>0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13">
        <v>5</v>
      </c>
      <c r="B23" s="23" t="s">
        <v>275</v>
      </c>
      <c r="C23" s="13"/>
      <c r="D23" s="199">
        <f t="shared" ref="D23:P23" si="3">SUM(D20:D22)</f>
        <v>0</v>
      </c>
      <c r="E23" s="199">
        <f t="shared" si="3"/>
        <v>0</v>
      </c>
      <c r="F23" s="199">
        <f t="shared" si="3"/>
        <v>0</v>
      </c>
      <c r="G23" s="199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199">
        <f t="shared" si="3"/>
        <v>0</v>
      </c>
      <c r="O23" s="199">
        <f t="shared" si="3"/>
        <v>0</v>
      </c>
      <c r="P23" s="199">
        <f t="shared" si="3"/>
        <v>0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0</v>
      </c>
      <c r="F25" s="1">
        <f t="shared" ref="F25:P25" si="4">(E23+F23)/2</f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>ROUND(SUM(E28:P28),2)</f>
        <v>0</v>
      </c>
    </row>
    <row r="29" spans="1:32" x14ac:dyDescent="0.25">
      <c r="A29" s="200"/>
      <c r="B29" s="23" t="s">
        <v>264</v>
      </c>
      <c r="C29" s="23" t="s">
        <v>279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>ROUND(SUM(E29:P29),2)</f>
        <v>0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>SUM(E32:P32)</f>
        <v>0</v>
      </c>
    </row>
    <row r="33" spans="1:17" x14ac:dyDescent="0.25">
      <c r="A33" s="200"/>
      <c r="B33" s="23" t="s">
        <v>264</v>
      </c>
      <c r="C33" s="23" t="s">
        <v>282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>SUM(E33:P33)</f>
        <v>0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0</v>
      </c>
      <c r="F38" s="1">
        <f t="shared" ref="F38:P38" si="5">SUM(F28:F36)</f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>
        <f t="shared" si="5"/>
        <v>0</v>
      </c>
      <c r="Q38" s="1">
        <f>SUM(E38:P38)</f>
        <v>0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0</v>
      </c>
      <c r="F39" s="1">
        <f t="shared" ref="F39:P39" si="6">F38*1/13</f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0</v>
      </c>
      <c r="Q39" s="1">
        <f>SUM(E39:P39)</f>
        <v>0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0</v>
      </c>
      <c r="F40" s="1">
        <f t="shared" si="7"/>
        <v>0</v>
      </c>
      <c r="G40" s="1">
        <f t="shared" si="7"/>
        <v>0</v>
      </c>
      <c r="H40" s="1">
        <f t="shared" si="7"/>
        <v>0</v>
      </c>
      <c r="I40" s="1">
        <f t="shared" si="7"/>
        <v>0</v>
      </c>
      <c r="J40" s="1">
        <f t="shared" si="7"/>
        <v>0</v>
      </c>
      <c r="K40" s="1">
        <f t="shared" si="7"/>
        <v>0</v>
      </c>
      <c r="L40" s="1">
        <f t="shared" si="7"/>
        <v>0</v>
      </c>
      <c r="M40" s="1">
        <f t="shared" si="7"/>
        <v>0</v>
      </c>
      <c r="N40" s="1">
        <f t="shared" si="7"/>
        <v>0</v>
      </c>
      <c r="O40" s="1">
        <f t="shared" si="7"/>
        <v>0</v>
      </c>
      <c r="P40" s="1">
        <f t="shared" si="7"/>
        <v>0</v>
      </c>
      <c r="Q40" s="1">
        <f>SUM(E40:P40)</f>
        <v>0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>SUM(E45:P45)</f>
        <v>0</v>
      </c>
    </row>
    <row r="46" spans="1:17" x14ac:dyDescent="0.25">
      <c r="A46" s="13">
        <v>13</v>
      </c>
      <c r="B46" s="23" t="s">
        <v>290</v>
      </c>
      <c r="E46" s="199">
        <f>E40*E43</f>
        <v>0</v>
      </c>
      <c r="F46" s="199">
        <f t="shared" ref="F46:P46" si="8">F40*F43</f>
        <v>0</v>
      </c>
      <c r="G46" s="199">
        <f t="shared" si="8"/>
        <v>0</v>
      </c>
      <c r="H46" s="199">
        <f t="shared" si="8"/>
        <v>0</v>
      </c>
      <c r="I46" s="199">
        <f t="shared" si="8"/>
        <v>0</v>
      </c>
      <c r="J46" s="199">
        <f t="shared" si="8"/>
        <v>0</v>
      </c>
      <c r="K46" s="199">
        <f t="shared" si="8"/>
        <v>0</v>
      </c>
      <c r="L46" s="199">
        <f t="shared" si="8"/>
        <v>0</v>
      </c>
      <c r="M46" s="199">
        <f t="shared" si="8"/>
        <v>0</v>
      </c>
      <c r="N46" s="199">
        <f t="shared" si="8"/>
        <v>0</v>
      </c>
      <c r="O46" s="199">
        <f t="shared" si="8"/>
        <v>0</v>
      </c>
      <c r="P46" s="199">
        <f t="shared" si="8"/>
        <v>0</v>
      </c>
      <c r="Q46" s="199">
        <f>SUM(E46:P46)</f>
        <v>0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0</v>
      </c>
      <c r="F47" s="204">
        <f t="shared" si="9"/>
        <v>0</v>
      </c>
      <c r="G47" s="204">
        <f t="shared" si="9"/>
        <v>0</v>
      </c>
      <c r="H47" s="204">
        <f t="shared" si="9"/>
        <v>0</v>
      </c>
      <c r="I47" s="204">
        <f t="shared" si="9"/>
        <v>0</v>
      </c>
      <c r="J47" s="204">
        <f t="shared" si="9"/>
        <v>0</v>
      </c>
      <c r="K47" s="204">
        <f t="shared" si="9"/>
        <v>0</v>
      </c>
      <c r="L47" s="204">
        <f t="shared" si="9"/>
        <v>0</v>
      </c>
      <c r="M47" s="204">
        <f t="shared" si="9"/>
        <v>0</v>
      </c>
      <c r="N47" s="204">
        <f t="shared" si="9"/>
        <v>0</v>
      </c>
      <c r="O47" s="204">
        <f t="shared" si="9"/>
        <v>0</v>
      </c>
      <c r="P47" s="204">
        <f t="shared" si="9"/>
        <v>0</v>
      </c>
      <c r="Q47" s="204">
        <f t="shared" si="9"/>
        <v>0</v>
      </c>
    </row>
    <row r="48" spans="1:17" ht="13" thickTop="1" x14ac:dyDescent="0.25">
      <c r="A48" s="200"/>
      <c r="B48" s="20"/>
    </row>
    <row r="49" spans="1:17" x14ac:dyDescent="0.25">
      <c r="A49" s="210" t="s">
        <v>76</v>
      </c>
      <c r="B49" s="23"/>
    </row>
    <row r="50" spans="1:17" x14ac:dyDescent="0.25">
      <c r="A50" s="23" t="s">
        <v>168</v>
      </c>
      <c r="B50" s="23" t="s">
        <v>292</v>
      </c>
    </row>
    <row r="51" spans="1:17" x14ac:dyDescent="0.25">
      <c r="A51" s="23" t="s">
        <v>170</v>
      </c>
      <c r="B51" s="11" t="s">
        <v>293</v>
      </c>
    </row>
    <row r="52" spans="1:17" x14ac:dyDescent="0.25">
      <c r="A52" s="23" t="s">
        <v>255</v>
      </c>
      <c r="B52" s="23" t="s">
        <v>294</v>
      </c>
    </row>
    <row r="53" spans="1:17" x14ac:dyDescent="0.25">
      <c r="A53" s="23" t="s">
        <v>295</v>
      </c>
      <c r="B53" s="23" t="s">
        <v>296</v>
      </c>
    </row>
    <row r="54" spans="1:17" x14ac:dyDescent="0.25">
      <c r="A54" s="23" t="s">
        <v>297</v>
      </c>
      <c r="B54" s="11" t="s">
        <v>298</v>
      </c>
    </row>
    <row r="55" spans="1:17" x14ac:dyDescent="0.25">
      <c r="A55" s="23" t="s">
        <v>299</v>
      </c>
      <c r="B55" s="23" t="s">
        <v>300</v>
      </c>
    </row>
    <row r="56" spans="1:17" x14ac:dyDescent="0.25">
      <c r="A56" s="23" t="s">
        <v>301</v>
      </c>
      <c r="B56" s="23" t="s">
        <v>302</v>
      </c>
    </row>
    <row r="57" spans="1:17" x14ac:dyDescent="0.25">
      <c r="A57" s="23" t="s">
        <v>303</v>
      </c>
      <c r="B57" s="23" t="s">
        <v>304</v>
      </c>
    </row>
    <row r="58" spans="1:17" x14ac:dyDescent="0.25">
      <c r="A58" s="23" t="s">
        <v>305</v>
      </c>
      <c r="B58" s="23" t="s">
        <v>306</v>
      </c>
    </row>
    <row r="59" spans="1:17" x14ac:dyDescent="0.25">
      <c r="A59" s="11" t="s">
        <v>307</v>
      </c>
      <c r="B59" s="23" t="s">
        <v>308</v>
      </c>
    </row>
    <row r="60" spans="1:17" x14ac:dyDescent="0.25">
      <c r="A60" s="11" t="s">
        <v>309</v>
      </c>
      <c r="B60" s="23" t="s">
        <v>310</v>
      </c>
    </row>
    <row r="63" spans="1:17" ht="13" x14ac:dyDescent="0.3">
      <c r="Q63" s="226"/>
    </row>
    <row r="64" spans="1:17" x14ac:dyDescent="0.25">
      <c r="Q64" s="16"/>
    </row>
    <row r="65" spans="1:17" ht="13" x14ac:dyDescent="0.3">
      <c r="B65" s="187"/>
      <c r="C65" s="188"/>
      <c r="D65" s="188"/>
      <c r="E65" s="188"/>
      <c r="F65" s="188"/>
      <c r="G65" s="188"/>
      <c r="H65" s="187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188"/>
      <c r="H70" s="188"/>
      <c r="I70" s="188"/>
    </row>
    <row r="71" spans="1:17" x14ac:dyDescent="0.25">
      <c r="B71" s="188"/>
      <c r="C71" s="188"/>
      <c r="F71" s="188"/>
      <c r="G71" s="188"/>
      <c r="H71" s="188"/>
      <c r="I71" s="23"/>
    </row>
    <row r="72" spans="1:17" x14ac:dyDescent="0.25">
      <c r="B72" s="206"/>
      <c r="C72" s="188"/>
      <c r="D72" s="188"/>
      <c r="E72" s="188"/>
      <c r="F72" s="188"/>
      <c r="G72" s="188"/>
      <c r="H72" s="13"/>
      <c r="I72" s="227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2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23"/>
      <c r="C86" s="13"/>
    </row>
    <row r="87" spans="1:16" x14ac:dyDescent="0.25">
      <c r="A87" s="13"/>
      <c r="B87" s="23"/>
    </row>
    <row r="88" spans="1:16" x14ac:dyDescent="0.25">
      <c r="A88" s="13"/>
      <c r="B88" s="23"/>
      <c r="C88" s="23"/>
    </row>
    <row r="89" spans="1:16" x14ac:dyDescent="0.25">
      <c r="A89" s="200"/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A91" s="200"/>
      <c r="B91" s="23"/>
      <c r="C91" s="23"/>
    </row>
    <row r="92" spans="1:16" x14ac:dyDescent="0.25">
      <c r="A92" s="200"/>
      <c r="B92" s="23"/>
      <c r="C92" s="23"/>
    </row>
    <row r="93" spans="1:16" x14ac:dyDescent="0.25">
      <c r="A93" s="200"/>
      <c r="B93" s="20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x14ac:dyDescent="0.25">
      <c r="A94" s="13"/>
      <c r="B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6" x14ac:dyDescent="0.25">
      <c r="A101" s="13"/>
      <c r="B101" s="23"/>
    </row>
    <row r="102" spans="1:16" x14ac:dyDescent="0.25">
      <c r="A102" s="200"/>
      <c r="B102" s="23"/>
      <c r="C102" s="23"/>
    </row>
    <row r="103" spans="1:16" x14ac:dyDescent="0.25">
      <c r="A103" s="200"/>
      <c r="B103" s="23"/>
      <c r="C103" s="23"/>
    </row>
    <row r="104" spans="1:16" x14ac:dyDescent="0.25">
      <c r="A104" s="200"/>
      <c r="B104" s="20"/>
      <c r="C104" s="202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13"/>
      <c r="B110" s="23"/>
    </row>
    <row r="111" spans="1:16" x14ac:dyDescent="0.25">
      <c r="A111" s="200"/>
      <c r="B111" s="20"/>
    </row>
    <row r="112" spans="1:16" x14ac:dyDescent="0.25">
      <c r="A112" s="5"/>
      <c r="B112" s="23"/>
    </row>
    <row r="113" spans="1:17" x14ac:dyDescent="0.25">
      <c r="A113" s="23"/>
      <c r="B113" s="23"/>
    </row>
    <row r="114" spans="1:17" x14ac:dyDescent="0.25">
      <c r="A114" s="23"/>
      <c r="B114" s="23"/>
    </row>
    <row r="115" spans="1:17" x14ac:dyDescent="0.25">
      <c r="A115" s="23"/>
      <c r="B115" s="23"/>
    </row>
    <row r="116" spans="1:17" x14ac:dyDescent="0.25">
      <c r="A116" s="23"/>
      <c r="B116" s="23"/>
    </row>
    <row r="117" spans="1:17" x14ac:dyDescent="0.25">
      <c r="A117" s="23"/>
      <c r="B117" s="23"/>
    </row>
    <row r="118" spans="1:17" x14ac:dyDescent="0.25">
      <c r="A118" s="23"/>
      <c r="B118" s="23"/>
    </row>
    <row r="119" spans="1:17" x14ac:dyDescent="0.25">
      <c r="A119" s="23"/>
      <c r="B119" s="23"/>
    </row>
    <row r="120" spans="1:17" x14ac:dyDescent="0.25">
      <c r="A120" s="23"/>
      <c r="B120" s="23"/>
    </row>
    <row r="121" spans="1:17" x14ac:dyDescent="0.25">
      <c r="A121" s="23"/>
      <c r="B121" s="23"/>
    </row>
    <row r="122" spans="1:17" ht="13" x14ac:dyDescent="0.3">
      <c r="Q122" s="226"/>
    </row>
    <row r="123" spans="1:17" x14ac:dyDescent="0.25">
      <c r="Q123" s="16"/>
    </row>
    <row r="124" spans="1:17" ht="13" x14ac:dyDescent="0.3">
      <c r="B124" s="187"/>
      <c r="C124" s="188"/>
      <c r="D124" s="188"/>
      <c r="E124" s="188"/>
      <c r="F124" s="188"/>
      <c r="G124" s="188"/>
      <c r="H124" s="187"/>
      <c r="I124" s="188"/>
    </row>
    <row r="125" spans="1:17" x14ac:dyDescent="0.25">
      <c r="B125" s="188"/>
      <c r="C125" s="188"/>
      <c r="D125" s="188"/>
      <c r="E125" s="188"/>
      <c r="F125" s="188"/>
      <c r="G125" s="188"/>
      <c r="H125" s="188"/>
      <c r="I125" s="188"/>
    </row>
    <row r="126" spans="1:17" x14ac:dyDescent="0.25">
      <c r="B126" s="188"/>
      <c r="C126" s="188"/>
      <c r="D126" s="188"/>
      <c r="E126" s="188"/>
      <c r="F126" s="188"/>
      <c r="G126" s="188"/>
      <c r="H126" s="188"/>
      <c r="I126" s="188"/>
    </row>
    <row r="127" spans="1:17" ht="13" x14ac:dyDescent="0.3">
      <c r="B127" s="186"/>
      <c r="C127" s="188"/>
      <c r="D127" s="188"/>
      <c r="E127" s="188"/>
      <c r="F127" s="188"/>
      <c r="G127" s="188"/>
      <c r="H127" s="186"/>
      <c r="I127" s="188"/>
    </row>
    <row r="128" spans="1:17" x14ac:dyDescent="0.25">
      <c r="B128" s="188"/>
      <c r="C128" s="188"/>
      <c r="D128" s="188"/>
      <c r="E128" s="188"/>
      <c r="F128" s="188"/>
      <c r="G128" s="188"/>
      <c r="H128" s="188"/>
      <c r="I128" s="188"/>
    </row>
    <row r="129" spans="1:17" x14ac:dyDescent="0.25">
      <c r="B129" s="188"/>
      <c r="C129" s="188"/>
      <c r="D129" s="188"/>
      <c r="E129" s="188"/>
      <c r="F129" s="188"/>
      <c r="G129" s="188"/>
      <c r="H129" s="188"/>
      <c r="I129" s="188"/>
    </row>
    <row r="130" spans="1:17" x14ac:dyDescent="0.25">
      <c r="B130" s="188"/>
      <c r="C130" s="188"/>
      <c r="F130" s="188"/>
      <c r="G130" s="188"/>
      <c r="H130" s="188"/>
      <c r="I130" s="23"/>
    </row>
    <row r="131" spans="1:17" x14ac:dyDescent="0.25">
      <c r="B131" s="206"/>
      <c r="C131" s="188"/>
      <c r="D131" s="188"/>
      <c r="E131" s="188"/>
      <c r="F131" s="188"/>
      <c r="G131" s="188"/>
      <c r="H131" s="10"/>
      <c r="I131" s="209"/>
    </row>
    <row r="132" spans="1:17" x14ac:dyDescent="0.25">
      <c r="B132" s="188"/>
      <c r="C132" s="188"/>
      <c r="D132" s="188"/>
      <c r="E132" s="188"/>
      <c r="F132" s="188"/>
      <c r="G132" s="188"/>
      <c r="H132" s="188"/>
      <c r="I132" s="188"/>
    </row>
    <row r="133" spans="1:17" x14ac:dyDescent="0.25">
      <c r="A133" s="206"/>
      <c r="B133" s="206"/>
      <c r="C133" s="188"/>
      <c r="D133" s="188"/>
      <c r="E133" s="188"/>
      <c r="F133" s="188"/>
      <c r="G133" s="188"/>
      <c r="H133" s="188"/>
      <c r="I133" s="188"/>
    </row>
    <row r="134" spans="1:17" x14ac:dyDescent="0.2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5">
      <c r="A136" s="13"/>
      <c r="B136" s="23"/>
      <c r="C136" s="13"/>
    </row>
    <row r="137" spans="1:17" x14ac:dyDescent="0.25">
      <c r="A137" s="13"/>
      <c r="B137" s="23"/>
      <c r="C137" s="23"/>
    </row>
    <row r="138" spans="1:17" x14ac:dyDescent="0.25">
      <c r="A138" s="13"/>
      <c r="B138" s="23"/>
      <c r="C138" s="23"/>
    </row>
    <row r="139" spans="1:17" x14ac:dyDescent="0.25">
      <c r="A139" s="13"/>
      <c r="B139" s="23"/>
      <c r="C139" s="23"/>
    </row>
    <row r="140" spans="1:17" x14ac:dyDescent="0.25">
      <c r="A140" s="13"/>
      <c r="B140" s="23"/>
      <c r="C140" s="23"/>
    </row>
    <row r="141" spans="1:17" x14ac:dyDescent="0.25">
      <c r="A141" s="13"/>
      <c r="B141" s="23"/>
      <c r="C141" s="23"/>
    </row>
    <row r="142" spans="1:17" x14ac:dyDescent="0.25">
      <c r="A142" s="13"/>
      <c r="B142" s="23"/>
      <c r="C142" s="13"/>
    </row>
    <row r="143" spans="1:17" x14ac:dyDescent="0.25">
      <c r="A143" s="13"/>
      <c r="B143" s="23"/>
      <c r="C143" s="13"/>
    </row>
    <row r="144" spans="1:17" x14ac:dyDescent="0.25">
      <c r="A144" s="13"/>
      <c r="B144" s="23"/>
      <c r="C144" s="13"/>
    </row>
    <row r="145" spans="1:16" x14ac:dyDescent="0.25">
      <c r="A145" s="13"/>
      <c r="B145" s="23"/>
      <c r="C145" s="13"/>
    </row>
    <row r="146" spans="1:16" x14ac:dyDescent="0.25">
      <c r="A146" s="13"/>
      <c r="B146" s="23"/>
    </row>
    <row r="147" spans="1:16" x14ac:dyDescent="0.25">
      <c r="A147" s="13"/>
      <c r="B147" s="23"/>
      <c r="C147" s="23"/>
    </row>
    <row r="148" spans="1:16" x14ac:dyDescent="0.25">
      <c r="A148" s="200"/>
      <c r="B148" s="20"/>
    </row>
    <row r="149" spans="1:16" x14ac:dyDescent="0.25">
      <c r="A149" s="13"/>
      <c r="B149" s="23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</row>
    <row r="150" spans="1:16" x14ac:dyDescent="0.25">
      <c r="A150" s="200"/>
      <c r="B150" s="23"/>
      <c r="C150" s="23"/>
    </row>
    <row r="151" spans="1:16" x14ac:dyDescent="0.25">
      <c r="A151" s="200"/>
      <c r="B151" s="23"/>
      <c r="C151" s="23"/>
    </row>
    <row r="152" spans="1:16" x14ac:dyDescent="0.25">
      <c r="A152" s="200"/>
      <c r="B152" s="20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</row>
    <row r="153" spans="1:16" x14ac:dyDescent="0.25">
      <c r="A153" s="13"/>
      <c r="B153" s="23"/>
    </row>
    <row r="154" spans="1:16" x14ac:dyDescent="0.25">
      <c r="A154" s="200"/>
      <c r="B154" s="23"/>
      <c r="C154" s="23"/>
    </row>
    <row r="155" spans="1:16" x14ac:dyDescent="0.25">
      <c r="A155" s="200"/>
      <c r="B155" s="23"/>
      <c r="C155" s="23"/>
    </row>
    <row r="156" spans="1:16" x14ac:dyDescent="0.25">
      <c r="A156" s="200"/>
      <c r="B156" s="23"/>
      <c r="C156" s="23"/>
    </row>
    <row r="157" spans="1:16" x14ac:dyDescent="0.25">
      <c r="A157" s="200"/>
      <c r="B157" s="23"/>
      <c r="C157" s="23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</row>
    <row r="158" spans="1:16" x14ac:dyDescent="0.25">
      <c r="A158" s="200"/>
      <c r="B158" s="23"/>
      <c r="C158" s="23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</row>
    <row r="159" spans="1:16" x14ac:dyDescent="0.25">
      <c r="A159" s="200"/>
      <c r="B159" s="20"/>
      <c r="C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</row>
    <row r="160" spans="1:16" x14ac:dyDescent="0.25">
      <c r="A160" s="13"/>
      <c r="B160" s="23"/>
    </row>
    <row r="161" spans="1:16" x14ac:dyDescent="0.25">
      <c r="A161" s="200"/>
      <c r="B161" s="23"/>
      <c r="C161" s="23"/>
    </row>
    <row r="162" spans="1:16" x14ac:dyDescent="0.25">
      <c r="A162" s="200"/>
      <c r="B162" s="23"/>
      <c r="C162" s="23"/>
    </row>
    <row r="163" spans="1:16" x14ac:dyDescent="0.25">
      <c r="A163" s="200"/>
      <c r="B163" s="20"/>
      <c r="C163" s="202"/>
    </row>
    <row r="164" spans="1:16" x14ac:dyDescent="0.25">
      <c r="A164" s="13"/>
      <c r="B164" s="2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</row>
    <row r="165" spans="1:16" x14ac:dyDescent="0.25">
      <c r="A165" s="13"/>
      <c r="B165" s="2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</row>
    <row r="166" spans="1:16" x14ac:dyDescent="0.25">
      <c r="A166" s="13"/>
      <c r="B166" s="23"/>
      <c r="C166" s="202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</row>
    <row r="167" spans="1:16" x14ac:dyDescent="0.25">
      <c r="A167" s="13"/>
      <c r="B167" s="23"/>
    </row>
    <row r="168" spans="1:16" x14ac:dyDescent="0.25">
      <c r="A168" s="13"/>
      <c r="B168" s="23"/>
    </row>
    <row r="169" spans="1:16" x14ac:dyDescent="0.25">
      <c r="A169" s="13"/>
      <c r="B169" s="23"/>
    </row>
    <row r="170" spans="1:16" x14ac:dyDescent="0.25">
      <c r="A170" s="200"/>
      <c r="B170" s="20"/>
    </row>
    <row r="171" spans="1:16" x14ac:dyDescent="0.25">
      <c r="A171" s="5"/>
      <c r="B171" s="23"/>
    </row>
    <row r="172" spans="1:16" x14ac:dyDescent="0.25">
      <c r="A172" s="13"/>
      <c r="B172" s="23"/>
    </row>
    <row r="173" spans="1:16" x14ac:dyDescent="0.25">
      <c r="A173" s="13"/>
      <c r="B173" s="23"/>
    </row>
    <row r="174" spans="1:16" x14ac:dyDescent="0.25">
      <c r="A174" s="13"/>
      <c r="B174" s="23"/>
    </row>
    <row r="175" spans="1:16" x14ac:dyDescent="0.25">
      <c r="A175" s="13"/>
      <c r="B175" s="23"/>
    </row>
    <row r="176" spans="1:16" x14ac:dyDescent="0.25">
      <c r="A176" s="13"/>
      <c r="B176" s="23"/>
    </row>
    <row r="177" spans="1:2" x14ac:dyDescent="0.25">
      <c r="A177" s="13"/>
      <c r="B177" s="23"/>
    </row>
    <row r="178" spans="1:2" x14ac:dyDescent="0.25">
      <c r="A178" s="13"/>
      <c r="B178" s="23"/>
    </row>
    <row r="179" spans="1:2" x14ac:dyDescent="0.25">
      <c r="A179" s="13"/>
      <c r="B179" s="23"/>
    </row>
    <row r="180" spans="1:2" x14ac:dyDescent="0.25">
      <c r="A180" s="13"/>
      <c r="B180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60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20" max="1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F649-29EC-41DB-9C3A-FF9FCBB85A79}">
  <dimension ref="A1:XFD228"/>
  <sheetViews>
    <sheetView showGridLines="0" defaultGridColor="0" view="pageBreakPreview" colorId="8" zoomScale="85" zoomScaleNormal="80" zoomScaleSheetLayoutView="85" workbookViewId="0">
      <selection activeCell="Q28" sqref="Q28"/>
    </sheetView>
  </sheetViews>
  <sheetFormatPr defaultColWidth="8.75" defaultRowHeight="12.5" x14ac:dyDescent="0.25"/>
  <cols>
    <col min="1" max="1" width="6.08203125" style="1" bestFit="1" customWidth="1"/>
    <col min="2" max="2" width="3.58203125" style="1" customWidth="1"/>
    <col min="3" max="3" width="35.83203125" style="1" customWidth="1"/>
    <col min="4" max="4" width="17.58203125" style="1" customWidth="1"/>
    <col min="5" max="5" width="14.33203125" style="1" customWidth="1"/>
    <col min="6" max="6" width="14.08203125" style="1" customWidth="1"/>
    <col min="7" max="7" width="14.83203125" style="1" customWidth="1"/>
    <col min="8" max="9" width="14.33203125" style="1" customWidth="1"/>
    <col min="10" max="10" width="13" style="1" customWidth="1"/>
    <col min="11" max="16" width="12.83203125" style="1" bestFit="1" customWidth="1"/>
    <col min="17" max="17" width="12.08203125" style="1" customWidth="1"/>
    <col min="18" max="18" width="3.58203125" style="1" customWidth="1"/>
    <col min="19" max="19" width="8.83203125" style="1" bestFit="1" customWidth="1"/>
    <col min="20" max="20" width="13.25" style="1" bestFit="1" customWidth="1"/>
    <col min="21" max="32" width="12.08203125" style="1" bestFit="1" customWidth="1"/>
    <col min="33" max="16384" width="8.7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24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1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345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533263.93000000005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533263.93000000005</v>
      </c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298319.09000000003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4827133.42</v>
      </c>
      <c r="O17" s="1">
        <v>0</v>
      </c>
      <c r="P17" s="1">
        <v>0</v>
      </c>
      <c r="Q17" s="1">
        <f t="shared" si="0"/>
        <v>5125452.51</v>
      </c>
    </row>
    <row r="18" spans="1:16384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si="0"/>
        <v>0</v>
      </c>
      <c r="R18" s="205"/>
    </row>
    <row r="19" spans="1:16384" x14ac:dyDescent="0.25">
      <c r="A19" s="13"/>
      <c r="B19" s="23" t="s">
        <v>270</v>
      </c>
      <c r="C19" s="23" t="s">
        <v>312</v>
      </c>
      <c r="E19" s="1">
        <v>0</v>
      </c>
      <c r="F19" s="1">
        <f>-533263.93</f>
        <v>-533263.93000000005</v>
      </c>
      <c r="G19" s="1">
        <v>0</v>
      </c>
      <c r="H19" s="1">
        <v>0</v>
      </c>
      <c r="I19" s="1">
        <v>533263.93000000005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320</v>
      </c>
      <c r="E20" s="1">
        <v>0</v>
      </c>
      <c r="F20" s="1">
        <v>0</v>
      </c>
      <c r="G20" s="1">
        <v>0</v>
      </c>
      <c r="H20" s="1">
        <v>0</v>
      </c>
      <c r="I20" s="1">
        <v>-1560.4</v>
      </c>
      <c r="J20" s="1">
        <v>0</v>
      </c>
      <c r="K20" s="1">
        <v>0</v>
      </c>
      <c r="L20" s="1">
        <v>0</v>
      </c>
      <c r="M20" s="1">
        <v>0</v>
      </c>
      <c r="N20" s="1">
        <v>-3344683.0676333336</v>
      </c>
      <c r="O20" s="1">
        <v>0</v>
      </c>
      <c r="P20" s="1">
        <v>0</v>
      </c>
      <c r="Q20" s="1">
        <f t="shared" si="0"/>
        <v>-3346243.4676333335</v>
      </c>
    </row>
    <row r="21" spans="1:16384" x14ac:dyDescent="0.25">
      <c r="A21" s="13">
        <v>2</v>
      </c>
      <c r="B21" s="23" t="s">
        <v>272</v>
      </c>
      <c r="C21" s="13"/>
      <c r="D21" s="1">
        <v>19748717.050000016</v>
      </c>
      <c r="E21" s="1">
        <f>D21+E16-E17</f>
        <v>19748717.050000016</v>
      </c>
      <c r="F21" s="27">
        <f>E21+F16-F17+F19</f>
        <v>19748717.050000016</v>
      </c>
      <c r="G21" s="1">
        <f>F21+G16-G17</f>
        <v>19450397.960000016</v>
      </c>
      <c r="H21" s="1">
        <f>G21+H16-H17</f>
        <v>19450397.960000016</v>
      </c>
      <c r="I21" s="27">
        <f>H21+I16-I17+I19</f>
        <v>19983661.890000015</v>
      </c>
      <c r="J21" s="1">
        <f t="shared" ref="J21:P21" si="1">I21+J16-J17</f>
        <v>19983661.890000015</v>
      </c>
      <c r="K21" s="1">
        <f t="shared" si="1"/>
        <v>19983661.890000015</v>
      </c>
      <c r="L21" s="1">
        <f t="shared" si="1"/>
        <v>19983661.890000015</v>
      </c>
      <c r="M21" s="1">
        <f t="shared" si="1"/>
        <v>19983661.890000015</v>
      </c>
      <c r="N21" s="1">
        <f t="shared" si="1"/>
        <v>15156528.470000016</v>
      </c>
      <c r="O21" s="1">
        <f>N21+O16-O17</f>
        <v>15156528.470000016</v>
      </c>
      <c r="P21" s="1">
        <f t="shared" si="1"/>
        <v>15156528.470000016</v>
      </c>
      <c r="T21" s="1">
        <f>SUM(U21:AF21)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16384" x14ac:dyDescent="0.25">
      <c r="A22" s="13">
        <v>3</v>
      </c>
      <c r="B22" s="23" t="s">
        <v>273</v>
      </c>
      <c r="C22" s="13"/>
      <c r="D22" s="21">
        <v>-6413268.466137086</v>
      </c>
      <c r="E22" s="1">
        <f>D22-E34-E35-E36+E17+E18-E19</f>
        <v>-6479097.5223121289</v>
      </c>
      <c r="F22" s="27">
        <f>E22-F34-F35-F36+F17+F18+F20</f>
        <v>-6544926.5784871718</v>
      </c>
      <c r="G22" s="1">
        <f>F22-G34-G35-G36+G17+G18-G19</f>
        <v>-6311939.3461838532</v>
      </c>
      <c r="H22" s="1">
        <f>G22-H34-H35-H36+H17+H18-H19</f>
        <v>-6376774.0054021729</v>
      </c>
      <c r="I22" s="27">
        <f>H22-I34-I35-I36+I17+I18+I20</f>
        <v>-6444946.6154021733</v>
      </c>
      <c r="J22" s="1">
        <f t="shared" ref="J22:P22" si="2">I22-J34-J35-J36+J17+J18-J19</f>
        <v>-6511558.821036051</v>
      </c>
      <c r="K22" s="1">
        <f t="shared" si="2"/>
        <v>-6578171.0266699288</v>
      </c>
      <c r="L22" s="1">
        <f t="shared" si="2"/>
        <v>-6644783.2323038066</v>
      </c>
      <c r="M22" s="1">
        <f t="shared" si="2"/>
        <v>-6711395.4379376844</v>
      </c>
      <c r="N22" s="1">
        <f>M22-N34-N35-N36+N17+N18-N19+N20</f>
        <v>-5287512.0689186817</v>
      </c>
      <c r="O22" s="1">
        <f>N22-O34-O35-O36+O18+O19-O20</f>
        <v>-5338033.8299801312</v>
      </c>
      <c r="P22" s="1">
        <f t="shared" si="2"/>
        <v>-5388555.5910415808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3344683.0676333336</v>
      </c>
      <c r="O23" s="1">
        <v>3344683.0676333336</v>
      </c>
      <c r="P23" s="1">
        <f>O23</f>
        <v>3344683.0676333336</v>
      </c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11" t="s">
        <v>274</v>
      </c>
      <c r="C24" s="13"/>
      <c r="D24" s="199">
        <v>533263.93000000005</v>
      </c>
      <c r="E24" s="199">
        <f t="shared" ref="E24:P24" si="3">D24+E15-E16</f>
        <v>533263.93000000005</v>
      </c>
      <c r="F24" s="199">
        <f t="shared" si="3"/>
        <v>0</v>
      </c>
      <c r="G24" s="199">
        <f t="shared" si="3"/>
        <v>0</v>
      </c>
      <c r="H24" s="199">
        <f t="shared" si="3"/>
        <v>0</v>
      </c>
      <c r="I24" s="199">
        <f t="shared" si="3"/>
        <v>0</v>
      </c>
      <c r="J24" s="199">
        <f t="shared" si="3"/>
        <v>0</v>
      </c>
      <c r="K24" s="199">
        <f t="shared" si="3"/>
        <v>0</v>
      </c>
      <c r="L24" s="199">
        <f t="shared" si="3"/>
        <v>0</v>
      </c>
      <c r="M24" s="199">
        <f t="shared" si="3"/>
        <v>0</v>
      </c>
      <c r="N24" s="199">
        <f t="shared" si="3"/>
        <v>0</v>
      </c>
      <c r="O24" s="199">
        <f t="shared" si="3"/>
        <v>0</v>
      </c>
      <c r="P24" s="199">
        <f t="shared" si="3"/>
        <v>0</v>
      </c>
      <c r="T24" s="1">
        <f>SUM(U24:AF24)</f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16384" x14ac:dyDescent="0.25">
      <c r="A25" s="13">
        <v>5</v>
      </c>
      <c r="B25" s="23" t="s">
        <v>275</v>
      </c>
      <c r="C25" s="13"/>
      <c r="D25" s="199">
        <f t="shared" ref="D25:P25" si="4">SUM(D21:D24)</f>
        <v>13868712.51386293</v>
      </c>
      <c r="E25" s="199">
        <f t="shared" si="4"/>
        <v>13802883.457687886</v>
      </c>
      <c r="F25" s="199">
        <f t="shared" si="4"/>
        <v>13203790.471512843</v>
      </c>
      <c r="G25" s="199">
        <f t="shared" si="4"/>
        <v>13138458.613816163</v>
      </c>
      <c r="H25" s="199">
        <f t="shared" si="4"/>
        <v>13073623.954597842</v>
      </c>
      <c r="I25" s="199">
        <f t="shared" si="4"/>
        <v>13538715.274597842</v>
      </c>
      <c r="J25" s="199">
        <f t="shared" si="4"/>
        <v>13472103.068963964</v>
      </c>
      <c r="K25" s="199">
        <f t="shared" si="4"/>
        <v>13405490.863330087</v>
      </c>
      <c r="L25" s="199">
        <f t="shared" si="4"/>
        <v>13338878.65769621</v>
      </c>
      <c r="M25" s="199">
        <f t="shared" si="4"/>
        <v>13272266.452062331</v>
      </c>
      <c r="N25" s="199">
        <f t="shared" si="4"/>
        <v>13213699.468714669</v>
      </c>
      <c r="O25" s="199">
        <f t="shared" si="4"/>
        <v>13163177.707653217</v>
      </c>
      <c r="P25" s="199">
        <f t="shared" si="4"/>
        <v>13112655.946591768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13835797.985775407</v>
      </c>
      <c r="F27" s="1">
        <f t="shared" ref="F27:P27" si="5">(E25+F25)/2</f>
        <v>13503336.964600366</v>
      </c>
      <c r="G27" s="1">
        <f t="shared" si="5"/>
        <v>13171124.542664502</v>
      </c>
      <c r="H27" s="1">
        <f t="shared" si="5"/>
        <v>13106041.284207001</v>
      </c>
      <c r="I27" s="1">
        <f t="shared" si="5"/>
        <v>13306169.614597842</v>
      </c>
      <c r="J27" s="1">
        <f t="shared" si="5"/>
        <v>13505409.171780903</v>
      </c>
      <c r="K27" s="1">
        <f t="shared" si="5"/>
        <v>13438796.966147024</v>
      </c>
      <c r="L27" s="1">
        <f t="shared" si="5"/>
        <v>13372184.760513149</v>
      </c>
      <c r="M27" s="1">
        <f t="shared" si="5"/>
        <v>13305572.55487927</v>
      </c>
      <c r="N27" s="1">
        <f t="shared" si="5"/>
        <v>13242982.9603885</v>
      </c>
      <c r="O27" s="1">
        <f t="shared" si="5"/>
        <v>13188438.588183943</v>
      </c>
      <c r="P27" s="1">
        <f t="shared" si="5"/>
        <v>13137916.827122493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63700.013926509971</v>
      </c>
      <c r="F30" s="1">
        <v>62169.363385020079</v>
      </c>
      <c r="G30" s="1">
        <v>60639.857394427359</v>
      </c>
      <c r="H30" s="1">
        <v>60340.214072489027</v>
      </c>
      <c r="I30" s="1">
        <v>61261.604905608459</v>
      </c>
      <c r="J30" s="1">
        <v>62178.903826879272</v>
      </c>
      <c r="K30" s="1">
        <v>64358.398670878094</v>
      </c>
      <c r="L30" s="1">
        <v>64039.392818097469</v>
      </c>
      <c r="M30" s="1">
        <v>63720.386965316822</v>
      </c>
      <c r="N30" s="1">
        <v>63420.645397300526</v>
      </c>
      <c r="O30" s="1">
        <v>63159.432398812904</v>
      </c>
      <c r="P30" s="1">
        <v>62917.483685089617</v>
      </c>
      <c r="Q30" s="1">
        <f>SUM(E30:P30)</f>
        <v>751905.69744642952</v>
      </c>
    </row>
    <row r="31" spans="1:16384" x14ac:dyDescent="0.25">
      <c r="A31" s="200"/>
      <c r="B31" s="23" t="s">
        <v>264</v>
      </c>
      <c r="C31" s="23" t="s">
        <v>279</v>
      </c>
      <c r="E31" s="1">
        <v>16077.197259471024</v>
      </c>
      <c r="F31" s="1">
        <v>15690.877552865626</v>
      </c>
      <c r="G31" s="1">
        <v>15304.846718576151</v>
      </c>
      <c r="H31" s="1">
        <v>15229.219972248537</v>
      </c>
      <c r="I31" s="1">
        <v>15461.769092162693</v>
      </c>
      <c r="J31" s="1">
        <v>15693.285457609411</v>
      </c>
      <c r="K31" s="1">
        <v>14097.298017488229</v>
      </c>
      <c r="L31" s="1">
        <v>14027.421813778294</v>
      </c>
      <c r="M31" s="1">
        <v>13957.545610068355</v>
      </c>
      <c r="N31" s="1">
        <v>13891.889125447537</v>
      </c>
      <c r="O31" s="1">
        <v>13834.672079004957</v>
      </c>
      <c r="P31" s="1">
        <v>13781.674751651495</v>
      </c>
      <c r="Q31" s="1">
        <f>SUM(E31:P31)</f>
        <v>177047.69745037233</v>
      </c>
    </row>
    <row r="32" spans="1:16384" x14ac:dyDescent="0.25">
      <c r="A32" s="200"/>
      <c r="B32" s="2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E34" s="1">
        <v>65829.056175042817</v>
      </c>
      <c r="F34" s="1">
        <v>65829.056175042817</v>
      </c>
      <c r="G34" s="1">
        <v>65331.857696681473</v>
      </c>
      <c r="H34" s="1">
        <v>64834.659218320121</v>
      </c>
      <c r="I34" s="1">
        <v>66612.210000000006</v>
      </c>
      <c r="J34" s="1">
        <v>66612.20563387798</v>
      </c>
      <c r="K34" s="1">
        <v>66612.20563387798</v>
      </c>
      <c r="L34" s="1">
        <v>66612.20563387798</v>
      </c>
      <c r="M34" s="1">
        <v>66612.20563387798</v>
      </c>
      <c r="N34" s="1">
        <v>58566.983347663547</v>
      </c>
      <c r="O34" s="1">
        <v>50521.761061449099</v>
      </c>
      <c r="P34" s="1">
        <v>50521.761061449099</v>
      </c>
      <c r="Q34" s="1">
        <f>SUM(E34:P34)</f>
        <v>754496.16727116087</v>
      </c>
    </row>
    <row r="35" spans="1:17" x14ac:dyDescent="0.25">
      <c r="A35" s="200"/>
      <c r="B35" s="23" t="s">
        <v>264</v>
      </c>
      <c r="C35" s="23" t="s">
        <v>282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200"/>
      <c r="B37" s="23" t="s">
        <v>268</v>
      </c>
      <c r="C37" s="23" t="s">
        <v>284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SUM(E37:P37)</f>
        <v>0</v>
      </c>
    </row>
    <row r="38" spans="1:17" x14ac:dyDescent="0.25">
      <c r="A38" s="200"/>
      <c r="B38" s="23" t="s">
        <v>270</v>
      </c>
      <c r="C38" s="23" t="s">
        <v>285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f>SUM(E38:P38)</f>
        <v>0</v>
      </c>
    </row>
    <row r="39" spans="1:17" x14ac:dyDescent="0.25">
      <c r="A39" s="200"/>
      <c r="B39" s="20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145606.26736102381</v>
      </c>
      <c r="F40" s="1">
        <f t="shared" ref="F40:P40" si="6">SUM(F30:F38)</f>
        <v>143689.29711292853</v>
      </c>
      <c r="G40" s="1">
        <f t="shared" si="6"/>
        <v>141276.56180968496</v>
      </c>
      <c r="H40" s="1">
        <f t="shared" si="6"/>
        <v>140404.09326305767</v>
      </c>
      <c r="I40" s="1">
        <f t="shared" si="6"/>
        <v>143335.58399777114</v>
      </c>
      <c r="J40" s="1">
        <f t="shared" si="6"/>
        <v>144484.39491836666</v>
      </c>
      <c r="K40" s="1">
        <f t="shared" si="6"/>
        <v>145067.90232224431</v>
      </c>
      <c r="L40" s="1">
        <f t="shared" si="6"/>
        <v>144679.02026575373</v>
      </c>
      <c r="M40" s="1">
        <f t="shared" si="6"/>
        <v>144290.13820926315</v>
      </c>
      <c r="N40" s="1">
        <f t="shared" si="6"/>
        <v>135879.5178704116</v>
      </c>
      <c r="O40" s="1">
        <f t="shared" si="6"/>
        <v>127515.86553926696</v>
      </c>
      <c r="P40" s="1">
        <f t="shared" si="6"/>
        <v>127220.91949819021</v>
      </c>
      <c r="Q40" s="1">
        <f>SUM(E40:P40)</f>
        <v>1683449.5621679628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11200.48210469414</v>
      </c>
      <c r="F41" s="1">
        <f t="shared" ref="F41:P41" si="7">F40*1/13</f>
        <v>11053.022854840656</v>
      </c>
      <c r="G41" s="1">
        <f t="shared" si="7"/>
        <v>10867.427831514227</v>
      </c>
      <c r="H41" s="1">
        <f t="shared" si="7"/>
        <v>10800.314866389052</v>
      </c>
      <c r="I41" s="1">
        <f t="shared" si="7"/>
        <v>11025.814153674703</v>
      </c>
      <c r="J41" s="1">
        <f t="shared" si="7"/>
        <v>11114.184224489743</v>
      </c>
      <c r="K41" s="1">
        <f t="shared" si="7"/>
        <v>11159.069409403408</v>
      </c>
      <c r="L41" s="1">
        <f t="shared" si="7"/>
        <v>11129.15540505798</v>
      </c>
      <c r="M41" s="1">
        <f t="shared" si="7"/>
        <v>11099.24140071255</v>
      </c>
      <c r="N41" s="1">
        <f t="shared" si="7"/>
        <v>10452.270605416277</v>
      </c>
      <c r="O41" s="1">
        <f t="shared" si="7"/>
        <v>9808.9127337897662</v>
      </c>
      <c r="P41" s="1">
        <f t="shared" si="7"/>
        <v>9786.2245767838631</v>
      </c>
      <c r="Q41" s="1">
        <f>SUM(E41:P41)</f>
        <v>129496.12016676637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ROUND(E40-E41,2)</f>
        <v>134405.79</v>
      </c>
      <c r="F42" s="1">
        <f t="shared" si="8"/>
        <v>132636.26999999999</v>
      </c>
      <c r="G42" s="1">
        <f t="shared" si="8"/>
        <v>130409.13</v>
      </c>
      <c r="H42" s="1">
        <f t="shared" si="8"/>
        <v>129603.78</v>
      </c>
      <c r="I42" s="1">
        <f t="shared" si="8"/>
        <v>132309.76999999999</v>
      </c>
      <c r="J42" s="1">
        <f t="shared" si="8"/>
        <v>133370.21</v>
      </c>
      <c r="K42" s="1">
        <f t="shared" si="8"/>
        <v>133908.82999999999</v>
      </c>
      <c r="L42" s="1">
        <f t="shared" si="8"/>
        <v>133549.85999999999</v>
      </c>
      <c r="M42" s="1">
        <f t="shared" si="8"/>
        <v>133190.9</v>
      </c>
      <c r="N42" s="1">
        <f t="shared" si="8"/>
        <v>125427.25</v>
      </c>
      <c r="O42" s="1">
        <f t="shared" si="8"/>
        <v>117706.95</v>
      </c>
      <c r="P42" s="1">
        <f t="shared" si="8"/>
        <v>117434.69</v>
      </c>
      <c r="Q42" s="1">
        <f>SUM(E42:P42)</f>
        <v>1553953.4299999997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11213.922683219773</v>
      </c>
      <c r="F47" s="1">
        <v>11066.286482266465</v>
      </c>
      <c r="G47" s="1">
        <v>10880.468744912045</v>
      </c>
      <c r="H47" s="1">
        <v>10813.27524422872</v>
      </c>
      <c r="I47" s="1">
        <v>11039.045130659113</v>
      </c>
      <c r="J47" s="1">
        <v>11127.521245559132</v>
      </c>
      <c r="K47" s="1">
        <v>11172.460292694694</v>
      </c>
      <c r="L47" s="1">
        <v>11142.51039154405</v>
      </c>
      <c r="M47" s="1">
        <v>11112.560490393405</v>
      </c>
      <c r="N47" s="1">
        <v>10464.813330142777</v>
      </c>
      <c r="O47" s="1">
        <v>9820.6834290703155</v>
      </c>
      <c r="P47" s="1">
        <v>9797.9680462760043</v>
      </c>
      <c r="Q47" s="1">
        <f>SUM(E47:P47)</f>
        <v>129651.51551096649</v>
      </c>
    </row>
    <row r="48" spans="1:17" x14ac:dyDescent="0.25">
      <c r="A48" s="13">
        <v>13</v>
      </c>
      <c r="B48" s="23" t="s">
        <v>290</v>
      </c>
      <c r="E48" s="199">
        <f>E42*E45</f>
        <v>130688.48874423301</v>
      </c>
      <c r="F48" s="199">
        <f t="shared" ref="F48:P48" si="9">F42*F45</f>
        <v>128967.90888972899</v>
      </c>
      <c r="G48" s="199">
        <f t="shared" si="9"/>
        <v>126802.365568851</v>
      </c>
      <c r="H48" s="199">
        <f t="shared" si="9"/>
        <v>126019.28937540601</v>
      </c>
      <c r="I48" s="199">
        <f t="shared" si="9"/>
        <v>128650.43899817899</v>
      </c>
      <c r="J48" s="199">
        <f t="shared" si="9"/>
        <v>129681.55009096699</v>
      </c>
      <c r="K48" s="199">
        <f t="shared" si="9"/>
        <v>130205.27331604098</v>
      </c>
      <c r="L48" s="199">
        <f t="shared" si="9"/>
        <v>129856.23145702199</v>
      </c>
      <c r="M48" s="199">
        <f t="shared" si="9"/>
        <v>129507.19932143</v>
      </c>
      <c r="N48" s="199">
        <f t="shared" si="9"/>
        <v>121958.270918575</v>
      </c>
      <c r="O48" s="199">
        <f t="shared" si="9"/>
        <v>114451.49357176499</v>
      </c>
      <c r="P48" s="199">
        <f t="shared" si="9"/>
        <v>114186.763548263</v>
      </c>
      <c r="Q48" s="199">
        <f>SUM(E48:P48)</f>
        <v>1510975.2738004611</v>
      </c>
    </row>
    <row r="49" spans="1:17" ht="13" thickBot="1" x14ac:dyDescent="0.3">
      <c r="A49" s="13">
        <v>14</v>
      </c>
      <c r="B49" s="23" t="s">
        <v>291</v>
      </c>
      <c r="E49" s="204">
        <f t="shared" ref="E49:Q49" si="10">E47+E48</f>
        <v>141902.41142745278</v>
      </c>
      <c r="F49" s="204">
        <f t="shared" si="10"/>
        <v>140034.19537199545</v>
      </c>
      <c r="G49" s="204">
        <f t="shared" si="10"/>
        <v>137682.83431376304</v>
      </c>
      <c r="H49" s="204">
        <f t="shared" si="10"/>
        <v>136832.56461963474</v>
      </c>
      <c r="I49" s="204">
        <f t="shared" si="10"/>
        <v>139689.48412883811</v>
      </c>
      <c r="J49" s="204">
        <f t="shared" si="10"/>
        <v>140809.07133652613</v>
      </c>
      <c r="K49" s="204">
        <f t="shared" si="10"/>
        <v>141377.73360873567</v>
      </c>
      <c r="L49" s="204">
        <f t="shared" si="10"/>
        <v>140998.74184856605</v>
      </c>
      <c r="M49" s="204">
        <f t="shared" si="10"/>
        <v>140619.7598118234</v>
      </c>
      <c r="N49" s="204">
        <f t="shared" si="10"/>
        <v>132423.08424871779</v>
      </c>
      <c r="O49" s="204">
        <f t="shared" si="10"/>
        <v>124272.17700083531</v>
      </c>
      <c r="P49" s="204">
        <f t="shared" si="10"/>
        <v>123984.731594539</v>
      </c>
      <c r="Q49" s="204">
        <f t="shared" si="10"/>
        <v>1640626.7893114276</v>
      </c>
    </row>
    <row r="50" spans="1:17" ht="13" thickTop="1" x14ac:dyDescent="0.25">
      <c r="A50" s="200"/>
      <c r="B50" s="20"/>
    </row>
    <row r="51" spans="1:17" x14ac:dyDescent="0.25">
      <c r="A51" s="5" t="s">
        <v>76</v>
      </c>
      <c r="B51" s="23"/>
    </row>
    <row r="52" spans="1:17" x14ac:dyDescent="0.25">
      <c r="A52" s="23" t="s">
        <v>168</v>
      </c>
      <c r="B52" s="23" t="s">
        <v>321</v>
      </c>
    </row>
    <row r="53" spans="1:17" x14ac:dyDescent="0.25">
      <c r="A53" s="23"/>
      <c r="B53" s="228" t="s">
        <v>333</v>
      </c>
    </row>
    <row r="54" spans="1:17" x14ac:dyDescent="0.25">
      <c r="A54" s="23" t="s">
        <v>170</v>
      </c>
      <c r="B54" s="23" t="s">
        <v>293</v>
      </c>
    </row>
    <row r="55" spans="1:17" x14ac:dyDescent="0.25">
      <c r="A55" s="23" t="s">
        <v>255</v>
      </c>
      <c r="B55" s="23" t="s">
        <v>294</v>
      </c>
    </row>
    <row r="56" spans="1:17" x14ac:dyDescent="0.25">
      <c r="A56" s="23" t="s">
        <v>295</v>
      </c>
      <c r="B56" s="23" t="s">
        <v>296</v>
      </c>
    </row>
    <row r="57" spans="1:17" x14ac:dyDescent="0.25">
      <c r="A57" s="23" t="s">
        <v>297</v>
      </c>
      <c r="B57" s="11" t="s">
        <v>298</v>
      </c>
    </row>
    <row r="58" spans="1:17" x14ac:dyDescent="0.25">
      <c r="A58" s="23" t="s">
        <v>299</v>
      </c>
      <c r="B58" s="23" t="s">
        <v>300</v>
      </c>
    </row>
    <row r="59" spans="1:17" x14ac:dyDescent="0.25">
      <c r="A59" s="23" t="s">
        <v>301</v>
      </c>
      <c r="B59" s="23" t="s">
        <v>302</v>
      </c>
    </row>
    <row r="60" spans="1:17" x14ac:dyDescent="0.25">
      <c r="A60" s="23" t="s">
        <v>303</v>
      </c>
      <c r="B60" s="23" t="s">
        <v>304</v>
      </c>
    </row>
    <row r="61" spans="1:17" x14ac:dyDescent="0.25">
      <c r="A61" s="23" t="s">
        <v>305</v>
      </c>
      <c r="B61" s="23" t="s">
        <v>306</v>
      </c>
    </row>
    <row r="62" spans="1:17" x14ac:dyDescent="0.25">
      <c r="A62" s="11" t="s">
        <v>307</v>
      </c>
      <c r="B62" s="23" t="s">
        <v>308</v>
      </c>
    </row>
    <row r="63" spans="1:17" x14ac:dyDescent="0.25">
      <c r="A63" s="11" t="s">
        <v>309</v>
      </c>
      <c r="B63" s="23" t="s">
        <v>310</v>
      </c>
    </row>
    <row r="71" spans="2:17" ht="13" x14ac:dyDescent="0.3">
      <c r="Q71" s="226"/>
    </row>
    <row r="72" spans="2:17" x14ac:dyDescent="0.25">
      <c r="Q72" s="16"/>
    </row>
    <row r="73" spans="2:17" ht="13" x14ac:dyDescent="0.3">
      <c r="B73" s="187"/>
      <c r="C73" s="188"/>
      <c r="D73" s="188"/>
      <c r="E73" s="188"/>
      <c r="F73" s="188"/>
      <c r="G73" s="188"/>
      <c r="H73" s="187"/>
      <c r="I73" s="188"/>
    </row>
    <row r="74" spans="2:17" x14ac:dyDescent="0.25">
      <c r="B74" s="188"/>
      <c r="C74" s="188"/>
      <c r="D74" s="188"/>
      <c r="E74" s="188"/>
      <c r="F74" s="188"/>
      <c r="G74" s="188"/>
      <c r="H74" s="188"/>
      <c r="I74" s="188"/>
    </row>
    <row r="75" spans="2:17" x14ac:dyDescent="0.25">
      <c r="B75" s="188"/>
      <c r="C75" s="188"/>
      <c r="D75" s="188"/>
      <c r="E75" s="188"/>
      <c r="F75" s="188"/>
      <c r="G75" s="188"/>
      <c r="H75" s="188"/>
      <c r="I75" s="188"/>
    </row>
    <row r="76" spans="2:17" ht="13" x14ac:dyDescent="0.3">
      <c r="B76" s="186"/>
      <c r="C76" s="188"/>
      <c r="D76" s="188"/>
      <c r="E76" s="188"/>
      <c r="F76" s="188"/>
      <c r="G76" s="188"/>
      <c r="H76" s="186"/>
      <c r="I76" s="188"/>
    </row>
    <row r="77" spans="2:17" x14ac:dyDescent="0.25">
      <c r="B77" s="188"/>
      <c r="C77" s="188"/>
      <c r="D77" s="188"/>
      <c r="E77" s="188"/>
      <c r="F77" s="188"/>
      <c r="G77" s="188"/>
      <c r="H77" s="188"/>
      <c r="I77" s="188"/>
    </row>
    <row r="78" spans="2:17" x14ac:dyDescent="0.25">
      <c r="B78" s="188"/>
      <c r="C78" s="188"/>
      <c r="D78" s="188"/>
      <c r="E78" s="188"/>
      <c r="F78" s="188"/>
      <c r="G78" s="188"/>
      <c r="H78" s="188"/>
      <c r="I78" s="188"/>
    </row>
    <row r="79" spans="2:17" x14ac:dyDescent="0.25">
      <c r="B79" s="188"/>
      <c r="C79" s="188"/>
      <c r="F79" s="188"/>
      <c r="G79" s="188"/>
      <c r="H79" s="188"/>
      <c r="I79" s="23"/>
    </row>
    <row r="80" spans="2:17" x14ac:dyDescent="0.25">
      <c r="B80" s="206"/>
      <c r="C80" s="188"/>
      <c r="D80" s="188"/>
      <c r="E80" s="188"/>
      <c r="F80" s="188"/>
      <c r="G80" s="188"/>
      <c r="H80" s="13"/>
      <c r="I80" s="227"/>
    </row>
    <row r="81" spans="1:17" x14ac:dyDescent="0.25">
      <c r="B81" s="188"/>
      <c r="C81" s="188"/>
      <c r="D81" s="188"/>
      <c r="E81" s="188"/>
      <c r="F81" s="188"/>
      <c r="G81" s="188"/>
      <c r="H81" s="188"/>
      <c r="I81" s="188"/>
    </row>
    <row r="82" spans="1:17" x14ac:dyDescent="0.25">
      <c r="A82" s="206"/>
      <c r="B82" s="206"/>
      <c r="C82" s="188"/>
      <c r="D82" s="188"/>
      <c r="E82" s="188"/>
      <c r="F82" s="188"/>
      <c r="G82" s="188"/>
      <c r="H82" s="188"/>
      <c r="I82" s="188"/>
    </row>
    <row r="83" spans="1:1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x14ac:dyDescent="0.25">
      <c r="A84" s="23"/>
      <c r="B84" s="23"/>
      <c r="C84" s="2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x14ac:dyDescent="0.25">
      <c r="A85" s="23"/>
      <c r="B85" s="23"/>
      <c r="C85" s="23"/>
    </row>
    <row r="86" spans="1:17" x14ac:dyDescent="0.25">
      <c r="A86" s="23"/>
      <c r="B86" s="23"/>
      <c r="C86" s="23"/>
    </row>
    <row r="87" spans="1:17" x14ac:dyDescent="0.25">
      <c r="A87" s="23"/>
      <c r="B87" s="23"/>
      <c r="C87" s="23"/>
    </row>
    <row r="88" spans="1:17" x14ac:dyDescent="0.25">
      <c r="A88" s="23"/>
      <c r="B88" s="23"/>
      <c r="C88" s="23"/>
    </row>
    <row r="89" spans="1:17" x14ac:dyDescent="0.25">
      <c r="A89" s="23"/>
      <c r="B89" s="23"/>
      <c r="C89" s="23"/>
    </row>
    <row r="90" spans="1:17" x14ac:dyDescent="0.25">
      <c r="A90" s="23"/>
      <c r="B90" s="23"/>
      <c r="C90" s="23"/>
    </row>
    <row r="91" spans="1:17" x14ac:dyDescent="0.25">
      <c r="A91" s="23"/>
      <c r="B91" s="23"/>
      <c r="C91" s="23"/>
    </row>
    <row r="92" spans="1:17" x14ac:dyDescent="0.25">
      <c r="A92" s="23"/>
      <c r="B92" s="23"/>
      <c r="C92" s="23"/>
    </row>
    <row r="93" spans="1:17" x14ac:dyDescent="0.25">
      <c r="A93" s="23"/>
      <c r="B93" s="23"/>
      <c r="C93" s="23"/>
    </row>
    <row r="94" spans="1:17" x14ac:dyDescent="0.25">
      <c r="A94" s="23"/>
      <c r="B94" s="23"/>
      <c r="C94" s="23"/>
    </row>
    <row r="95" spans="1:17" x14ac:dyDescent="0.25">
      <c r="A95" s="23"/>
      <c r="B95" s="23"/>
      <c r="C95" s="23"/>
    </row>
    <row r="96" spans="1:17" x14ac:dyDescent="0.25">
      <c r="A96" s="23"/>
      <c r="B96" s="23"/>
      <c r="C96" s="23"/>
    </row>
    <row r="97" spans="1:16" x14ac:dyDescent="0.25">
      <c r="A97" s="23"/>
      <c r="B97" s="23"/>
      <c r="C97" s="23"/>
    </row>
    <row r="98" spans="1:16" x14ac:dyDescent="0.25">
      <c r="A98" s="23"/>
      <c r="B98" s="23"/>
      <c r="C98" s="23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</row>
    <row r="99" spans="1:16" x14ac:dyDescent="0.25">
      <c r="A99" s="23"/>
      <c r="B99" s="23"/>
      <c r="C99" s="23"/>
    </row>
    <row r="100" spans="1:16" x14ac:dyDescent="0.25">
      <c r="A100" s="23"/>
      <c r="B100" s="23"/>
      <c r="C100" s="23"/>
    </row>
    <row r="101" spans="1:16" x14ac:dyDescent="0.25">
      <c r="A101" s="23"/>
      <c r="B101" s="23"/>
      <c r="C101" s="23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</row>
    <row r="102" spans="1:16" x14ac:dyDescent="0.25">
      <c r="A102" s="23"/>
      <c r="B102" s="23"/>
      <c r="C102" s="23"/>
    </row>
    <row r="103" spans="1:16" x14ac:dyDescent="0.25">
      <c r="A103" s="23"/>
      <c r="B103" s="23"/>
      <c r="C103" s="23"/>
    </row>
    <row r="104" spans="1:16" x14ac:dyDescent="0.25">
      <c r="A104" s="23"/>
      <c r="B104" s="23"/>
      <c r="C104" s="23"/>
    </row>
    <row r="105" spans="1:16" x14ac:dyDescent="0.25">
      <c r="A105" s="23"/>
      <c r="B105" s="23"/>
      <c r="C105" s="23"/>
    </row>
    <row r="106" spans="1:16" x14ac:dyDescent="0.25">
      <c r="A106" s="23"/>
      <c r="B106" s="23"/>
      <c r="C106" s="23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</row>
    <row r="107" spans="1:16" x14ac:dyDescent="0.25">
      <c r="A107" s="23"/>
      <c r="B107" s="23"/>
      <c r="C107" s="23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</row>
    <row r="108" spans="1:16" x14ac:dyDescent="0.25">
      <c r="A108" s="23"/>
      <c r="B108" s="23"/>
      <c r="C108" s="23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</row>
    <row r="109" spans="1:16" x14ac:dyDescent="0.25">
      <c r="A109" s="23"/>
      <c r="B109" s="23"/>
      <c r="C109" s="23"/>
    </row>
    <row r="110" spans="1:16" x14ac:dyDescent="0.25">
      <c r="A110" s="23"/>
      <c r="B110" s="23"/>
      <c r="C110" s="23"/>
    </row>
    <row r="111" spans="1:16" x14ac:dyDescent="0.25">
      <c r="A111" s="23"/>
      <c r="B111" s="23"/>
      <c r="C111" s="23"/>
    </row>
    <row r="112" spans="1:16" x14ac:dyDescent="0.25">
      <c r="A112" s="23"/>
      <c r="B112" s="23"/>
      <c r="C112" s="23"/>
    </row>
    <row r="113" spans="1:16" x14ac:dyDescent="0.25">
      <c r="A113" s="23"/>
      <c r="B113" s="23"/>
      <c r="C113" s="2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</row>
    <row r="114" spans="1:16" x14ac:dyDescent="0.25">
      <c r="A114" s="23"/>
      <c r="B114" s="23"/>
      <c r="C114" s="2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</row>
    <row r="115" spans="1:16" x14ac:dyDescent="0.25">
      <c r="A115" s="23"/>
      <c r="B115" s="23"/>
      <c r="C115" s="2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</row>
    <row r="116" spans="1:16" x14ac:dyDescent="0.25">
      <c r="A116" s="23"/>
      <c r="B116" s="23"/>
      <c r="C116" s="23"/>
    </row>
    <row r="117" spans="1:16" x14ac:dyDescent="0.25">
      <c r="A117" s="23"/>
      <c r="B117" s="23"/>
      <c r="C117" s="23"/>
    </row>
    <row r="118" spans="1:16" x14ac:dyDescent="0.25">
      <c r="A118" s="23"/>
      <c r="B118" s="23"/>
      <c r="C118" s="23"/>
    </row>
    <row r="131" spans="1:17" ht="13" x14ac:dyDescent="0.3">
      <c r="Q131" s="226"/>
    </row>
    <row r="132" spans="1:17" x14ac:dyDescent="0.25">
      <c r="Q132" s="16"/>
    </row>
    <row r="133" spans="1:17" ht="13" x14ac:dyDescent="0.3">
      <c r="B133" s="187"/>
      <c r="C133" s="188"/>
      <c r="D133" s="188"/>
      <c r="E133" s="188"/>
      <c r="F133" s="188"/>
      <c r="G133" s="188"/>
      <c r="H133" s="187"/>
      <c r="I133" s="188"/>
    </row>
    <row r="134" spans="1:17" x14ac:dyDescent="0.25">
      <c r="B134" s="188"/>
      <c r="C134" s="188"/>
      <c r="D134" s="188"/>
      <c r="E134" s="188"/>
      <c r="F134" s="188"/>
      <c r="G134" s="188"/>
      <c r="H134" s="188"/>
      <c r="I134" s="188"/>
    </row>
    <row r="135" spans="1:17" x14ac:dyDescent="0.25">
      <c r="B135" s="188"/>
      <c r="C135" s="188"/>
      <c r="D135" s="188"/>
      <c r="E135" s="188"/>
      <c r="F135" s="188"/>
      <c r="G135" s="188"/>
      <c r="H135" s="188"/>
      <c r="I135" s="188"/>
    </row>
    <row r="136" spans="1:17" ht="13" x14ac:dyDescent="0.3">
      <c r="B136" s="186"/>
      <c r="C136" s="188"/>
      <c r="D136" s="188"/>
      <c r="E136" s="188"/>
      <c r="F136" s="188"/>
      <c r="G136" s="188"/>
      <c r="H136" s="186"/>
      <c r="I136" s="188"/>
    </row>
    <row r="137" spans="1:17" x14ac:dyDescent="0.25">
      <c r="B137" s="188"/>
      <c r="C137" s="188"/>
      <c r="D137" s="188"/>
      <c r="E137" s="188"/>
      <c r="F137" s="188"/>
      <c r="G137" s="188"/>
      <c r="H137" s="188"/>
      <c r="I137" s="188"/>
    </row>
    <row r="138" spans="1:17" x14ac:dyDescent="0.25">
      <c r="B138" s="188"/>
      <c r="C138" s="188"/>
      <c r="D138" s="188"/>
      <c r="E138" s="188"/>
      <c r="F138" s="188"/>
      <c r="G138" s="188"/>
      <c r="H138" s="188"/>
      <c r="I138" s="188"/>
    </row>
    <row r="139" spans="1:17" x14ac:dyDescent="0.25">
      <c r="B139" s="188"/>
      <c r="C139" s="188"/>
      <c r="F139" s="188"/>
      <c r="G139" s="188"/>
      <c r="H139" s="188"/>
      <c r="I139" s="23"/>
    </row>
    <row r="140" spans="1:17" x14ac:dyDescent="0.25">
      <c r="B140" s="206"/>
      <c r="C140" s="188"/>
      <c r="D140" s="188"/>
      <c r="E140" s="188"/>
      <c r="F140" s="188"/>
      <c r="G140" s="188"/>
      <c r="H140" s="13"/>
      <c r="I140" s="227"/>
    </row>
    <row r="141" spans="1:17" x14ac:dyDescent="0.25">
      <c r="B141" s="188"/>
      <c r="C141" s="188"/>
      <c r="D141" s="188"/>
      <c r="E141" s="188"/>
      <c r="F141" s="188"/>
      <c r="G141" s="188"/>
      <c r="H141" s="188"/>
      <c r="I141" s="188"/>
    </row>
    <row r="142" spans="1:17" x14ac:dyDescent="0.25">
      <c r="A142" s="206"/>
      <c r="B142" s="206"/>
      <c r="C142" s="188"/>
      <c r="D142" s="188"/>
      <c r="E142" s="188"/>
      <c r="F142" s="188"/>
      <c r="G142" s="188"/>
      <c r="H142" s="188"/>
      <c r="I142" s="188"/>
    </row>
    <row r="143" spans="1:1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23"/>
      <c r="B144" s="23"/>
      <c r="C144" s="2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6" x14ac:dyDescent="0.25">
      <c r="A145" s="23"/>
      <c r="B145" s="23"/>
      <c r="C145" s="23"/>
    </row>
    <row r="146" spans="1:16" x14ac:dyDescent="0.25">
      <c r="A146" s="23"/>
      <c r="B146" s="23"/>
      <c r="C146" s="23"/>
    </row>
    <row r="147" spans="1:16" x14ac:dyDescent="0.25">
      <c r="A147" s="23"/>
      <c r="B147" s="23"/>
      <c r="C147" s="23"/>
    </row>
    <row r="148" spans="1:16" x14ac:dyDescent="0.25">
      <c r="A148" s="23"/>
      <c r="B148" s="23"/>
      <c r="C148" s="23"/>
    </row>
    <row r="149" spans="1:16" x14ac:dyDescent="0.25">
      <c r="A149" s="23"/>
      <c r="B149" s="23"/>
      <c r="C149" s="23"/>
    </row>
    <row r="150" spans="1:16" x14ac:dyDescent="0.25">
      <c r="A150" s="23"/>
      <c r="B150" s="23"/>
      <c r="C150" s="23"/>
    </row>
    <row r="151" spans="1:16" x14ac:dyDescent="0.25">
      <c r="A151" s="23"/>
      <c r="B151" s="23"/>
      <c r="C151" s="23"/>
    </row>
    <row r="152" spans="1:16" x14ac:dyDescent="0.25">
      <c r="A152" s="23"/>
      <c r="B152" s="23"/>
      <c r="C152" s="23"/>
    </row>
    <row r="153" spans="1:16" x14ac:dyDescent="0.25">
      <c r="A153" s="23"/>
      <c r="B153" s="23"/>
      <c r="C153" s="23"/>
    </row>
    <row r="154" spans="1:16" x14ac:dyDescent="0.25">
      <c r="A154" s="23"/>
      <c r="B154" s="23"/>
      <c r="C154" s="23"/>
    </row>
    <row r="155" spans="1:16" x14ac:dyDescent="0.25">
      <c r="A155" s="23"/>
      <c r="B155" s="23"/>
      <c r="C155" s="23"/>
    </row>
    <row r="156" spans="1:16" x14ac:dyDescent="0.25">
      <c r="A156" s="23"/>
      <c r="B156" s="23"/>
      <c r="C156" s="23"/>
    </row>
    <row r="157" spans="1:16" x14ac:dyDescent="0.25">
      <c r="A157" s="23"/>
      <c r="B157" s="23"/>
      <c r="C157" s="23"/>
    </row>
    <row r="158" spans="1:16" x14ac:dyDescent="0.25">
      <c r="A158" s="23"/>
      <c r="B158" s="23"/>
      <c r="C158" s="23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</row>
    <row r="159" spans="1:16" x14ac:dyDescent="0.25">
      <c r="A159" s="23"/>
      <c r="B159" s="23"/>
      <c r="C159" s="23"/>
    </row>
    <row r="160" spans="1:16" x14ac:dyDescent="0.25">
      <c r="A160" s="23"/>
      <c r="B160" s="23"/>
      <c r="C160" s="23"/>
    </row>
    <row r="161" spans="1:16" x14ac:dyDescent="0.25">
      <c r="A161" s="23"/>
      <c r="B161" s="23"/>
      <c r="C161" s="23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</row>
    <row r="162" spans="1:16" x14ac:dyDescent="0.25">
      <c r="A162" s="23"/>
      <c r="B162" s="23"/>
      <c r="C162" s="23"/>
    </row>
    <row r="163" spans="1:16" x14ac:dyDescent="0.25">
      <c r="A163" s="23"/>
      <c r="B163" s="23"/>
      <c r="C163" s="23"/>
    </row>
    <row r="164" spans="1:16" x14ac:dyDescent="0.25">
      <c r="A164" s="23"/>
      <c r="B164" s="23"/>
      <c r="C164" s="23"/>
    </row>
    <row r="165" spans="1:16" x14ac:dyDescent="0.25">
      <c r="A165" s="23"/>
      <c r="B165" s="23"/>
      <c r="C165" s="23"/>
    </row>
    <row r="166" spans="1:16" x14ac:dyDescent="0.25">
      <c r="A166" s="23"/>
      <c r="B166" s="23"/>
      <c r="C166" s="23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</row>
    <row r="167" spans="1:16" x14ac:dyDescent="0.25">
      <c r="A167" s="23"/>
      <c r="B167" s="23"/>
      <c r="C167" s="23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</row>
    <row r="168" spans="1:16" x14ac:dyDescent="0.25">
      <c r="A168" s="23"/>
      <c r="B168" s="23"/>
      <c r="C168" s="23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</row>
    <row r="169" spans="1:16" x14ac:dyDescent="0.25">
      <c r="A169" s="23"/>
      <c r="B169" s="23"/>
      <c r="C169" s="23"/>
    </row>
    <row r="170" spans="1:16" x14ac:dyDescent="0.25">
      <c r="A170" s="23"/>
      <c r="B170" s="23"/>
      <c r="C170" s="23"/>
    </row>
    <row r="171" spans="1:16" x14ac:dyDescent="0.25">
      <c r="A171" s="23"/>
      <c r="B171" s="23"/>
      <c r="C171" s="23"/>
    </row>
    <row r="172" spans="1:16" x14ac:dyDescent="0.25">
      <c r="A172" s="23"/>
      <c r="B172" s="23"/>
      <c r="C172" s="23"/>
    </row>
    <row r="173" spans="1:16" x14ac:dyDescent="0.25">
      <c r="A173" s="23"/>
      <c r="B173" s="23"/>
      <c r="C173" s="2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</row>
    <row r="174" spans="1:16" x14ac:dyDescent="0.25">
      <c r="A174" s="23"/>
      <c r="B174" s="23"/>
      <c r="C174" s="2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</row>
    <row r="175" spans="1:16" x14ac:dyDescent="0.25">
      <c r="A175" s="23"/>
      <c r="B175" s="23"/>
      <c r="C175" s="2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</row>
    <row r="176" spans="1:16" x14ac:dyDescent="0.25">
      <c r="A176" s="23"/>
      <c r="B176" s="23"/>
      <c r="C176" s="23"/>
    </row>
    <row r="177" spans="1:9" x14ac:dyDescent="0.25">
      <c r="A177" s="23"/>
      <c r="B177" s="23"/>
      <c r="C177" s="23"/>
    </row>
    <row r="178" spans="1:9" x14ac:dyDescent="0.25">
      <c r="A178" s="23"/>
      <c r="B178" s="23"/>
      <c r="C178" s="23"/>
    </row>
    <row r="183" spans="1:9" ht="13" x14ac:dyDescent="0.3">
      <c r="B183" s="187"/>
      <c r="C183" s="188"/>
      <c r="D183" s="188"/>
      <c r="E183" s="188"/>
      <c r="F183" s="188"/>
      <c r="G183" s="188"/>
      <c r="H183" s="187"/>
      <c r="I183" s="188"/>
    </row>
    <row r="184" spans="1:9" x14ac:dyDescent="0.25">
      <c r="B184" s="188"/>
      <c r="C184" s="188"/>
      <c r="D184" s="188"/>
      <c r="E184" s="188"/>
      <c r="F184" s="188"/>
      <c r="G184" s="188"/>
      <c r="H184" s="188"/>
      <c r="I184" s="188"/>
    </row>
    <row r="185" spans="1:9" x14ac:dyDescent="0.25">
      <c r="B185" s="188"/>
      <c r="C185" s="188"/>
      <c r="D185" s="188"/>
      <c r="E185" s="188"/>
      <c r="F185" s="188"/>
      <c r="G185" s="188"/>
      <c r="H185" s="188"/>
      <c r="I185" s="188"/>
    </row>
    <row r="186" spans="1:9" ht="13" x14ac:dyDescent="0.3">
      <c r="B186" s="186"/>
      <c r="C186" s="188"/>
      <c r="D186" s="188"/>
      <c r="E186" s="188"/>
      <c r="F186" s="188"/>
      <c r="G186" s="188"/>
      <c r="H186" s="186"/>
      <c r="I186" s="188"/>
    </row>
    <row r="187" spans="1:9" x14ac:dyDescent="0.25">
      <c r="B187" s="188"/>
      <c r="C187" s="188"/>
      <c r="D187" s="188"/>
      <c r="E187" s="188"/>
      <c r="F187" s="188"/>
      <c r="G187" s="188"/>
      <c r="H187" s="188"/>
      <c r="I187" s="188"/>
    </row>
    <row r="188" spans="1:9" x14ac:dyDescent="0.25">
      <c r="B188" s="188"/>
      <c r="C188" s="188"/>
      <c r="D188" s="188"/>
      <c r="E188" s="188"/>
      <c r="F188" s="188"/>
      <c r="G188" s="188"/>
      <c r="H188" s="188"/>
      <c r="I188" s="188"/>
    </row>
    <row r="189" spans="1:9" x14ac:dyDescent="0.25">
      <c r="B189" s="188"/>
      <c r="C189" s="188"/>
      <c r="F189" s="188"/>
      <c r="G189" s="188"/>
      <c r="H189" s="188"/>
      <c r="I189" s="23"/>
    </row>
    <row r="190" spans="1:9" x14ac:dyDescent="0.25">
      <c r="B190" s="206"/>
      <c r="C190" s="188"/>
      <c r="D190" s="188"/>
      <c r="E190" s="188"/>
      <c r="F190" s="188"/>
      <c r="G190" s="188"/>
      <c r="H190" s="13"/>
      <c r="I190" s="227"/>
    </row>
    <row r="191" spans="1:9" x14ac:dyDescent="0.25">
      <c r="B191" s="188"/>
      <c r="C191" s="188"/>
      <c r="D191" s="188"/>
      <c r="E191" s="188"/>
      <c r="F191" s="188"/>
      <c r="G191" s="188"/>
      <c r="H191" s="188"/>
      <c r="I191" s="188"/>
    </row>
    <row r="192" spans="1:9" x14ac:dyDescent="0.25">
      <c r="A192" s="206"/>
      <c r="B192" s="206"/>
      <c r="C192" s="188"/>
      <c r="D192" s="188"/>
      <c r="E192" s="188"/>
      <c r="F192" s="188"/>
      <c r="G192" s="188"/>
      <c r="H192" s="188"/>
      <c r="I192" s="188"/>
    </row>
    <row r="193" spans="1:1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x14ac:dyDescent="0.25">
      <c r="A194" s="23"/>
      <c r="B194" s="23"/>
      <c r="C194" s="2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x14ac:dyDescent="0.25">
      <c r="A195" s="23"/>
      <c r="B195" s="23"/>
      <c r="C195" s="23"/>
    </row>
    <row r="196" spans="1:17" x14ac:dyDescent="0.25">
      <c r="A196" s="23"/>
      <c r="B196" s="23"/>
      <c r="C196" s="23"/>
    </row>
    <row r="197" spans="1:17" x14ac:dyDescent="0.25">
      <c r="A197" s="23"/>
      <c r="B197" s="23"/>
      <c r="C197" s="23"/>
    </row>
    <row r="198" spans="1:17" x14ac:dyDescent="0.25">
      <c r="A198" s="23"/>
      <c r="B198" s="23"/>
      <c r="C198" s="23"/>
    </row>
    <row r="199" spans="1:17" x14ac:dyDescent="0.25">
      <c r="A199" s="23"/>
      <c r="B199" s="23"/>
      <c r="C199" s="23"/>
    </row>
    <row r="200" spans="1:17" x14ac:dyDescent="0.25">
      <c r="A200" s="23"/>
      <c r="B200" s="23"/>
      <c r="C200" s="23"/>
    </row>
    <row r="201" spans="1:17" x14ac:dyDescent="0.25">
      <c r="A201" s="23"/>
      <c r="B201" s="23"/>
      <c r="C201" s="23"/>
    </row>
    <row r="202" spans="1:17" x14ac:dyDescent="0.25">
      <c r="A202" s="23"/>
      <c r="B202" s="23"/>
      <c r="C202" s="23"/>
    </row>
    <row r="203" spans="1:17" x14ac:dyDescent="0.25">
      <c r="A203" s="23"/>
      <c r="B203" s="23"/>
      <c r="C203" s="23"/>
    </row>
    <row r="204" spans="1:17" x14ac:dyDescent="0.25">
      <c r="A204" s="23"/>
      <c r="B204" s="23"/>
      <c r="C204" s="23"/>
    </row>
    <row r="205" spans="1:17" x14ac:dyDescent="0.25">
      <c r="A205" s="23"/>
      <c r="B205" s="23"/>
      <c r="C205" s="23"/>
    </row>
    <row r="206" spans="1:17" x14ac:dyDescent="0.25">
      <c r="A206" s="23"/>
      <c r="B206" s="23"/>
      <c r="C206" s="23"/>
    </row>
    <row r="207" spans="1:17" x14ac:dyDescent="0.25">
      <c r="A207" s="23"/>
      <c r="B207" s="23"/>
      <c r="C207" s="23"/>
    </row>
    <row r="208" spans="1:17" x14ac:dyDescent="0.25">
      <c r="A208" s="23"/>
      <c r="B208" s="23"/>
      <c r="C208" s="23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</row>
    <row r="209" spans="1:16" x14ac:dyDescent="0.25">
      <c r="A209" s="23"/>
      <c r="B209" s="23"/>
      <c r="C209" s="23"/>
    </row>
    <row r="210" spans="1:16" x14ac:dyDescent="0.25">
      <c r="A210" s="23"/>
      <c r="B210" s="23"/>
      <c r="C210" s="23"/>
    </row>
    <row r="211" spans="1:16" x14ac:dyDescent="0.25">
      <c r="A211" s="23"/>
      <c r="B211" s="23"/>
      <c r="C211" s="23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</row>
    <row r="212" spans="1:16" x14ac:dyDescent="0.25">
      <c r="A212" s="23"/>
      <c r="B212" s="23"/>
      <c r="C212" s="23"/>
    </row>
    <row r="213" spans="1:16" x14ac:dyDescent="0.25">
      <c r="A213" s="23"/>
      <c r="B213" s="23"/>
      <c r="C213" s="23"/>
    </row>
    <row r="214" spans="1:16" x14ac:dyDescent="0.25">
      <c r="A214" s="23"/>
      <c r="B214" s="23"/>
      <c r="C214" s="23"/>
    </row>
    <row r="215" spans="1:16" x14ac:dyDescent="0.25">
      <c r="A215" s="23"/>
      <c r="B215" s="23"/>
      <c r="C215" s="23"/>
    </row>
    <row r="216" spans="1:16" x14ac:dyDescent="0.25">
      <c r="A216" s="23"/>
      <c r="B216" s="23"/>
      <c r="C216" s="23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</row>
    <row r="217" spans="1:16" x14ac:dyDescent="0.25">
      <c r="A217" s="23"/>
      <c r="B217" s="23"/>
      <c r="C217" s="23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</row>
    <row r="218" spans="1:16" x14ac:dyDescent="0.25">
      <c r="A218" s="23"/>
      <c r="B218" s="23"/>
      <c r="C218" s="23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</row>
    <row r="219" spans="1:16" x14ac:dyDescent="0.25">
      <c r="A219" s="23"/>
      <c r="B219" s="23"/>
      <c r="C219" s="23"/>
    </row>
    <row r="220" spans="1:16" x14ac:dyDescent="0.25">
      <c r="A220" s="23"/>
      <c r="B220" s="23"/>
      <c r="C220" s="23"/>
    </row>
    <row r="221" spans="1:16" x14ac:dyDescent="0.25">
      <c r="A221" s="23"/>
      <c r="B221" s="23"/>
      <c r="C221" s="23"/>
    </row>
    <row r="222" spans="1:16" x14ac:dyDescent="0.25">
      <c r="A222" s="23"/>
      <c r="B222" s="23"/>
      <c r="C222" s="23"/>
    </row>
    <row r="223" spans="1:16" x14ac:dyDescent="0.25">
      <c r="A223" s="23"/>
      <c r="B223" s="23"/>
      <c r="C223" s="2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</row>
    <row r="224" spans="1:16" x14ac:dyDescent="0.25">
      <c r="A224" s="23"/>
      <c r="B224" s="23"/>
      <c r="C224" s="2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</row>
    <row r="225" spans="1:16" x14ac:dyDescent="0.25">
      <c r="A225" s="23"/>
      <c r="B225" s="23"/>
      <c r="C225" s="2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</row>
    <row r="226" spans="1:16" x14ac:dyDescent="0.25">
      <c r="A226" s="23"/>
      <c r="B226" s="23"/>
      <c r="C226" s="23"/>
    </row>
    <row r="227" spans="1:16" x14ac:dyDescent="0.25">
      <c r="A227" s="23"/>
      <c r="B227" s="23"/>
      <c r="C227" s="23"/>
    </row>
    <row r="228" spans="1:16" x14ac:dyDescent="0.25">
      <c r="A228" s="23"/>
      <c r="B228" s="23"/>
      <c r="C228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49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1" manualBreakCount="1">
    <brk id="181" max="3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7EF3-C881-490A-AAB6-9A08BC87CBA7}">
  <dimension ref="A1:AJ201"/>
  <sheetViews>
    <sheetView showGridLines="0" view="pageBreakPreview" zoomScale="85" zoomScaleNormal="80" zoomScaleSheetLayoutView="85" workbookViewId="0">
      <selection activeCell="Q28" sqref="Q28"/>
    </sheetView>
  </sheetViews>
  <sheetFormatPr defaultColWidth="8.75" defaultRowHeight="12.5" x14ac:dyDescent="0.25"/>
  <cols>
    <col min="1" max="1" width="7.08203125" style="1" bestFit="1" customWidth="1"/>
    <col min="2" max="2" width="3.58203125" style="1" customWidth="1"/>
    <col min="3" max="3" width="34.5" style="1" customWidth="1"/>
    <col min="4" max="4" width="14.83203125" style="1" bestFit="1" customWidth="1"/>
    <col min="5" max="5" width="15.75" style="1" customWidth="1"/>
    <col min="6" max="8" width="12.58203125" style="1" bestFit="1" customWidth="1"/>
    <col min="9" max="9" width="12.58203125" style="1" customWidth="1"/>
    <col min="10" max="12" width="12.58203125" style="1" bestFit="1" customWidth="1"/>
    <col min="13" max="13" width="12.33203125" style="1" bestFit="1" customWidth="1"/>
    <col min="14" max="16" width="12.58203125" style="1" bestFit="1" customWidth="1"/>
    <col min="17" max="17" width="12.08203125" style="1" customWidth="1"/>
    <col min="18" max="18" width="3.58203125" style="1" customWidth="1"/>
    <col min="19" max="19" width="10.58203125" style="1" bestFit="1" customWidth="1"/>
    <col min="20" max="20" width="7.5" style="1" bestFit="1" customWidth="1"/>
    <col min="21" max="22" width="10.83203125" style="1" bestFit="1" customWidth="1"/>
    <col min="23" max="23" width="3" style="1" bestFit="1" customWidth="1"/>
    <col min="24" max="24" width="13.25" style="1" bestFit="1" customWidth="1"/>
    <col min="25" max="28" width="11" style="1" bestFit="1" customWidth="1"/>
    <col min="29" max="36" width="12.08203125" style="1" bestFit="1" customWidth="1"/>
    <col min="37" max="16384" width="8.7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25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1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346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23"/>
    </row>
    <row r="15" spans="1:19" x14ac:dyDescent="0.25">
      <c r="A15" s="13"/>
      <c r="B15" s="23" t="s">
        <v>262</v>
      </c>
      <c r="C15" s="23" t="s">
        <v>263</v>
      </c>
      <c r="E15" s="1">
        <v>10652.48</v>
      </c>
      <c r="F15" s="1">
        <v>0</v>
      </c>
      <c r="G15" s="1">
        <v>1379255.32</v>
      </c>
      <c r="H15" s="1">
        <v>73983.64</v>
      </c>
      <c r="I15" s="1">
        <v>1419520.32</v>
      </c>
      <c r="J15" s="1">
        <v>335775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3219186.76</v>
      </c>
    </row>
    <row r="16" spans="1:19" x14ac:dyDescent="0.25">
      <c r="A16" s="13"/>
      <c r="B16" s="23" t="s">
        <v>264</v>
      </c>
      <c r="C16" s="23" t="s">
        <v>265</v>
      </c>
      <c r="E16" s="1">
        <v>403812.06</v>
      </c>
      <c r="F16" s="1">
        <v>35511.1</v>
      </c>
      <c r="G16" s="1">
        <v>1382.02000000001</v>
      </c>
      <c r="H16" s="1">
        <v>0</v>
      </c>
      <c r="I16" s="1">
        <v>0</v>
      </c>
      <c r="J16" s="1">
        <v>2778481.58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3219186.7600000002</v>
      </c>
      <c r="S16" s="24"/>
    </row>
    <row r="17" spans="1:36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  <c r="U17" s="13"/>
      <c r="V17" s="13"/>
    </row>
    <row r="18" spans="1:36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  <c r="U18" s="5"/>
      <c r="V18" s="5"/>
    </row>
    <row r="19" spans="1:36" x14ac:dyDescent="0.25">
      <c r="A19" s="13"/>
      <c r="B19" s="23" t="s">
        <v>270</v>
      </c>
      <c r="C19" s="23" t="s">
        <v>312</v>
      </c>
      <c r="E19" s="1">
        <f>SUM(-403812.06)</f>
        <v>-403812.06</v>
      </c>
      <c r="F19" s="1">
        <f>SUM(-35511.1)</f>
        <v>-35511.1</v>
      </c>
      <c r="G19" s="1">
        <f>SUM(-1382.02)</f>
        <v>-1382.02</v>
      </c>
      <c r="H19" s="1">
        <v>0</v>
      </c>
      <c r="I19" s="1">
        <f>403812.06+35511.1+1382.02</f>
        <v>440705.18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6" x14ac:dyDescent="0.25">
      <c r="A20" s="13"/>
      <c r="B20" s="23" t="s">
        <v>313</v>
      </c>
      <c r="C20" s="23" t="s">
        <v>320</v>
      </c>
      <c r="E20" s="1">
        <v>0</v>
      </c>
      <c r="F20" s="1">
        <v>0</v>
      </c>
      <c r="G20" s="1">
        <v>0</v>
      </c>
      <c r="H20" s="1">
        <v>0</v>
      </c>
      <c r="I20" s="1">
        <v>-289.19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-289.19</v>
      </c>
    </row>
    <row r="21" spans="1:36" x14ac:dyDescent="0.25">
      <c r="A21" s="13">
        <v>2</v>
      </c>
      <c r="B21" s="23" t="s">
        <v>272</v>
      </c>
      <c r="C21" s="23"/>
      <c r="D21" s="1">
        <v>9951406.370000001</v>
      </c>
      <c r="E21" s="27">
        <f>D21+E16-E17+E19</f>
        <v>9951406.370000001</v>
      </c>
      <c r="F21" s="27">
        <f>E21+F16-F17+F19</f>
        <v>9951406.370000001</v>
      </c>
      <c r="G21" s="27">
        <f>F21+G16-G17+G19</f>
        <v>9951406.370000001</v>
      </c>
      <c r="H21" s="27">
        <f>G21+H16-H17+H19</f>
        <v>9951406.370000001</v>
      </c>
      <c r="I21" s="27">
        <f>H21+I16-I17+I19</f>
        <v>10392111.550000001</v>
      </c>
      <c r="J21" s="1">
        <f t="shared" ref="J21:P21" si="1">I21+J16-J17</f>
        <v>13170593.130000001</v>
      </c>
      <c r="K21" s="1">
        <f t="shared" si="1"/>
        <v>13170593.130000001</v>
      </c>
      <c r="L21" s="1">
        <f t="shared" si="1"/>
        <v>13170593.130000001</v>
      </c>
      <c r="M21" s="1">
        <f t="shared" si="1"/>
        <v>13170593.130000001</v>
      </c>
      <c r="N21" s="1">
        <f t="shared" si="1"/>
        <v>13170593.130000001</v>
      </c>
      <c r="O21" s="1">
        <f t="shared" si="1"/>
        <v>13170593.130000001</v>
      </c>
      <c r="P21" s="1">
        <f t="shared" si="1"/>
        <v>13170593.130000001</v>
      </c>
      <c r="X21" s="1">
        <f>SUM(Y21:AJ21)</f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1:36" x14ac:dyDescent="0.25">
      <c r="A22" s="13">
        <v>3</v>
      </c>
      <c r="B22" s="23" t="s">
        <v>273</v>
      </c>
      <c r="C22" s="23"/>
      <c r="D22" s="21">
        <v>-2953894.1906030108</v>
      </c>
      <c r="E22" s="27">
        <f>D22-E33-E34-E35+E17+E18</f>
        <v>-2989281.2003745148</v>
      </c>
      <c r="F22" s="27">
        <f>E22-F33-F34-F35+F17+F18</f>
        <v>-3024668.2101460188</v>
      </c>
      <c r="G22" s="27">
        <f>F22-G33-G34-G35+G17+G18</f>
        <v>-3060055.2199175227</v>
      </c>
      <c r="H22" s="27">
        <f>G22-H33-H34-H35+H17+H18</f>
        <v>-3095442.2296890267</v>
      </c>
      <c r="I22" s="27">
        <f>H22-I33-I34-I35+I17+I18+I20</f>
        <v>-3132587.4424323021</v>
      </c>
      <c r="J22" s="1">
        <f t="shared" ref="J22:P22" si="2">I22-J33-J34-J35+J17+J18-J19</f>
        <v>-3174074.2720428081</v>
      </c>
      <c r="K22" s="1">
        <f t="shared" si="2"/>
        <v>-3220191.9042403395</v>
      </c>
      <c r="L22" s="1">
        <f t="shared" si="2"/>
        <v>-3266309.5364378709</v>
      </c>
      <c r="M22" s="1">
        <f t="shared" si="2"/>
        <v>-3312427.1686354023</v>
      </c>
      <c r="N22" s="1">
        <f t="shared" si="2"/>
        <v>-3358544.8008329337</v>
      </c>
      <c r="O22" s="1">
        <f t="shared" si="2"/>
        <v>-3404662.4330304652</v>
      </c>
      <c r="P22" s="1">
        <f t="shared" si="2"/>
        <v>-3450780.0652279966</v>
      </c>
      <c r="X22" s="1">
        <f>SUM(Y22:AJ22)</f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</row>
    <row r="23" spans="1:36" x14ac:dyDescent="0.25">
      <c r="A23" s="13">
        <v>4</v>
      </c>
      <c r="B23" s="23" t="s">
        <v>274</v>
      </c>
      <c r="C23" s="23"/>
      <c r="D23" s="199">
        <v>1055.5999999999999</v>
      </c>
      <c r="E23" s="199">
        <f t="shared" ref="E23:P23" si="3">D23+E15-E16</f>
        <v>-392103.98</v>
      </c>
      <c r="F23" s="199">
        <f t="shared" si="3"/>
        <v>-427615.07999999996</v>
      </c>
      <c r="G23" s="199">
        <f t="shared" si="3"/>
        <v>950258.22000000009</v>
      </c>
      <c r="H23" s="199">
        <f t="shared" si="3"/>
        <v>1024241.8600000001</v>
      </c>
      <c r="I23" s="199">
        <f t="shared" si="3"/>
        <v>2443762.1800000002</v>
      </c>
      <c r="J23" s="199">
        <f t="shared" si="3"/>
        <v>1055.6000000000931</v>
      </c>
      <c r="K23" s="199">
        <f t="shared" si="3"/>
        <v>1055.6000000000931</v>
      </c>
      <c r="L23" s="199">
        <f t="shared" si="3"/>
        <v>1055.6000000000931</v>
      </c>
      <c r="M23" s="199">
        <f t="shared" si="3"/>
        <v>1055.6000000000931</v>
      </c>
      <c r="N23" s="199">
        <f t="shared" si="3"/>
        <v>1055.6000000000931</v>
      </c>
      <c r="O23" s="199">
        <f t="shared" si="3"/>
        <v>1055.6000000000931</v>
      </c>
      <c r="P23" s="199">
        <f t="shared" si="3"/>
        <v>1055.6000000000931</v>
      </c>
      <c r="X23" s="1">
        <f>SUM(Y23:AJ23)</f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</row>
    <row r="24" spans="1:36" x14ac:dyDescent="0.25">
      <c r="A24" s="13">
        <v>5</v>
      </c>
      <c r="B24" s="23" t="s">
        <v>275</v>
      </c>
      <c r="C24" s="23"/>
      <c r="D24" s="199">
        <f t="shared" ref="D24:P24" si="4">SUM(D21:D23)</f>
        <v>6998567.7793969903</v>
      </c>
      <c r="E24" s="199">
        <f t="shared" si="4"/>
        <v>6570021.1896254867</v>
      </c>
      <c r="F24" s="199">
        <f t="shared" si="4"/>
        <v>6499123.0798539817</v>
      </c>
      <c r="G24" s="199">
        <f t="shared" si="4"/>
        <v>7841609.370082478</v>
      </c>
      <c r="H24" s="199">
        <f t="shared" si="4"/>
        <v>7880206.0003109751</v>
      </c>
      <c r="I24" s="199">
        <f t="shared" si="4"/>
        <v>9703286.2875676993</v>
      </c>
      <c r="J24" s="199">
        <f t="shared" si="4"/>
        <v>9997574.4579571914</v>
      </c>
      <c r="K24" s="199">
        <f t="shared" si="4"/>
        <v>9951456.8257596605</v>
      </c>
      <c r="L24" s="199">
        <f t="shared" si="4"/>
        <v>9905339.1935621295</v>
      </c>
      <c r="M24" s="199">
        <f t="shared" si="4"/>
        <v>9859221.5613645986</v>
      </c>
      <c r="N24" s="199">
        <f t="shared" si="4"/>
        <v>9813103.9291670676</v>
      </c>
      <c r="O24" s="199">
        <f t="shared" si="4"/>
        <v>9766986.2969695348</v>
      </c>
      <c r="P24" s="199">
        <f t="shared" si="4"/>
        <v>9720868.6647720039</v>
      </c>
    </row>
    <row r="25" spans="1:36" x14ac:dyDescent="0.25">
      <c r="A25" s="13"/>
      <c r="B25" s="23"/>
      <c r="C25" s="23"/>
    </row>
    <row r="26" spans="1:36" x14ac:dyDescent="0.25">
      <c r="A26" s="13">
        <v>6</v>
      </c>
      <c r="B26" s="23" t="s">
        <v>276</v>
      </c>
      <c r="C26" s="23"/>
      <c r="E26" s="1">
        <f>(D24+E24)/2</f>
        <v>6784294.4845112385</v>
      </c>
      <c r="F26" s="1">
        <f t="shared" ref="F26:P26" si="5">(E24+F24)/2</f>
        <v>6534572.1347397342</v>
      </c>
      <c r="G26" s="1">
        <f t="shared" si="5"/>
        <v>7170366.2249682304</v>
      </c>
      <c r="H26" s="1">
        <f t="shared" si="5"/>
        <v>7860907.6851967266</v>
      </c>
      <c r="I26" s="1">
        <f t="shared" si="5"/>
        <v>8791746.1439393368</v>
      </c>
      <c r="J26" s="1">
        <f t="shared" si="5"/>
        <v>9850430.3727624454</v>
      </c>
      <c r="K26" s="1">
        <f t="shared" si="5"/>
        <v>9974515.641858425</v>
      </c>
      <c r="L26" s="1">
        <f t="shared" si="5"/>
        <v>9928398.0096608959</v>
      </c>
      <c r="M26" s="1">
        <f t="shared" si="5"/>
        <v>9882280.3774633631</v>
      </c>
      <c r="N26" s="1">
        <f t="shared" si="5"/>
        <v>9836162.745265834</v>
      </c>
      <c r="O26" s="1">
        <f t="shared" si="5"/>
        <v>9790045.1130683012</v>
      </c>
      <c r="P26" s="1">
        <f t="shared" si="5"/>
        <v>9743927.4808707684</v>
      </c>
    </row>
    <row r="27" spans="1:36" x14ac:dyDescent="0.25">
      <c r="A27" s="13"/>
      <c r="B27" s="23"/>
      <c r="C27" s="23"/>
    </row>
    <row r="28" spans="1:36" x14ac:dyDescent="0.25">
      <c r="A28" s="13">
        <v>7</v>
      </c>
      <c r="B28" s="23" t="s">
        <v>277</v>
      </c>
      <c r="C28" s="23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6" x14ac:dyDescent="0.25">
      <c r="A29" s="13"/>
      <c r="B29" s="23" t="s">
        <v>262</v>
      </c>
      <c r="C29" s="23" t="s">
        <v>278</v>
      </c>
      <c r="E29" s="1">
        <v>31234.891806689739</v>
      </c>
      <c r="F29" s="1">
        <v>30085.170108341732</v>
      </c>
      <c r="G29" s="1">
        <v>33012.36609975373</v>
      </c>
      <c r="H29" s="1">
        <v>36191.618982645727</v>
      </c>
      <c r="I29" s="1">
        <v>40477.199246696706</v>
      </c>
      <c r="J29" s="1">
        <v>45351.381436198295</v>
      </c>
      <c r="K29" s="1">
        <v>47767.955408859998</v>
      </c>
      <c r="L29" s="1">
        <v>47547.09806826603</v>
      </c>
      <c r="M29" s="1">
        <v>47326.240727672048</v>
      </c>
      <c r="N29" s="1">
        <v>47105.38338707808</v>
      </c>
      <c r="O29" s="1">
        <v>46884.52604648409</v>
      </c>
      <c r="P29" s="1">
        <v>46663.668705890108</v>
      </c>
      <c r="Q29" s="1">
        <f>SUM(E29:P29)</f>
        <v>499647.50002457626</v>
      </c>
    </row>
    <row r="30" spans="1:36" x14ac:dyDescent="0.25">
      <c r="A30" s="13"/>
      <c r="B30" s="23" t="s">
        <v>264</v>
      </c>
      <c r="C30" s="23" t="s">
        <v>279</v>
      </c>
      <c r="E30" s="1">
        <v>7883.3501910020595</v>
      </c>
      <c r="F30" s="1">
        <v>7593.1728205675718</v>
      </c>
      <c r="G30" s="1">
        <v>8331.9655534130834</v>
      </c>
      <c r="H30" s="1">
        <v>9134.3747301985968</v>
      </c>
      <c r="I30" s="1">
        <v>10216.00901925751</v>
      </c>
      <c r="J30" s="1">
        <v>11446.200093149962</v>
      </c>
      <c r="K30" s="1">
        <v>10463.266908309488</v>
      </c>
      <c r="L30" s="1">
        <v>10414.889512134279</v>
      </c>
      <c r="M30" s="1">
        <v>10366.512115959069</v>
      </c>
      <c r="N30" s="1">
        <v>10318.13471978386</v>
      </c>
      <c r="O30" s="1">
        <v>10269.757323608648</v>
      </c>
      <c r="P30" s="1">
        <v>10221.379927433436</v>
      </c>
      <c r="Q30" s="1">
        <f>SUM(E30:P30)</f>
        <v>116659.01291481756</v>
      </c>
    </row>
    <row r="31" spans="1:36" x14ac:dyDescent="0.25">
      <c r="A31" s="13"/>
      <c r="B31" s="23"/>
      <c r="C31" s="23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6" x14ac:dyDescent="0.25">
      <c r="A32" s="13">
        <v>8</v>
      </c>
      <c r="B32" s="23" t="s">
        <v>280</v>
      </c>
      <c r="C32" s="23"/>
    </row>
    <row r="33" spans="1:17" x14ac:dyDescent="0.25">
      <c r="A33" s="13"/>
      <c r="B33" s="23" t="s">
        <v>262</v>
      </c>
      <c r="C33" s="23" t="s">
        <v>281</v>
      </c>
      <c r="E33" s="1">
        <v>35387.009771504199</v>
      </c>
      <c r="F33" s="1">
        <v>35387.009771504199</v>
      </c>
      <c r="G33" s="1">
        <v>35387.009771504199</v>
      </c>
      <c r="H33" s="1">
        <v>35387.009771504199</v>
      </c>
      <c r="I33" s="1">
        <v>36856.022743275542</v>
      </c>
      <c r="J33" s="1">
        <v>41486.829610505993</v>
      </c>
      <c r="K33" s="1">
        <v>46117.632197531304</v>
      </c>
      <c r="L33" s="1">
        <v>46117.632197531304</v>
      </c>
      <c r="M33" s="1">
        <v>46117.632197531304</v>
      </c>
      <c r="N33" s="1">
        <v>46117.632197531304</v>
      </c>
      <c r="O33" s="1">
        <v>46117.632197531304</v>
      </c>
      <c r="P33" s="1">
        <v>46117.632197531304</v>
      </c>
      <c r="Q33" s="1">
        <f>SUM(E33:P33)</f>
        <v>496596.68462498608</v>
      </c>
    </row>
    <row r="34" spans="1:17" x14ac:dyDescent="0.25">
      <c r="A34" s="13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13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13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</row>
    <row r="37" spans="1:17" x14ac:dyDescent="0.25">
      <c r="A37" s="13"/>
      <c r="B37" s="23" t="s">
        <v>270</v>
      </c>
      <c r="C37" s="23" t="s">
        <v>285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1">
        <f>SUM(E37:P37)</f>
        <v>0</v>
      </c>
    </row>
    <row r="38" spans="1:17" x14ac:dyDescent="0.25">
      <c r="A38" s="13"/>
      <c r="B38" s="23"/>
      <c r="C38" s="23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C39" s="23"/>
      <c r="E39" s="1">
        <f>SUM(E29:E37)</f>
        <v>74505.251769195995</v>
      </c>
      <c r="F39" s="1">
        <f t="shared" ref="F39:P39" si="6">SUM(F29:F37)</f>
        <v>73065.352700413496</v>
      </c>
      <c r="G39" s="1">
        <f t="shared" si="6"/>
        <v>76731.341424671002</v>
      </c>
      <c r="H39" s="1">
        <f t="shared" si="6"/>
        <v>80713.003484348534</v>
      </c>
      <c r="I39" s="1">
        <f t="shared" si="6"/>
        <v>87549.231009229756</v>
      </c>
      <c r="J39" s="1">
        <f t="shared" si="6"/>
        <v>98284.411139854259</v>
      </c>
      <c r="K39" s="1">
        <f t="shared" si="6"/>
        <v>104348.8545147008</v>
      </c>
      <c r="L39" s="1">
        <f t="shared" si="6"/>
        <v>104079.61977793161</v>
      </c>
      <c r="M39" s="1">
        <f t="shared" si="6"/>
        <v>103810.38504116243</v>
      </c>
      <c r="N39" s="1">
        <f t="shared" si="6"/>
        <v>103541.15030439325</v>
      </c>
      <c r="O39" s="1">
        <f t="shared" si="6"/>
        <v>103271.91556762403</v>
      </c>
      <c r="P39" s="1">
        <f t="shared" si="6"/>
        <v>103002.68083085485</v>
      </c>
      <c r="Q39" s="1">
        <f>SUM(E39:P39)</f>
        <v>1112903.19756438</v>
      </c>
    </row>
    <row r="40" spans="1:17" x14ac:dyDescent="0.25">
      <c r="A40" s="13"/>
      <c r="B40" s="23" t="s">
        <v>262</v>
      </c>
      <c r="C40" s="23" t="s">
        <v>160</v>
      </c>
      <c r="E40" s="1">
        <f>E39*1/13</f>
        <v>5731.1732130150767</v>
      </c>
      <c r="F40" s="1">
        <f t="shared" ref="F40:P40" si="7">F39*1/13</f>
        <v>5620.4117461856531</v>
      </c>
      <c r="G40" s="1">
        <f t="shared" si="7"/>
        <v>5902.4108788208459</v>
      </c>
      <c r="H40" s="1">
        <f t="shared" si="7"/>
        <v>6208.6925757191184</v>
      </c>
      <c r="I40" s="1">
        <f t="shared" si="7"/>
        <v>6734.5562314792123</v>
      </c>
      <c r="J40" s="1">
        <f t="shared" si="7"/>
        <v>7560.3393184503275</v>
      </c>
      <c r="K40" s="1">
        <f t="shared" si="7"/>
        <v>8026.8349626692925</v>
      </c>
      <c r="L40" s="1">
        <f t="shared" si="7"/>
        <v>8006.1245983024319</v>
      </c>
      <c r="M40" s="1">
        <f t="shared" si="7"/>
        <v>7985.4142339355712</v>
      </c>
      <c r="N40" s="1">
        <f t="shared" si="7"/>
        <v>7964.7038695687115</v>
      </c>
      <c r="O40" s="1">
        <f t="shared" si="7"/>
        <v>7943.9935052018491</v>
      </c>
      <c r="P40" s="1">
        <f t="shared" si="7"/>
        <v>7923.2831408349884</v>
      </c>
      <c r="Q40" s="1">
        <f>SUM(E40:P40)</f>
        <v>85607.938274183092</v>
      </c>
    </row>
    <row r="41" spans="1:17" x14ac:dyDescent="0.25">
      <c r="A41" s="13"/>
      <c r="B41" s="23" t="s">
        <v>264</v>
      </c>
      <c r="C41" s="23" t="s">
        <v>161</v>
      </c>
      <c r="E41" s="1">
        <f t="shared" ref="E41:P41" si="8">ROUND(E39-E40,2)</f>
        <v>68774.080000000002</v>
      </c>
      <c r="F41" s="1">
        <f t="shared" si="8"/>
        <v>67444.94</v>
      </c>
      <c r="G41" s="1">
        <f t="shared" si="8"/>
        <v>70828.929999999993</v>
      </c>
      <c r="H41" s="1">
        <f t="shared" si="8"/>
        <v>74504.31</v>
      </c>
      <c r="I41" s="1">
        <f t="shared" si="8"/>
        <v>80814.67</v>
      </c>
      <c r="J41" s="1">
        <f t="shared" si="8"/>
        <v>90724.07</v>
      </c>
      <c r="K41" s="1">
        <f t="shared" si="8"/>
        <v>96322.02</v>
      </c>
      <c r="L41" s="1">
        <f t="shared" si="8"/>
        <v>96073.5</v>
      </c>
      <c r="M41" s="1">
        <f t="shared" si="8"/>
        <v>95824.97</v>
      </c>
      <c r="N41" s="1">
        <f t="shared" si="8"/>
        <v>95576.45</v>
      </c>
      <c r="O41" s="1">
        <f t="shared" si="8"/>
        <v>95327.92</v>
      </c>
      <c r="P41" s="1">
        <f t="shared" si="8"/>
        <v>95079.4</v>
      </c>
      <c r="Q41" s="1">
        <f>SUM(E41:P41)</f>
        <v>1027295.26</v>
      </c>
    </row>
    <row r="42" spans="1:17" x14ac:dyDescent="0.25">
      <c r="A42" s="13"/>
      <c r="B42" s="23"/>
      <c r="C42" s="23"/>
    </row>
    <row r="43" spans="1:17" x14ac:dyDescent="0.25">
      <c r="A43" s="13">
        <v>10</v>
      </c>
      <c r="B43" s="23" t="s">
        <v>287</v>
      </c>
      <c r="C43" s="23"/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C44" s="23"/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C46" s="23"/>
      <c r="E46" s="1">
        <v>5738.0506208706956</v>
      </c>
      <c r="F46" s="1">
        <v>5627.156240281076</v>
      </c>
      <c r="G46" s="1">
        <v>5909.4937718754318</v>
      </c>
      <c r="H46" s="1">
        <v>6216.1430068099817</v>
      </c>
      <c r="I46" s="1">
        <v>6742.6376989569881</v>
      </c>
      <c r="J46" s="1">
        <v>7569.4117256324689</v>
      </c>
      <c r="K46" s="1">
        <v>8036.467164624496</v>
      </c>
      <c r="L46" s="1">
        <v>8015.7319478203954</v>
      </c>
      <c r="M46" s="1">
        <v>7994.9967310162947</v>
      </c>
      <c r="N46" s="1">
        <v>7974.2615142121949</v>
      </c>
      <c r="O46" s="1">
        <v>7953.5262974080924</v>
      </c>
      <c r="P46" s="1">
        <v>7932.7910806039908</v>
      </c>
      <c r="Q46" s="1">
        <f>SUM(E46:P46)</f>
        <v>85710.667800112118</v>
      </c>
    </row>
    <row r="47" spans="1:17" x14ac:dyDescent="0.25">
      <c r="A47" s="13">
        <v>13</v>
      </c>
      <c r="B47" s="23" t="s">
        <v>290</v>
      </c>
      <c r="C47" s="23"/>
      <c r="E47" s="199">
        <f>E41*E44</f>
        <v>66871.974637216001</v>
      </c>
      <c r="F47" s="199">
        <f t="shared" ref="F47:P47" si="9">F41*F44</f>
        <v>65579.595060938009</v>
      </c>
      <c r="G47" s="199">
        <f t="shared" si="9"/>
        <v>68869.993034310988</v>
      </c>
      <c r="H47" s="199">
        <f t="shared" si="9"/>
        <v>72443.721947037004</v>
      </c>
      <c r="I47" s="199">
        <f t="shared" si="9"/>
        <v>78579.554427408992</v>
      </c>
      <c r="J47" s="199">
        <f t="shared" si="9"/>
        <v>88214.887178789009</v>
      </c>
      <c r="K47" s="199">
        <f t="shared" si="9"/>
        <v>93658.012996254009</v>
      </c>
      <c r="L47" s="199">
        <f t="shared" si="9"/>
        <v>93416.366388449998</v>
      </c>
      <c r="M47" s="199">
        <f t="shared" si="9"/>
        <v>93174.710057218996</v>
      </c>
      <c r="N47" s="199">
        <f t="shared" si="9"/>
        <v>92933.063449415</v>
      </c>
      <c r="O47" s="199">
        <f t="shared" si="9"/>
        <v>92691.407118183997</v>
      </c>
      <c r="P47" s="199">
        <f t="shared" si="9"/>
        <v>92449.760510380002</v>
      </c>
      <c r="Q47" s="199">
        <f>SUM(E47:P47)</f>
        <v>998883.04680560215</v>
      </c>
    </row>
    <row r="48" spans="1:17" ht="13" thickBot="1" x14ac:dyDescent="0.3">
      <c r="A48" s="13">
        <v>14</v>
      </c>
      <c r="B48" s="23" t="s">
        <v>291</v>
      </c>
      <c r="C48" s="23"/>
      <c r="E48" s="204">
        <f t="shared" ref="E48:Q48" si="10">E46+E47</f>
        <v>72610.025258086695</v>
      </c>
      <c r="F48" s="204">
        <f t="shared" si="10"/>
        <v>71206.75130121909</v>
      </c>
      <c r="G48" s="204">
        <f t="shared" si="10"/>
        <v>74779.486806186425</v>
      </c>
      <c r="H48" s="204">
        <f t="shared" si="10"/>
        <v>78659.864953846991</v>
      </c>
      <c r="I48" s="204">
        <f t="shared" si="10"/>
        <v>85322.192126365975</v>
      </c>
      <c r="J48" s="204">
        <f t="shared" si="10"/>
        <v>95784.298904421477</v>
      </c>
      <c r="K48" s="204">
        <f t="shared" si="10"/>
        <v>101694.48016087851</v>
      </c>
      <c r="L48" s="204">
        <f t="shared" si="10"/>
        <v>101432.0983362704</v>
      </c>
      <c r="M48" s="204">
        <f t="shared" si="10"/>
        <v>101169.70678823529</v>
      </c>
      <c r="N48" s="204">
        <f t="shared" si="10"/>
        <v>100907.32496362719</v>
      </c>
      <c r="O48" s="204">
        <f t="shared" si="10"/>
        <v>100644.9334155921</v>
      </c>
      <c r="P48" s="204">
        <f t="shared" si="10"/>
        <v>100382.55159098399</v>
      </c>
      <c r="Q48" s="204">
        <f t="shared" si="10"/>
        <v>1084593.7146057142</v>
      </c>
    </row>
    <row r="49" spans="1:9" ht="13" thickTop="1" x14ac:dyDescent="0.25">
      <c r="A49" s="13"/>
      <c r="B49" s="23"/>
      <c r="C49" s="23"/>
    </row>
    <row r="50" spans="1:9" x14ac:dyDescent="0.25">
      <c r="A50" s="23" t="s">
        <v>76</v>
      </c>
      <c r="B50" s="23"/>
      <c r="C50" s="23"/>
    </row>
    <row r="51" spans="1:9" x14ac:dyDescent="0.25">
      <c r="A51" s="23" t="s">
        <v>168</v>
      </c>
      <c r="B51" s="23" t="s">
        <v>321</v>
      </c>
    </row>
    <row r="52" spans="1:9" x14ac:dyDescent="0.25">
      <c r="A52" s="23"/>
      <c r="B52" s="228" t="s">
        <v>333</v>
      </c>
    </row>
    <row r="53" spans="1:9" x14ac:dyDescent="0.25">
      <c r="A53" s="23" t="s">
        <v>170</v>
      </c>
      <c r="B53" s="23" t="s">
        <v>293</v>
      </c>
    </row>
    <row r="54" spans="1:9" x14ac:dyDescent="0.25">
      <c r="A54" s="23" t="s">
        <v>255</v>
      </c>
      <c r="B54" s="23" t="s">
        <v>294</v>
      </c>
    </row>
    <row r="55" spans="1:9" x14ac:dyDescent="0.25">
      <c r="A55" s="23" t="s">
        <v>295</v>
      </c>
      <c r="B55" s="23" t="s">
        <v>296</v>
      </c>
    </row>
    <row r="56" spans="1:9" x14ac:dyDescent="0.25">
      <c r="A56" s="23" t="s">
        <v>297</v>
      </c>
      <c r="B56" s="11" t="s">
        <v>298</v>
      </c>
    </row>
    <row r="57" spans="1:9" x14ac:dyDescent="0.25">
      <c r="A57" s="23" t="s">
        <v>299</v>
      </c>
      <c r="B57" s="23" t="s">
        <v>300</v>
      </c>
    </row>
    <row r="58" spans="1:9" x14ac:dyDescent="0.25">
      <c r="A58" s="23" t="s">
        <v>301</v>
      </c>
      <c r="B58" s="23" t="s">
        <v>302</v>
      </c>
    </row>
    <row r="59" spans="1:9" x14ac:dyDescent="0.25">
      <c r="A59" s="23" t="s">
        <v>303</v>
      </c>
      <c r="B59" s="23" t="s">
        <v>304</v>
      </c>
    </row>
    <row r="60" spans="1:9" x14ac:dyDescent="0.25">
      <c r="A60" s="23" t="s">
        <v>305</v>
      </c>
      <c r="B60" s="23" t="s">
        <v>306</v>
      </c>
    </row>
    <row r="61" spans="1:9" x14ac:dyDescent="0.25">
      <c r="A61" s="11" t="s">
        <v>307</v>
      </c>
      <c r="B61" s="23" t="s">
        <v>308</v>
      </c>
    </row>
    <row r="62" spans="1:9" x14ac:dyDescent="0.25">
      <c r="A62" s="11" t="s">
        <v>309</v>
      </c>
      <c r="B62" s="23" t="s">
        <v>310</v>
      </c>
    </row>
    <row r="64" spans="1:9" ht="13" x14ac:dyDescent="0.3">
      <c r="B64" s="187"/>
      <c r="C64" s="188"/>
      <c r="D64" s="188"/>
      <c r="E64" s="188"/>
      <c r="F64" s="188"/>
      <c r="G64" s="188"/>
      <c r="H64" s="187"/>
      <c r="I64" s="188"/>
    </row>
    <row r="65" spans="1:17" x14ac:dyDescent="0.25">
      <c r="B65" s="188"/>
      <c r="C65" s="188"/>
      <c r="D65" s="188"/>
      <c r="E65" s="188"/>
      <c r="F65" s="188"/>
      <c r="G65" s="188"/>
      <c r="H65" s="188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ht="13" x14ac:dyDescent="0.3">
      <c r="B67" s="186"/>
      <c r="C67" s="188"/>
      <c r="D67" s="188"/>
      <c r="E67" s="188"/>
      <c r="F67" s="188"/>
      <c r="G67" s="188"/>
      <c r="H67" s="186"/>
      <c r="I67" s="188"/>
    </row>
    <row r="68" spans="1:17" x14ac:dyDescent="0.25">
      <c r="B68" s="188"/>
      <c r="C68" s="188"/>
      <c r="D68" s="188"/>
      <c r="E68" s="188"/>
      <c r="F68" s="188"/>
      <c r="G68" s="188"/>
      <c r="H68" s="188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F70" s="188"/>
      <c r="G70" s="188"/>
      <c r="H70" s="188"/>
      <c r="I70" s="23"/>
    </row>
    <row r="71" spans="1:17" x14ac:dyDescent="0.25">
      <c r="B71" s="206"/>
      <c r="C71" s="188"/>
      <c r="D71" s="188"/>
      <c r="E71" s="188"/>
      <c r="F71" s="188"/>
      <c r="G71" s="188"/>
      <c r="H71" s="188"/>
      <c r="I71" s="188"/>
    </row>
    <row r="72" spans="1:17" x14ac:dyDescent="0.25">
      <c r="B72" s="188"/>
      <c r="C72" s="188"/>
      <c r="D72" s="188"/>
      <c r="E72" s="188"/>
      <c r="F72" s="188"/>
      <c r="G72" s="188"/>
      <c r="H72" s="188"/>
      <c r="I72" s="188"/>
    </row>
    <row r="73" spans="1:17" x14ac:dyDescent="0.25">
      <c r="A73" s="206"/>
      <c r="B73" s="206"/>
      <c r="C73" s="188"/>
      <c r="D73" s="188"/>
      <c r="E73" s="188"/>
      <c r="F73" s="188"/>
      <c r="G73" s="188"/>
      <c r="H73" s="188"/>
      <c r="I73" s="188"/>
    </row>
    <row r="74" spans="1:17" x14ac:dyDescent="0.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13"/>
      <c r="B76" s="23"/>
      <c r="C76" s="13"/>
    </row>
    <row r="77" spans="1:17" x14ac:dyDescent="0.25">
      <c r="A77" s="13"/>
      <c r="B77" s="23"/>
      <c r="C77" s="23"/>
    </row>
    <row r="78" spans="1:17" x14ac:dyDescent="0.25">
      <c r="A78" s="13"/>
      <c r="B78" s="23"/>
      <c r="C78" s="23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23"/>
      <c r="C81" s="23"/>
    </row>
    <row r="82" spans="1:16" x14ac:dyDescent="0.25">
      <c r="A82" s="13"/>
      <c r="B82" s="23"/>
      <c r="C82" s="13"/>
    </row>
    <row r="83" spans="1:16" x14ac:dyDescent="0.25">
      <c r="A83" s="13"/>
      <c r="B83" s="23"/>
      <c r="C83" s="13"/>
    </row>
    <row r="84" spans="1:16" x14ac:dyDescent="0.25">
      <c r="A84" s="13"/>
      <c r="B84" s="23"/>
      <c r="C84" s="13"/>
    </row>
    <row r="85" spans="1:16" x14ac:dyDescent="0.25">
      <c r="A85" s="13"/>
      <c r="B85" s="23"/>
      <c r="C85" s="13"/>
    </row>
    <row r="86" spans="1:16" x14ac:dyDescent="0.25">
      <c r="A86" s="13"/>
      <c r="B86" s="13"/>
    </row>
    <row r="87" spans="1:16" x14ac:dyDescent="0.25">
      <c r="A87" s="13"/>
      <c r="B87" s="23"/>
      <c r="C87" s="23"/>
    </row>
    <row r="88" spans="1:16" x14ac:dyDescent="0.25">
      <c r="A88" s="200"/>
      <c r="B88" s="202"/>
    </row>
    <row r="89" spans="1:16" x14ac:dyDescent="0.25">
      <c r="A89" s="13"/>
      <c r="B89" s="23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200"/>
      <c r="B90" s="23"/>
      <c r="C90" s="23"/>
    </row>
    <row r="91" spans="1:16" x14ac:dyDescent="0.25">
      <c r="A91" s="200"/>
      <c r="B91" s="23"/>
      <c r="C91" s="23"/>
    </row>
    <row r="92" spans="1:16" x14ac:dyDescent="0.25">
      <c r="A92" s="200"/>
      <c r="B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x14ac:dyDescent="0.25">
      <c r="A93" s="13"/>
      <c r="B93" s="23"/>
    </row>
    <row r="94" spans="1:16" x14ac:dyDescent="0.25">
      <c r="A94" s="200"/>
      <c r="B94" s="23"/>
      <c r="C94" s="23"/>
    </row>
    <row r="95" spans="1:16" x14ac:dyDescent="0.25">
      <c r="A95" s="200"/>
      <c r="B95" s="23"/>
      <c r="C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6" x14ac:dyDescent="0.25">
      <c r="A98" s="200"/>
      <c r="B98" s="23"/>
      <c r="C98" s="23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25">
      <c r="A99" s="200"/>
      <c r="B99" s="202"/>
      <c r="C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13"/>
      <c r="B100" s="23"/>
    </row>
    <row r="101" spans="1:16" x14ac:dyDescent="0.25">
      <c r="A101" s="200"/>
      <c r="B101" s="23"/>
      <c r="C101" s="23"/>
    </row>
    <row r="102" spans="1:16" x14ac:dyDescent="0.25">
      <c r="A102" s="200"/>
      <c r="B102" s="23"/>
      <c r="C102" s="23"/>
    </row>
    <row r="103" spans="1:16" x14ac:dyDescent="0.25">
      <c r="A103" s="200"/>
      <c r="B103" s="200"/>
      <c r="C103" s="202"/>
    </row>
    <row r="104" spans="1:16" x14ac:dyDescent="0.25">
      <c r="A104" s="13"/>
      <c r="B104" s="2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C106" s="202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200"/>
      <c r="B110" s="20"/>
    </row>
    <row r="112" spans="1:16" ht="13" x14ac:dyDescent="0.3">
      <c r="B112" s="187"/>
      <c r="C112" s="188"/>
      <c r="D112" s="188"/>
      <c r="E112" s="188"/>
      <c r="F112" s="188"/>
      <c r="G112" s="188"/>
      <c r="H112" s="187"/>
      <c r="I112" s="188"/>
    </row>
    <row r="113" spans="1:17" x14ac:dyDescent="0.25">
      <c r="B113" s="188"/>
      <c r="C113" s="188"/>
      <c r="D113" s="188"/>
      <c r="E113" s="188"/>
      <c r="F113" s="188"/>
      <c r="G113" s="188"/>
      <c r="H113" s="188"/>
      <c r="I113" s="188"/>
    </row>
    <row r="114" spans="1:17" x14ac:dyDescent="0.25">
      <c r="B114" s="188"/>
      <c r="C114" s="188"/>
      <c r="D114" s="188"/>
      <c r="E114" s="188"/>
      <c r="F114" s="188"/>
      <c r="G114" s="188"/>
      <c r="H114" s="188"/>
      <c r="I114" s="188"/>
    </row>
    <row r="115" spans="1:17" ht="13" x14ac:dyDescent="0.3">
      <c r="B115" s="186"/>
      <c r="C115" s="188"/>
      <c r="D115" s="188"/>
      <c r="E115" s="188"/>
      <c r="F115" s="188"/>
      <c r="G115" s="188"/>
      <c r="H115" s="186"/>
      <c r="I115" s="188"/>
    </row>
    <row r="116" spans="1:17" x14ac:dyDescent="0.25">
      <c r="B116" s="188"/>
      <c r="C116" s="188"/>
      <c r="D116" s="188"/>
      <c r="E116" s="188"/>
      <c r="F116" s="188"/>
      <c r="G116" s="188"/>
      <c r="H116" s="188"/>
      <c r="I116" s="188"/>
    </row>
    <row r="117" spans="1:17" x14ac:dyDescent="0.25">
      <c r="B117" s="188"/>
      <c r="C117" s="188"/>
      <c r="D117" s="188"/>
      <c r="E117" s="188"/>
      <c r="F117" s="188"/>
      <c r="G117" s="188"/>
      <c r="H117" s="188"/>
      <c r="I117" s="188"/>
    </row>
    <row r="118" spans="1:17" x14ac:dyDescent="0.25">
      <c r="B118" s="188"/>
      <c r="C118" s="188"/>
      <c r="F118" s="188"/>
      <c r="G118" s="188"/>
      <c r="H118" s="188"/>
      <c r="I118" s="23"/>
    </row>
    <row r="119" spans="1:17" x14ac:dyDescent="0.25">
      <c r="B119" s="206"/>
      <c r="C119" s="188"/>
      <c r="D119" s="188"/>
      <c r="E119" s="188"/>
      <c r="F119" s="188"/>
      <c r="G119" s="188"/>
      <c r="H119" s="188"/>
      <c r="I119" s="188"/>
    </row>
    <row r="120" spans="1:17" x14ac:dyDescent="0.25">
      <c r="B120" s="188"/>
      <c r="C120" s="188"/>
      <c r="D120" s="188"/>
      <c r="E120" s="188"/>
      <c r="F120" s="188"/>
      <c r="G120" s="188"/>
      <c r="H120" s="188"/>
      <c r="I120" s="188"/>
    </row>
    <row r="121" spans="1:17" x14ac:dyDescent="0.25">
      <c r="A121" s="206"/>
      <c r="B121" s="206"/>
      <c r="C121" s="188"/>
      <c r="D121" s="188"/>
      <c r="E121" s="188"/>
      <c r="F121" s="188"/>
      <c r="G121" s="188"/>
      <c r="H121" s="188"/>
      <c r="I121" s="188"/>
    </row>
    <row r="122" spans="1:1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5"/>
      <c r="B123" s="5"/>
      <c r="C123" s="5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13"/>
      <c r="B124" s="23"/>
      <c r="C124" s="23"/>
    </row>
    <row r="125" spans="1:17" x14ac:dyDescent="0.25">
      <c r="A125" s="13"/>
      <c r="B125" s="23"/>
      <c r="C125" s="23"/>
    </row>
    <row r="126" spans="1:17" x14ac:dyDescent="0.25">
      <c r="A126" s="13"/>
      <c r="B126" s="23"/>
      <c r="C126" s="23"/>
    </row>
    <row r="127" spans="1:17" x14ac:dyDescent="0.25">
      <c r="A127" s="13"/>
      <c r="B127" s="23"/>
      <c r="C127" s="23"/>
    </row>
    <row r="128" spans="1:17" x14ac:dyDescent="0.25">
      <c r="A128" s="13"/>
      <c r="B128" s="23"/>
      <c r="C128" s="23"/>
    </row>
    <row r="129" spans="1:16" x14ac:dyDescent="0.25">
      <c r="A129" s="13"/>
      <c r="B129" s="23"/>
      <c r="C129" s="23"/>
    </row>
    <row r="130" spans="1:16" x14ac:dyDescent="0.25">
      <c r="A130" s="13"/>
      <c r="B130" s="23"/>
      <c r="C130" s="23"/>
    </row>
    <row r="131" spans="1:16" x14ac:dyDescent="0.25">
      <c r="A131" s="13"/>
      <c r="B131" s="23"/>
      <c r="C131" s="23"/>
    </row>
    <row r="132" spans="1:16" x14ac:dyDescent="0.25">
      <c r="A132" s="13"/>
      <c r="B132" s="23"/>
      <c r="C132" s="23"/>
    </row>
    <row r="133" spans="1:16" x14ac:dyDescent="0.25">
      <c r="A133" s="13"/>
      <c r="B133" s="23"/>
      <c r="C133" s="23"/>
    </row>
    <row r="134" spans="1:16" x14ac:dyDescent="0.25">
      <c r="A134" s="13"/>
      <c r="B134" s="23"/>
      <c r="C134" s="23"/>
    </row>
    <row r="135" spans="1:16" x14ac:dyDescent="0.25">
      <c r="A135" s="13"/>
      <c r="B135" s="23"/>
      <c r="C135" s="23"/>
    </row>
    <row r="136" spans="1:16" x14ac:dyDescent="0.25">
      <c r="A136" s="13"/>
      <c r="B136" s="23"/>
      <c r="C136" s="23"/>
    </row>
    <row r="137" spans="1:16" x14ac:dyDescent="0.25">
      <c r="A137" s="13"/>
      <c r="B137" s="23"/>
      <c r="C137" s="23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</row>
    <row r="138" spans="1:16" x14ac:dyDescent="0.25">
      <c r="A138" s="13"/>
      <c r="B138" s="23"/>
      <c r="C138" s="23"/>
    </row>
    <row r="139" spans="1:16" x14ac:dyDescent="0.25">
      <c r="A139" s="13"/>
      <c r="B139" s="23"/>
      <c r="C139" s="23"/>
    </row>
    <row r="140" spans="1:16" x14ac:dyDescent="0.25">
      <c r="A140" s="13"/>
      <c r="B140" s="23"/>
      <c r="C140" s="23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</row>
    <row r="141" spans="1:16" x14ac:dyDescent="0.25">
      <c r="A141" s="13"/>
      <c r="B141" s="23"/>
      <c r="C141" s="23"/>
    </row>
    <row r="142" spans="1:16" x14ac:dyDescent="0.25">
      <c r="A142" s="13"/>
      <c r="B142" s="23"/>
      <c r="C142" s="23"/>
    </row>
    <row r="143" spans="1:16" x14ac:dyDescent="0.25">
      <c r="A143" s="13"/>
      <c r="B143" s="23"/>
      <c r="C143" s="23"/>
    </row>
    <row r="144" spans="1:16" x14ac:dyDescent="0.25">
      <c r="A144" s="13"/>
      <c r="B144" s="23"/>
      <c r="C144" s="23"/>
    </row>
    <row r="145" spans="1:16" x14ac:dyDescent="0.25">
      <c r="A145" s="13"/>
      <c r="B145" s="23"/>
      <c r="C145" s="23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</row>
    <row r="146" spans="1:16" x14ac:dyDescent="0.25">
      <c r="A146" s="13"/>
      <c r="B146" s="23"/>
      <c r="C146" s="23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1:16" x14ac:dyDescent="0.25">
      <c r="A147" s="13"/>
      <c r="B147" s="23"/>
      <c r="C147" s="23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6" x14ac:dyDescent="0.25">
      <c r="A148" s="13"/>
      <c r="B148" s="23"/>
      <c r="C148" s="23"/>
    </row>
    <row r="149" spans="1:16" x14ac:dyDescent="0.25">
      <c r="A149" s="13"/>
      <c r="B149" s="23"/>
      <c r="C149" s="23"/>
    </row>
    <row r="150" spans="1:16" x14ac:dyDescent="0.25">
      <c r="A150" s="13"/>
      <c r="B150" s="23"/>
      <c r="C150" s="23"/>
    </row>
    <row r="151" spans="1:16" x14ac:dyDescent="0.25">
      <c r="A151" s="13"/>
      <c r="B151" s="23"/>
      <c r="C151" s="23"/>
    </row>
    <row r="152" spans="1:16" x14ac:dyDescent="0.25">
      <c r="A152" s="13"/>
      <c r="B152" s="23"/>
      <c r="C152" s="2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</row>
    <row r="153" spans="1:16" x14ac:dyDescent="0.25">
      <c r="A153" s="13"/>
      <c r="B153" s="23"/>
      <c r="C153" s="2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</row>
    <row r="154" spans="1:16" x14ac:dyDescent="0.25">
      <c r="A154" s="13"/>
      <c r="B154" s="23"/>
      <c r="C154" s="2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1:16" x14ac:dyDescent="0.25">
      <c r="A155" s="13"/>
      <c r="B155" s="23"/>
      <c r="C155" s="23"/>
    </row>
    <row r="156" spans="1:16" x14ac:dyDescent="0.25">
      <c r="A156" s="13"/>
      <c r="B156" s="23"/>
      <c r="C156" s="23"/>
    </row>
    <row r="157" spans="1:16" x14ac:dyDescent="0.25">
      <c r="A157" s="13"/>
      <c r="B157" s="23"/>
      <c r="C157" s="23"/>
    </row>
    <row r="158" spans="1:16" x14ac:dyDescent="0.25">
      <c r="A158" s="200"/>
      <c r="B158" s="20"/>
    </row>
    <row r="159" spans="1:16" x14ac:dyDescent="0.25">
      <c r="A159" s="210"/>
      <c r="B159" s="23"/>
    </row>
    <row r="160" spans="1:16" x14ac:dyDescent="0.25">
      <c r="H160" s="211"/>
      <c r="I160" s="211"/>
      <c r="J160" s="211"/>
      <c r="K160" s="211"/>
    </row>
    <row r="161" spans="8:11" x14ac:dyDescent="0.25">
      <c r="H161" s="211"/>
      <c r="I161" s="211"/>
      <c r="J161" s="211"/>
      <c r="K161" s="211"/>
    </row>
    <row r="162" spans="8:11" x14ac:dyDescent="0.25">
      <c r="H162" s="211"/>
      <c r="I162" s="211"/>
      <c r="J162" s="211"/>
      <c r="K162" s="211"/>
    </row>
    <row r="163" spans="8:11" x14ac:dyDescent="0.25">
      <c r="H163" s="211"/>
      <c r="I163" s="211"/>
      <c r="J163" s="211"/>
      <c r="K163" s="211"/>
    </row>
    <row r="165" spans="8:11" x14ac:dyDescent="0.25">
      <c r="H165" s="211"/>
      <c r="I165" s="211"/>
      <c r="J165" s="211"/>
      <c r="K165" s="211"/>
    </row>
    <row r="166" spans="8:11" x14ac:dyDescent="0.25">
      <c r="H166" s="211"/>
      <c r="I166" s="211"/>
      <c r="J166" s="211"/>
      <c r="K166" s="211"/>
    </row>
    <row r="167" spans="8:11" x14ac:dyDescent="0.25">
      <c r="H167" s="211"/>
      <c r="I167" s="211"/>
      <c r="J167" s="211"/>
      <c r="K167" s="211"/>
    </row>
    <row r="168" spans="8:11" x14ac:dyDescent="0.25">
      <c r="H168" s="211"/>
      <c r="I168" s="211"/>
      <c r="J168" s="211"/>
      <c r="K168" s="211"/>
    </row>
    <row r="194" spans="5:16" x14ac:dyDescent="0.25"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</row>
    <row r="200" spans="5:16" x14ac:dyDescent="0.25"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</row>
    <row r="201" spans="5:16" x14ac:dyDescent="0.25"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</row>
  </sheetData>
  <mergeCells count="11">
    <mergeCell ref="H163:K163"/>
    <mergeCell ref="H165:K165"/>
    <mergeCell ref="H166:K166"/>
    <mergeCell ref="H167:K167"/>
    <mergeCell ref="H168:K168"/>
    <mergeCell ref="A8:Q8"/>
    <mergeCell ref="A9:Q9"/>
    <mergeCell ref="A10:Q10"/>
    <mergeCell ref="H160:K160"/>
    <mergeCell ref="H161:K161"/>
    <mergeCell ref="H162:K162"/>
  </mergeCells>
  <pageMargins left="0.5" right="0.5" top="1" bottom="0.75" header="0.55000000000000004" footer="0.3"/>
  <pageSetup scale="52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10" max="1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6CA8-4A61-41BE-8C4D-DC8E8736F92A}">
  <sheetPr transitionEvaluation="1" transitionEntry="1"/>
  <dimension ref="A1:XFD2221"/>
  <sheetViews>
    <sheetView showGridLines="0" defaultGridColor="0" view="pageBreakPreview" colorId="8" zoomScale="80" zoomScaleNormal="110" zoomScaleSheetLayoutView="80" workbookViewId="0">
      <selection activeCell="Q28" sqref="Q28"/>
    </sheetView>
  </sheetViews>
  <sheetFormatPr defaultColWidth="11.58203125" defaultRowHeight="12.5" x14ac:dyDescent="0.25"/>
  <cols>
    <col min="1" max="1" width="4.5" style="1" customWidth="1"/>
    <col min="2" max="2" width="3.58203125" style="1" customWidth="1"/>
    <col min="3" max="3" width="32.58203125" style="1" customWidth="1"/>
    <col min="4" max="4" width="16.25" style="1" customWidth="1"/>
    <col min="5" max="5" width="17.58203125" style="1" customWidth="1"/>
    <col min="6" max="8" width="14.58203125" style="1" customWidth="1"/>
    <col min="9" max="16" width="13.08203125" style="1" customWidth="1"/>
    <col min="17" max="17" width="12.08203125" style="1" customWidth="1"/>
    <col min="18" max="18" width="3.58203125" style="1" customWidth="1"/>
    <col min="19" max="19" width="16.58203125" style="1" bestFit="1" customWidth="1"/>
    <col min="20" max="20" width="11.75" style="1" bestFit="1" customWidth="1"/>
    <col min="21" max="21" width="14.58203125" style="1" bestFit="1" customWidth="1"/>
    <col min="22" max="22" width="13.83203125" style="1" bestFit="1" customWidth="1"/>
    <col min="23" max="35" width="15.33203125" style="1" bestFit="1" customWidth="1"/>
    <col min="36" max="38" width="11.58203125" style="1"/>
    <col min="39" max="39" width="13.58203125" style="1" bestFit="1" customWidth="1"/>
    <col min="40" max="16384" width="11.58203125" style="1"/>
  </cols>
  <sheetData>
    <row r="1" spans="1:25" ht="13" x14ac:dyDescent="0.3">
      <c r="Q1" s="2"/>
    </row>
    <row r="2" spans="1:25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26</v>
      </c>
    </row>
    <row r="3" spans="1:25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5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5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5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5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5" x14ac:dyDescent="0.25">
      <c r="A8" s="211" t="s">
        <v>347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5" ht="33.75" hidden="1" customHeight="1" x14ac:dyDescent="0.2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</row>
    <row r="10" spans="1:25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5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5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5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5" x14ac:dyDescent="0.25">
      <c r="A14" s="13">
        <v>1</v>
      </c>
      <c r="B14" s="23" t="s">
        <v>261</v>
      </c>
      <c r="C14" s="13"/>
    </row>
    <row r="15" spans="1:25" x14ac:dyDescent="0.25">
      <c r="A15" s="13"/>
      <c r="B15" s="23" t="s">
        <v>262</v>
      </c>
      <c r="C15" s="23" t="s">
        <v>263</v>
      </c>
      <c r="E15" s="1">
        <v>258626.14</v>
      </c>
      <c r="F15" s="1">
        <v>377494.32</v>
      </c>
      <c r="G15" s="1">
        <v>316304.39999999997</v>
      </c>
      <c r="H15" s="1">
        <v>39535.12999999999</v>
      </c>
      <c r="I15" s="1">
        <v>549803.91</v>
      </c>
      <c r="J15" s="1">
        <v>197197.91298960001</v>
      </c>
      <c r="K15" s="1">
        <v>498480.78903689998</v>
      </c>
      <c r="L15" s="1">
        <v>1056326.0739463002</v>
      </c>
      <c r="M15" s="1">
        <v>1235344.5380900002</v>
      </c>
      <c r="N15" s="1">
        <v>627653.97896189999</v>
      </c>
      <c r="O15" s="1">
        <v>178133.71623190001</v>
      </c>
      <c r="P15" s="1">
        <v>2871140.9106284999</v>
      </c>
      <c r="Q15" s="1">
        <f t="shared" ref="Q15:Q20" si="0">SUM(E15:P15)</f>
        <v>8206041.8198850993</v>
      </c>
      <c r="U15" s="13"/>
      <c r="V15" s="13"/>
      <c r="W15" s="13"/>
      <c r="X15" s="13"/>
      <c r="Y15" s="13"/>
    </row>
    <row r="16" spans="1:25" x14ac:dyDescent="0.25">
      <c r="A16" s="13"/>
      <c r="B16" s="23" t="s">
        <v>264</v>
      </c>
      <c r="C16" s="23" t="s">
        <v>265</v>
      </c>
      <c r="E16" s="1">
        <v>34418.9</v>
      </c>
      <c r="F16" s="1">
        <v>11844.809999999998</v>
      </c>
      <c r="G16" s="1">
        <v>806381.35</v>
      </c>
      <c r="H16" s="1">
        <v>682034.31</v>
      </c>
      <c r="I16" s="1">
        <v>21348.61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525594.31000000006</v>
      </c>
      <c r="Q16" s="1">
        <f t="shared" si="0"/>
        <v>2081622.2900000003</v>
      </c>
      <c r="U16" s="5"/>
      <c r="V16" s="5"/>
      <c r="W16" s="5"/>
      <c r="X16" s="5"/>
      <c r="Y16" s="5"/>
    </row>
    <row r="17" spans="1:16384" x14ac:dyDescent="0.25">
      <c r="A17" s="13"/>
      <c r="B17" s="23" t="s">
        <v>266</v>
      </c>
      <c r="C17" s="23" t="s">
        <v>267</v>
      </c>
      <c r="E17" s="1">
        <v>40956.539999999994</v>
      </c>
      <c r="F17" s="1">
        <v>0</v>
      </c>
      <c r="G17" s="1">
        <v>374956.74</v>
      </c>
      <c r="H17" s="1">
        <v>282271.21000000002</v>
      </c>
      <c r="I17" s="1">
        <v>89201.21</v>
      </c>
      <c r="J17" s="1">
        <v>600000</v>
      </c>
      <c r="K17" s="1">
        <v>0</v>
      </c>
      <c r="L17" s="1">
        <v>0</v>
      </c>
      <c r="M17" s="1">
        <v>0</v>
      </c>
      <c r="N17" s="1">
        <v>474103574.20999992</v>
      </c>
      <c r="O17" s="1">
        <v>0</v>
      </c>
      <c r="P17" s="1">
        <v>250000</v>
      </c>
      <c r="Q17" s="1">
        <f>SUM(E17:P17)</f>
        <v>475740959.90999991</v>
      </c>
    </row>
    <row r="18" spans="1:16384" x14ac:dyDescent="0.25">
      <c r="A18" s="13"/>
      <c r="B18" s="23" t="s">
        <v>268</v>
      </c>
      <c r="C18" s="23" t="s">
        <v>269</v>
      </c>
      <c r="E18" s="1">
        <v>-129680.6</v>
      </c>
      <c r="F18" s="1">
        <v>47578.239999999998</v>
      </c>
      <c r="G18" s="1">
        <v>-54597.33</v>
      </c>
      <c r="H18" s="1">
        <v>31487.309999999998</v>
      </c>
      <c r="I18" s="1">
        <v>27283.940000000002</v>
      </c>
      <c r="J18" s="1">
        <v>-88210.657200000001</v>
      </c>
      <c r="K18" s="1">
        <v>8439.6272286000003</v>
      </c>
      <c r="L18" s="1">
        <v>2101.6772286</v>
      </c>
      <c r="M18" s="1">
        <v>2101.6772286</v>
      </c>
      <c r="N18" s="1">
        <v>2101.6772286</v>
      </c>
      <c r="O18" s="1">
        <v>2101.6772286</v>
      </c>
      <c r="P18" s="1">
        <v>73461.252228600002</v>
      </c>
      <c r="Q18" s="1">
        <f t="shared" si="0"/>
        <v>-75831.508828400052</v>
      </c>
    </row>
    <row r="19" spans="1:16384" x14ac:dyDescent="0.25">
      <c r="A19" s="13"/>
      <c r="B19" s="23" t="s">
        <v>270</v>
      </c>
      <c r="C19" s="23" t="s">
        <v>348</v>
      </c>
      <c r="E19" s="1">
        <f>SUM(-83425.83+202.46-1388581.42-212014.48-121.82-13843.14-5482.61-4.72-208.77-1.86)</f>
        <v>-1703482.1900000002</v>
      </c>
      <c r="F19" s="1">
        <f>SUM(83425.83+1388581.42-4.03)</f>
        <v>1472003.22</v>
      </c>
      <c r="G19" s="1">
        <f>SUM(-71.01-218.29)</f>
        <v>-289.3</v>
      </c>
      <c r="H19" s="1">
        <f>SUM(-0.46+0.27)</f>
        <v>-0.19</v>
      </c>
      <c r="I19" s="1">
        <f>SUM(121.82+13843.14+5482.61+4.72+208.77+1.86+4.03+71.01+218.29+0.46-0.27+212014.48)</f>
        <v>231970.92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202.45999999981723</v>
      </c>
    </row>
    <row r="20" spans="1:16384" x14ac:dyDescent="0.25">
      <c r="A20" s="13"/>
      <c r="B20" s="23" t="s">
        <v>313</v>
      </c>
      <c r="C20" s="23" t="s">
        <v>349</v>
      </c>
      <c r="E20" s="1">
        <f>-6716.86+0.1</f>
        <v>-6716.7599999999993</v>
      </c>
      <c r="F20" s="1">
        <f>SUM(-5599.39-0.06)</f>
        <v>-5599.4500000000007</v>
      </c>
      <c r="G20" s="1">
        <v>0</v>
      </c>
      <c r="H20" s="1">
        <v>0</v>
      </c>
      <c r="I20" s="1">
        <f>SUM(1719.97+0.42)</f>
        <v>1720.39</v>
      </c>
      <c r="J20" s="1">
        <v>0</v>
      </c>
      <c r="K20" s="1">
        <v>0</v>
      </c>
      <c r="L20" s="1">
        <v>0</v>
      </c>
      <c r="M20" s="1">
        <v>0</v>
      </c>
      <c r="N20" s="1">
        <v>-310421059.0663166</v>
      </c>
      <c r="O20" s="1">
        <v>0</v>
      </c>
      <c r="P20" s="1">
        <v>0</v>
      </c>
      <c r="Q20" s="1">
        <f t="shared" si="0"/>
        <v>-310431654.8863166</v>
      </c>
    </row>
    <row r="21" spans="1:16384" x14ac:dyDescent="0.25">
      <c r="A21" s="13">
        <v>2</v>
      </c>
      <c r="B21" s="23" t="s">
        <v>272</v>
      </c>
      <c r="C21" s="13"/>
      <c r="D21" s="1">
        <v>1343294490.2705255</v>
      </c>
      <c r="E21" s="27">
        <f>D21+E16-E17+E19</f>
        <v>1341584470.4405255</v>
      </c>
      <c r="F21" s="27">
        <f>E21+F16-F17+F19</f>
        <v>1343068318.4705255</v>
      </c>
      <c r="G21" s="27">
        <f>F21+G16-G17+G19</f>
        <v>1343499453.7805254</v>
      </c>
      <c r="H21" s="27">
        <f>G21+H16-H17+H19</f>
        <v>1343899216.6905253</v>
      </c>
      <c r="I21" s="27">
        <f>H21+I16-I17+I19</f>
        <v>1344063335.0105252</v>
      </c>
      <c r="J21" s="1">
        <f>I21+J16-J17</f>
        <v>1343463335.0105252</v>
      </c>
      <c r="K21" s="1">
        <f t="shared" ref="K21:N21" si="1">J21+K16-K17</f>
        <v>1343463335.0105252</v>
      </c>
      <c r="L21" s="1">
        <f t="shared" si="1"/>
        <v>1343463335.0105252</v>
      </c>
      <c r="M21" s="1">
        <f t="shared" si="1"/>
        <v>1343463335.0105252</v>
      </c>
      <c r="N21" s="1">
        <f t="shared" si="1"/>
        <v>869359760.80052531</v>
      </c>
      <c r="O21" s="1">
        <f>N21+O16-O17</f>
        <v>869359760.80052531</v>
      </c>
      <c r="P21" s="1">
        <f>O21+P16-P17</f>
        <v>869635355.11052525</v>
      </c>
      <c r="T21" s="1">
        <f>SUM(U21:AG21)</f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</row>
    <row r="22" spans="1:16384" x14ac:dyDescent="0.25">
      <c r="A22" s="13">
        <v>3</v>
      </c>
      <c r="B22" s="23" t="s">
        <v>273</v>
      </c>
      <c r="C22" s="13"/>
      <c r="D22" s="1">
        <v>-316705225.84403241</v>
      </c>
      <c r="E22" s="27">
        <f>D22-E34-E35-E36+E17+E18+E20</f>
        <v>-320700107.34867954</v>
      </c>
      <c r="F22" s="27">
        <f>E22-F34-F35-F36+F17+F18+F20</f>
        <v>-324561151.75261474</v>
      </c>
      <c r="G22" s="27">
        <f>F22-G34-G35-G36+G17+G18+G20+0.5</f>
        <v>-328144832.35754538</v>
      </c>
      <c r="H22" s="27">
        <f>G22-H34-H35-H36+H17+H18+H20+0.51</f>
        <v>-331736747.39366317</v>
      </c>
      <c r="I22" s="27">
        <f>H22-I34-I35-I36+I17+I18+I20</f>
        <v>-335524821.3110534</v>
      </c>
      <c r="J22" s="1">
        <f t="shared" ref="J22:P22" si="2">I22-J34-J35-J36+J17+J18-J19</f>
        <v>-338753269.71365148</v>
      </c>
      <c r="K22" s="1">
        <f t="shared" si="2"/>
        <v>-342484067.83183098</v>
      </c>
      <c r="L22" s="1">
        <f t="shared" si="2"/>
        <v>-346221203.90001047</v>
      </c>
      <c r="M22" s="1">
        <f t="shared" si="2"/>
        <v>-349958339.96818995</v>
      </c>
      <c r="N22" s="1">
        <f>M22-N34-N35-N36+N17+N18-N19+N20</f>
        <v>-189222788.27690455</v>
      </c>
      <c r="O22" s="1">
        <f>N22-O34-O35-O36+O17+O18-O19</f>
        <v>-191379579.11352083</v>
      </c>
      <c r="P22" s="27">
        <f t="shared" si="2"/>
        <v>-193215010.37513712</v>
      </c>
      <c r="T22" s="1">
        <v>0</v>
      </c>
      <c r="U22" s="1">
        <v>0.10000002384185791</v>
      </c>
      <c r="V22" s="1">
        <v>4.0000081062316895E-2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310421059.0663166</v>
      </c>
      <c r="O23" s="1">
        <f>N23</f>
        <v>310421059.0663166</v>
      </c>
      <c r="P23" s="1">
        <f>O23</f>
        <v>310421059.0663166</v>
      </c>
      <c r="Q23" s="213"/>
      <c r="R23" s="213"/>
      <c r="S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99">
        <v>2015377.5363157906</v>
      </c>
      <c r="E24" s="199">
        <f t="shared" ref="E24:P24" si="3">D24+E15-E16</f>
        <v>2239584.7763157906</v>
      </c>
      <c r="F24" s="199">
        <f t="shared" si="3"/>
        <v>2605234.2863157904</v>
      </c>
      <c r="G24" s="199">
        <f t="shared" si="3"/>
        <v>2115157.3363157902</v>
      </c>
      <c r="H24" s="199">
        <f t="shared" si="3"/>
        <v>1472658.15631579</v>
      </c>
      <c r="I24" s="199">
        <f t="shared" si="3"/>
        <v>2001113.4563157901</v>
      </c>
      <c r="J24" s="199">
        <f t="shared" si="3"/>
        <v>2198311.3693053899</v>
      </c>
      <c r="K24" s="199">
        <f t="shared" si="3"/>
        <v>2696792.1583422897</v>
      </c>
      <c r="L24" s="199">
        <f t="shared" si="3"/>
        <v>3753118.2322885897</v>
      </c>
      <c r="M24" s="199">
        <f t="shared" si="3"/>
        <v>4988462.7703785896</v>
      </c>
      <c r="N24" s="199">
        <f t="shared" si="3"/>
        <v>5616116.7493404895</v>
      </c>
      <c r="O24" s="199">
        <f t="shared" si="3"/>
        <v>5794250.4655723898</v>
      </c>
      <c r="P24" s="199">
        <f t="shared" si="3"/>
        <v>8139797.0662008896</v>
      </c>
      <c r="Q24" s="205"/>
      <c r="T24" s="1">
        <f t="shared" ref="T24" si="4">SUM(U24:AG24)</f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</row>
    <row r="25" spans="1:16384" x14ac:dyDescent="0.25">
      <c r="A25" s="13">
        <v>5</v>
      </c>
      <c r="B25" s="23" t="s">
        <v>275</v>
      </c>
      <c r="C25" s="13"/>
      <c r="D25" s="199">
        <f>SUM(D21:D24)</f>
        <v>1028604641.9628088</v>
      </c>
      <c r="E25" s="199">
        <f t="shared" ref="E25:P25" si="5">SUM(E21:E24)</f>
        <v>1023123947.8681618</v>
      </c>
      <c r="F25" s="199">
        <f t="shared" si="5"/>
        <v>1021112401.0042266</v>
      </c>
      <c r="G25" s="199">
        <f t="shared" si="5"/>
        <v>1017469778.7592958</v>
      </c>
      <c r="H25" s="199">
        <f t="shared" si="5"/>
        <v>1013635127.4531779</v>
      </c>
      <c r="I25" s="199">
        <f t="shared" si="5"/>
        <v>1010539627.1557876</v>
      </c>
      <c r="J25" s="199">
        <f t="shared" si="5"/>
        <v>1006908376.6661792</v>
      </c>
      <c r="K25" s="199">
        <f t="shared" si="5"/>
        <v>1003676059.3370365</v>
      </c>
      <c r="L25" s="199">
        <f t="shared" si="5"/>
        <v>1000995249.3428034</v>
      </c>
      <c r="M25" s="199">
        <f>SUM(M21:M24)</f>
        <v>998493457.81271386</v>
      </c>
      <c r="N25" s="199">
        <f t="shared" si="5"/>
        <v>996174148.33927786</v>
      </c>
      <c r="O25" s="199">
        <f>SUM(O21:O24)</f>
        <v>994195491.21889341</v>
      </c>
      <c r="P25" s="199">
        <f t="shared" si="5"/>
        <v>994981200.86790562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1025864294.9154854</v>
      </c>
      <c r="F27" s="1">
        <f t="shared" ref="F27:P27" si="6">(E25+F25)/2</f>
        <v>1022118174.4361942</v>
      </c>
      <c r="G27" s="1">
        <f t="shared" si="6"/>
        <v>1019291089.8817612</v>
      </c>
      <c r="H27" s="1">
        <f t="shared" si="6"/>
        <v>1015552453.1062369</v>
      </c>
      <c r="I27" s="1">
        <f t="shared" si="6"/>
        <v>1012087377.3044827</v>
      </c>
      <c r="J27" s="1">
        <f t="shared" si="6"/>
        <v>1008724001.9109833</v>
      </c>
      <c r="K27" s="1">
        <f t="shared" si="6"/>
        <v>1005292218.0016079</v>
      </c>
      <c r="L27" s="1">
        <f t="shared" si="6"/>
        <v>1002335654.3399199</v>
      </c>
      <c r="M27" s="1">
        <f t="shared" si="6"/>
        <v>999744353.57775855</v>
      </c>
      <c r="N27" s="1">
        <f t="shared" si="6"/>
        <v>997333803.07599592</v>
      </c>
      <c r="O27" s="1">
        <f t="shared" si="6"/>
        <v>995184819.77908564</v>
      </c>
      <c r="P27" s="1">
        <f t="shared" si="6"/>
        <v>994588346.04339957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4723079.2137908945</v>
      </c>
      <c r="F30" s="1">
        <v>4705832.0751042375</v>
      </c>
      <c r="G30" s="1">
        <v>4692816.1778156282</v>
      </c>
      <c r="H30" s="1">
        <v>4675603.4941011146</v>
      </c>
      <c r="I30" s="1">
        <v>4659650.2851098375</v>
      </c>
      <c r="J30" s="1">
        <v>4644165.3047981672</v>
      </c>
      <c r="K30" s="1">
        <v>4814344.4320096998</v>
      </c>
      <c r="L30" s="1">
        <v>4800185.4486338766</v>
      </c>
      <c r="M30" s="1">
        <v>4787775.7092838855</v>
      </c>
      <c r="N30" s="1">
        <v>4776231.5829309439</v>
      </c>
      <c r="O30" s="1">
        <v>4765940.1019220408</v>
      </c>
      <c r="P30" s="1">
        <v>4763083.5892018406</v>
      </c>
      <c r="Q30" s="1">
        <f>ROUND(SUM(E30:P30),2)</f>
        <v>56808707.409999996</v>
      </c>
    </row>
    <row r="31" spans="1:16384" x14ac:dyDescent="0.25">
      <c r="A31" s="200"/>
      <c r="B31" s="23" t="s">
        <v>264</v>
      </c>
      <c r="C31" s="23" t="s">
        <v>279</v>
      </c>
      <c r="E31" s="1">
        <v>1192054.3106917941</v>
      </c>
      <c r="F31" s="1">
        <v>1187701.3186948576</v>
      </c>
      <c r="G31" s="1">
        <v>1184416.2464426067</v>
      </c>
      <c r="H31" s="1">
        <v>1180071.9505094474</v>
      </c>
      <c r="I31" s="1">
        <v>1176045.532427809</v>
      </c>
      <c r="J31" s="1">
        <v>1172137.2902205626</v>
      </c>
      <c r="K31" s="1">
        <v>1054551.5366836868</v>
      </c>
      <c r="L31" s="1">
        <v>1051450.1014025761</v>
      </c>
      <c r="M31" s="1">
        <v>1048731.8269030687</v>
      </c>
      <c r="N31" s="1">
        <v>1046203.1594267198</v>
      </c>
      <c r="O31" s="1">
        <v>1043948.8759482609</v>
      </c>
      <c r="P31" s="1">
        <v>1043323.1749995261</v>
      </c>
      <c r="Q31" s="1">
        <f>ROUND(SUM(E31:P31),2)</f>
        <v>13380635.32</v>
      </c>
    </row>
    <row r="32" spans="1:16384" x14ac:dyDescent="0.25">
      <c r="A32" s="200"/>
      <c r="B32" s="202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E34" s="1">
        <v>3879149.5371876373</v>
      </c>
      <c r="F34" s="1">
        <v>3882732.0464757318</v>
      </c>
      <c r="G34" s="1">
        <v>3883433.2274711356</v>
      </c>
      <c r="H34" s="1">
        <v>3884750.6486582076</v>
      </c>
      <c r="I34" s="1">
        <v>3885356.0373901464</v>
      </c>
      <c r="J34" s="1">
        <v>3719314.3253980968</v>
      </c>
      <c r="K34" s="1">
        <v>3718314.3254080974</v>
      </c>
      <c r="L34" s="1">
        <v>3718314.3254080974</v>
      </c>
      <c r="M34" s="1">
        <v>3718314.3254080974</v>
      </c>
      <c r="N34" s="1">
        <v>2928141.7096264903</v>
      </c>
      <c r="O34" s="1">
        <v>2137969.0938448831</v>
      </c>
      <c r="P34" s="1">
        <v>2137969.0938448831</v>
      </c>
      <c r="Q34" s="1">
        <f>ROUND(SUM(E34:P34),2)</f>
        <v>41493758.700000003</v>
      </c>
    </row>
    <row r="35" spans="1:17" x14ac:dyDescent="0.25">
      <c r="A35" s="200"/>
      <c r="B35" s="23" t="s">
        <v>264</v>
      </c>
      <c r="C35" s="23" t="s">
        <v>282</v>
      </c>
      <c r="E35" s="1">
        <v>20291.14745952396</v>
      </c>
      <c r="F35" s="1">
        <v>20291.14745952396</v>
      </c>
      <c r="G35" s="1">
        <v>20607.287459523959</v>
      </c>
      <c r="H35" s="1">
        <v>20923.417459523956</v>
      </c>
      <c r="I35" s="1">
        <v>20923.419999999998</v>
      </c>
      <c r="J35" s="1">
        <v>20923.419999999998</v>
      </c>
      <c r="K35" s="1">
        <v>20923.419999999998</v>
      </c>
      <c r="L35" s="1">
        <v>20923.419999999998</v>
      </c>
      <c r="M35" s="1">
        <v>20923.419999999998</v>
      </c>
      <c r="N35" s="1">
        <v>20923.419999999998</v>
      </c>
      <c r="O35" s="1">
        <v>20923.419999999998</v>
      </c>
      <c r="P35" s="1">
        <v>20923.419999999998</v>
      </c>
      <c r="Q35" s="1">
        <f>ROUND(SUM(E35:P35),2)</f>
        <v>249500.36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ROUND(SUM(E36:P36),2)</f>
        <v>0</v>
      </c>
    </row>
    <row r="37" spans="1:17" x14ac:dyDescent="0.25">
      <c r="A37" s="200"/>
      <c r="B37" s="23" t="s">
        <v>268</v>
      </c>
      <c r="C37" s="23" t="s">
        <v>284</v>
      </c>
      <c r="E37" s="27">
        <v>546263.72406285047</v>
      </c>
      <c r="F37" s="1">
        <v>540462.27888696932</v>
      </c>
      <c r="G37" s="1">
        <v>540462.27888696932</v>
      </c>
      <c r="H37" s="1">
        <v>540462.27888696932</v>
      </c>
      <c r="I37" s="1">
        <v>540462.27888696932</v>
      </c>
      <c r="J37" s="1">
        <v>540462.27888696932</v>
      </c>
      <c r="K37" s="1">
        <v>540462.27888696932</v>
      </c>
      <c r="L37" s="1">
        <v>540462.27888696932</v>
      </c>
      <c r="M37" s="1">
        <v>540462.27888696932</v>
      </c>
      <c r="N37" s="1">
        <v>540462.27888696932</v>
      </c>
      <c r="O37" s="1">
        <v>540462.27888696932</v>
      </c>
      <c r="P37" s="1">
        <v>540462.27888696932</v>
      </c>
      <c r="Q37" s="1">
        <f>ROUND(SUM(E37:P37),2)</f>
        <v>6491348.79</v>
      </c>
    </row>
    <row r="38" spans="1:17" x14ac:dyDescent="0.25">
      <c r="A38" s="200"/>
      <c r="B38" s="23" t="s">
        <v>270</v>
      </c>
      <c r="C38" s="23" t="s">
        <v>285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>ROUND(SUM(E38:P38),2)</f>
        <v>0</v>
      </c>
    </row>
    <row r="39" spans="1:17" x14ac:dyDescent="0.25">
      <c r="A39" s="200"/>
      <c r="B39" s="202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10360837.9331927</v>
      </c>
      <c r="F40" s="1">
        <f t="shared" ref="F40:P40" si="7">SUM(F30:F38)</f>
        <v>10337018.866621321</v>
      </c>
      <c r="G40" s="1">
        <f>SUM(G30:G38)</f>
        <v>10321735.218075866</v>
      </c>
      <c r="H40" s="1">
        <f t="shared" si="7"/>
        <v>10301811.789615264</v>
      </c>
      <c r="I40" s="1">
        <f t="shared" si="7"/>
        <v>10282437.553814763</v>
      </c>
      <c r="J40" s="1">
        <f>SUM(J30:J38)</f>
        <v>10097002.619303796</v>
      </c>
      <c r="K40" s="1">
        <f t="shared" si="7"/>
        <v>10148595.992988454</v>
      </c>
      <c r="L40" s="1">
        <f t="shared" si="7"/>
        <v>10131335.57433152</v>
      </c>
      <c r="M40" s="1">
        <f>SUM(M30:M38)</f>
        <v>10116207.560482021</v>
      </c>
      <c r="N40" s="1">
        <f t="shared" si="7"/>
        <v>9311962.1508711241</v>
      </c>
      <c r="O40" s="1">
        <f t="shared" si="7"/>
        <v>8509243.7706021536</v>
      </c>
      <c r="P40" s="1">
        <f t="shared" si="7"/>
        <v>8505761.5569332186</v>
      </c>
      <c r="Q40" s="1">
        <f>SUM(E40:P40)</f>
        <v>118423950.58683221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796987.53332251543</v>
      </c>
      <c r="F41" s="1">
        <f t="shared" ref="F41:P41" si="8">F40*1/13</f>
        <v>795155.29743240937</v>
      </c>
      <c r="G41" s="1">
        <f t="shared" si="8"/>
        <v>793979.63215968199</v>
      </c>
      <c r="H41" s="1">
        <f t="shared" si="8"/>
        <v>792447.06073963572</v>
      </c>
      <c r="I41" s="1">
        <f t="shared" si="8"/>
        <v>790956.73490882793</v>
      </c>
      <c r="J41" s="1">
        <f t="shared" si="8"/>
        <v>776692.50917721516</v>
      </c>
      <c r="K41" s="1">
        <f t="shared" si="8"/>
        <v>780661.23022988113</v>
      </c>
      <c r="L41" s="1">
        <f t="shared" si="8"/>
        <v>779333.5057178092</v>
      </c>
      <c r="M41" s="1">
        <f t="shared" si="8"/>
        <v>778169.81234477088</v>
      </c>
      <c r="N41" s="1">
        <f t="shared" si="8"/>
        <v>716304.78083624027</v>
      </c>
      <c r="O41" s="1">
        <f t="shared" si="8"/>
        <v>654557.2131232426</v>
      </c>
      <c r="P41" s="1">
        <f t="shared" si="8"/>
        <v>654289.35053332453</v>
      </c>
      <c r="Q41" s="1">
        <f>SUM(E41:P41)</f>
        <v>9109534.6605255548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9">ROUND(E40-E41,2)</f>
        <v>9563850.4000000004</v>
      </c>
      <c r="F42" s="1">
        <f t="shared" si="9"/>
        <v>9541863.5700000003</v>
      </c>
      <c r="G42" s="1">
        <f t="shared" si="9"/>
        <v>9527755.5899999999</v>
      </c>
      <c r="H42" s="1">
        <f t="shared" si="9"/>
        <v>9509364.7300000004</v>
      </c>
      <c r="I42" s="1">
        <f t="shared" si="9"/>
        <v>9491480.8200000003</v>
      </c>
      <c r="J42" s="1">
        <f t="shared" si="9"/>
        <v>9320310.1099999994</v>
      </c>
      <c r="K42" s="1">
        <f t="shared" si="9"/>
        <v>9367934.7599999998</v>
      </c>
      <c r="L42" s="1">
        <f t="shared" si="9"/>
        <v>9352002.0700000003</v>
      </c>
      <c r="M42" s="1">
        <f t="shared" si="9"/>
        <v>9338037.75</v>
      </c>
      <c r="N42" s="1">
        <f t="shared" si="9"/>
        <v>8595657.3699999992</v>
      </c>
      <c r="O42" s="1">
        <f t="shared" si="9"/>
        <v>7854686.5599999996</v>
      </c>
      <c r="P42" s="1">
        <f t="shared" si="9"/>
        <v>7851472.21</v>
      </c>
      <c r="Q42" s="1">
        <f>SUM(E42:P42)</f>
        <v>109314415.94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797943.91836250247</v>
      </c>
      <c r="F47" s="1">
        <v>796109.48378932837</v>
      </c>
      <c r="G47" s="1">
        <v>794932.40771827369</v>
      </c>
      <c r="H47" s="1">
        <v>793397.99721252336</v>
      </c>
      <c r="I47" s="1">
        <v>791905.88299071859</v>
      </c>
      <c r="J47" s="1">
        <v>777624.5401882279</v>
      </c>
      <c r="K47" s="1">
        <v>781598.02370615711</v>
      </c>
      <c r="L47" s="1">
        <v>780268.70592467068</v>
      </c>
      <c r="M47" s="1">
        <v>779103.61611958465</v>
      </c>
      <c r="N47" s="1">
        <v>717164.34657324385</v>
      </c>
      <c r="O47" s="1">
        <v>655342.68177899055</v>
      </c>
      <c r="P47" s="1">
        <v>655074.49775396462</v>
      </c>
      <c r="Q47" s="1">
        <f>ROUND(SUM(E47:P47),2)</f>
        <v>9120466.0999999996</v>
      </c>
    </row>
    <row r="48" spans="1:17" x14ac:dyDescent="0.25">
      <c r="A48" s="13">
        <v>13</v>
      </c>
      <c r="B48" s="23" t="s">
        <v>290</v>
      </c>
      <c r="E48" s="199">
        <f>E42*E45</f>
        <v>9299340.1203320809</v>
      </c>
      <c r="F48" s="199">
        <f t="shared" ref="F48:P48" si="10">F42*F45</f>
        <v>9277961.3866854385</v>
      </c>
      <c r="G48" s="199">
        <f t="shared" si="10"/>
        <v>9264243.5953206923</v>
      </c>
      <c r="H48" s="199">
        <f t="shared" si="10"/>
        <v>9246361.3768529706</v>
      </c>
      <c r="I48" s="199">
        <f t="shared" si="10"/>
        <v>9228972.0875170138</v>
      </c>
      <c r="J48" s="199">
        <f t="shared" si="10"/>
        <v>9062535.4971946962</v>
      </c>
      <c r="K48" s="199">
        <f t="shared" si="10"/>
        <v>9108842.9779622518</v>
      </c>
      <c r="L48" s="199">
        <f t="shared" si="10"/>
        <v>9093350.9431493897</v>
      </c>
      <c r="M48" s="199">
        <f t="shared" si="10"/>
        <v>9079772.8385369256</v>
      </c>
      <c r="N48" s="199">
        <f t="shared" si="10"/>
        <v>8357924.6954206983</v>
      </c>
      <c r="O48" s="199">
        <f t="shared" si="10"/>
        <v>7637447.1374041112</v>
      </c>
      <c r="P48" s="199">
        <f t="shared" si="10"/>
        <v>7634321.6876463667</v>
      </c>
      <c r="Q48" s="199">
        <f>SUM(E48:P48)</f>
        <v>106291074.34402266</v>
      </c>
    </row>
    <row r="49" spans="1:20" ht="13" thickBot="1" x14ac:dyDescent="0.3">
      <c r="A49" s="13">
        <v>14</v>
      </c>
      <c r="B49" s="23" t="s">
        <v>291</v>
      </c>
      <c r="E49" s="204">
        <f t="shared" ref="E49:Q49" si="11">E47+E48</f>
        <v>10097284.038694583</v>
      </c>
      <c r="F49" s="204">
        <f t="shared" si="11"/>
        <v>10074070.870474767</v>
      </c>
      <c r="G49" s="204">
        <f t="shared" si="11"/>
        <v>10059176.003038965</v>
      </c>
      <c r="H49" s="204">
        <f t="shared" si="11"/>
        <v>10039759.374065494</v>
      </c>
      <c r="I49" s="204">
        <f t="shared" si="11"/>
        <v>10020877.970507732</v>
      </c>
      <c r="J49" s="204">
        <f t="shared" si="11"/>
        <v>9840160.0373829249</v>
      </c>
      <c r="K49" s="204">
        <f t="shared" si="11"/>
        <v>9890441.0016684085</v>
      </c>
      <c r="L49" s="204">
        <f t="shared" si="11"/>
        <v>9873619.6490740608</v>
      </c>
      <c r="M49" s="204">
        <f t="shared" si="11"/>
        <v>9858876.4546565097</v>
      </c>
      <c r="N49" s="204">
        <f t="shared" si="11"/>
        <v>9075089.0419939421</v>
      </c>
      <c r="O49" s="204">
        <f t="shared" si="11"/>
        <v>8292789.8191831019</v>
      </c>
      <c r="P49" s="204">
        <f t="shared" si="11"/>
        <v>8289396.1854003314</v>
      </c>
      <c r="Q49" s="204">
        <f t="shared" si="11"/>
        <v>115411540.44402266</v>
      </c>
    </row>
    <row r="50" spans="1:20" ht="13" thickTop="1" x14ac:dyDescent="0.25">
      <c r="A50" s="200"/>
      <c r="B50" s="200"/>
    </row>
    <row r="51" spans="1:20" x14ac:dyDescent="0.25">
      <c r="A51" s="210" t="s">
        <v>76</v>
      </c>
      <c r="B51" s="13"/>
    </row>
    <row r="52" spans="1:20" x14ac:dyDescent="0.25">
      <c r="A52" s="23" t="s">
        <v>168</v>
      </c>
      <c r="B52" s="23" t="s">
        <v>321</v>
      </c>
    </row>
    <row r="53" spans="1:20" x14ac:dyDescent="0.25">
      <c r="A53" s="23"/>
      <c r="B53" s="228" t="s">
        <v>333</v>
      </c>
    </row>
    <row r="54" spans="1:20" x14ac:dyDescent="0.25">
      <c r="A54" s="23" t="s">
        <v>170</v>
      </c>
      <c r="B54" s="23" t="s">
        <v>293</v>
      </c>
      <c r="S54" s="21"/>
    </row>
    <row r="55" spans="1:20" x14ac:dyDescent="0.25">
      <c r="A55" s="23" t="s">
        <v>255</v>
      </c>
      <c r="B55" s="23" t="s">
        <v>294</v>
      </c>
      <c r="S55" s="21"/>
      <c r="T55" s="239"/>
    </row>
    <row r="56" spans="1:20" x14ac:dyDescent="0.25">
      <c r="A56" s="23" t="s">
        <v>295</v>
      </c>
      <c r="B56" s="23" t="s">
        <v>296</v>
      </c>
      <c r="S56" s="21"/>
      <c r="T56" s="239"/>
    </row>
    <row r="57" spans="1:20" x14ac:dyDescent="0.25">
      <c r="A57" s="23" t="s">
        <v>297</v>
      </c>
      <c r="B57" s="11" t="s">
        <v>298</v>
      </c>
      <c r="S57" s="21"/>
      <c r="T57" s="239"/>
    </row>
    <row r="58" spans="1:20" x14ac:dyDescent="0.25">
      <c r="A58" s="23" t="s">
        <v>299</v>
      </c>
      <c r="B58" s="23" t="s">
        <v>300</v>
      </c>
      <c r="S58" s="21"/>
      <c r="T58" s="239"/>
    </row>
    <row r="59" spans="1:20" x14ac:dyDescent="0.25">
      <c r="A59" s="23" t="s">
        <v>301</v>
      </c>
      <c r="B59" s="23" t="s">
        <v>302</v>
      </c>
      <c r="S59" s="21"/>
      <c r="T59" s="239"/>
    </row>
    <row r="60" spans="1:20" x14ac:dyDescent="0.25">
      <c r="A60" s="23" t="s">
        <v>303</v>
      </c>
      <c r="B60" s="23" t="s">
        <v>304</v>
      </c>
    </row>
    <row r="61" spans="1:20" x14ac:dyDescent="0.25">
      <c r="A61" s="23" t="s">
        <v>305</v>
      </c>
      <c r="B61" s="23" t="s">
        <v>306</v>
      </c>
    </row>
    <row r="62" spans="1:20" x14ac:dyDescent="0.25">
      <c r="A62" s="11" t="s">
        <v>307</v>
      </c>
      <c r="B62" s="23" t="s">
        <v>308</v>
      </c>
    </row>
    <row r="63" spans="1:20" x14ac:dyDescent="0.25">
      <c r="A63" s="11" t="s">
        <v>309</v>
      </c>
      <c r="B63" s="23" t="s">
        <v>310</v>
      </c>
    </row>
    <row r="67" spans="1:20" x14ac:dyDescent="0.25">
      <c r="A67" s="23"/>
      <c r="B67" s="23"/>
      <c r="S67" s="21"/>
      <c r="T67" s="239"/>
    </row>
    <row r="68" spans="1:20" x14ac:dyDescent="0.25">
      <c r="A68" s="23"/>
      <c r="B68" s="23"/>
      <c r="S68" s="21"/>
      <c r="T68" s="239"/>
    </row>
    <row r="69" spans="1:20" x14ac:dyDescent="0.25">
      <c r="A69" s="23"/>
      <c r="B69" s="23"/>
      <c r="S69" s="21"/>
      <c r="T69" s="239"/>
    </row>
    <row r="70" spans="1:20" x14ac:dyDescent="0.25">
      <c r="A70" s="23"/>
      <c r="B70" s="23"/>
      <c r="S70" s="21"/>
      <c r="T70" s="239"/>
    </row>
    <row r="71" spans="1:20" x14ac:dyDescent="0.25">
      <c r="A71" s="23"/>
      <c r="B71" s="23"/>
      <c r="S71" s="21"/>
      <c r="T71" s="239"/>
    </row>
    <row r="72" spans="1:20" x14ac:dyDescent="0.25">
      <c r="A72" s="23"/>
      <c r="B72" s="23"/>
      <c r="S72" s="21"/>
      <c r="T72" s="239"/>
    </row>
    <row r="73" spans="1:20" x14ac:dyDescent="0.25">
      <c r="A73" s="23"/>
      <c r="B73" s="23"/>
      <c r="S73" s="21"/>
      <c r="T73" s="239"/>
    </row>
    <row r="74" spans="1:20" x14ac:dyDescent="0.25">
      <c r="A74" s="23"/>
      <c r="B74" s="23"/>
      <c r="S74" s="21"/>
      <c r="T74" s="239"/>
    </row>
    <row r="75" spans="1:20" x14ac:dyDescent="0.2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T75" s="239"/>
    </row>
    <row r="76" spans="1:20" x14ac:dyDescent="0.2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T76" s="239"/>
    </row>
    <row r="77" spans="1:20" x14ac:dyDescent="0.2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T77" s="239"/>
    </row>
    <row r="78" spans="1:20" ht="13" x14ac:dyDescent="0.3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T78" s="239"/>
    </row>
    <row r="79" spans="1:20" x14ac:dyDescent="0.2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T79" s="239"/>
    </row>
    <row r="80" spans="1:20" x14ac:dyDescent="0.25">
      <c r="H80" s="21"/>
      <c r="T80" s="239"/>
    </row>
    <row r="81" spans="1:20" x14ac:dyDescent="0.2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T81" s="239"/>
    </row>
    <row r="82" spans="1:20" x14ac:dyDescent="0.25">
      <c r="T82" s="239"/>
    </row>
    <row r="83" spans="1:20" x14ac:dyDescent="0.2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T83" s="239"/>
    </row>
    <row r="84" spans="1:20" x14ac:dyDescent="0.25"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T84" s="239"/>
    </row>
    <row r="85" spans="1:20" x14ac:dyDescent="0.25">
      <c r="T85" s="239"/>
    </row>
    <row r="86" spans="1:20" x14ac:dyDescent="0.25">
      <c r="T86" s="239"/>
    </row>
    <row r="87" spans="1:20" x14ac:dyDescent="0.25">
      <c r="T87" s="239"/>
    </row>
    <row r="88" spans="1:20" x14ac:dyDescent="0.25">
      <c r="T88" s="239"/>
    </row>
    <row r="89" spans="1:20" x14ac:dyDescent="0.25">
      <c r="T89" s="239"/>
    </row>
    <row r="90" spans="1:20" x14ac:dyDescent="0.25">
      <c r="T90" s="239"/>
    </row>
    <row r="91" spans="1:20" x14ac:dyDescent="0.25">
      <c r="T91" s="239"/>
    </row>
    <row r="92" spans="1:20" x14ac:dyDescent="0.25">
      <c r="T92" s="239"/>
    </row>
    <row r="93" spans="1:20" x14ac:dyDescent="0.25">
      <c r="T93" s="239"/>
    </row>
    <row r="94" spans="1:20" x14ac:dyDescent="0.25">
      <c r="T94" s="239"/>
    </row>
    <row r="95" spans="1:20" x14ac:dyDescent="0.25">
      <c r="T95" s="239"/>
    </row>
    <row r="96" spans="1:20" x14ac:dyDescent="0.25">
      <c r="T96" s="239"/>
    </row>
    <row r="97" spans="5:20" x14ac:dyDescent="0.25">
      <c r="T97" s="239"/>
    </row>
    <row r="98" spans="5:20" x14ac:dyDescent="0.25"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T98" s="239"/>
    </row>
    <row r="99" spans="5:20" x14ac:dyDescent="0.25">
      <c r="T99" s="239"/>
    </row>
    <row r="100" spans="5:20" x14ac:dyDescent="0.25">
      <c r="T100" s="239"/>
    </row>
    <row r="101" spans="5:20" x14ac:dyDescent="0.25"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T101" s="239"/>
    </row>
    <row r="102" spans="5:20" x14ac:dyDescent="0.25">
      <c r="T102" s="239"/>
    </row>
    <row r="103" spans="5:20" x14ac:dyDescent="0.25">
      <c r="T103" s="239"/>
    </row>
    <row r="104" spans="5:20" x14ac:dyDescent="0.25">
      <c r="T104" s="239"/>
    </row>
    <row r="105" spans="5:20" x14ac:dyDescent="0.25">
      <c r="T105" s="239"/>
    </row>
    <row r="106" spans="5:20" x14ac:dyDescent="0.25">
      <c r="T106" s="239"/>
    </row>
    <row r="107" spans="5:20" x14ac:dyDescent="0.25"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T107" s="239"/>
    </row>
    <row r="108" spans="5:20" x14ac:dyDescent="0.25"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T108" s="239"/>
    </row>
    <row r="109" spans="5:20" x14ac:dyDescent="0.25">
      <c r="T109" s="239"/>
    </row>
    <row r="110" spans="5:20" x14ac:dyDescent="0.25">
      <c r="T110" s="239"/>
    </row>
    <row r="111" spans="5:20" x14ac:dyDescent="0.25">
      <c r="T111" s="239"/>
    </row>
    <row r="112" spans="5:20" x14ac:dyDescent="0.25">
      <c r="T112" s="239"/>
    </row>
    <row r="113" spans="1:20" x14ac:dyDescent="0.25"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T113" s="239"/>
    </row>
    <row r="114" spans="1:20" x14ac:dyDescent="0.25"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T114" s="239"/>
    </row>
    <row r="115" spans="1:20" x14ac:dyDescent="0.25"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T115" s="239"/>
    </row>
    <row r="116" spans="1:20" x14ac:dyDescent="0.25">
      <c r="T116" s="239"/>
    </row>
    <row r="117" spans="1:20" x14ac:dyDescent="0.25">
      <c r="T117" s="239"/>
    </row>
    <row r="118" spans="1:20" x14ac:dyDescent="0.25">
      <c r="T118" s="239"/>
    </row>
    <row r="119" spans="1:20" x14ac:dyDescent="0.25">
      <c r="A119" s="23"/>
      <c r="B119" s="23"/>
      <c r="S119" s="21"/>
      <c r="T119" s="239"/>
    </row>
    <row r="120" spans="1:20" x14ac:dyDescent="0.25">
      <c r="A120" s="23"/>
      <c r="B120" s="23"/>
      <c r="S120" s="21"/>
      <c r="T120" s="239"/>
    </row>
    <row r="121" spans="1:20" x14ac:dyDescent="0.2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T121" s="239"/>
    </row>
    <row r="122" spans="1:20" x14ac:dyDescent="0.2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T122" s="239"/>
    </row>
    <row r="123" spans="1:20" x14ac:dyDescent="0.2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T123" s="239"/>
    </row>
    <row r="124" spans="1:20" ht="13" x14ac:dyDescent="0.3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T124" s="239"/>
    </row>
    <row r="125" spans="1:20" x14ac:dyDescent="0.2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T125" s="239"/>
    </row>
    <row r="126" spans="1:20" x14ac:dyDescent="0.25">
      <c r="H126" s="21"/>
      <c r="T126" s="239"/>
    </row>
    <row r="127" spans="1:20" x14ac:dyDescent="0.2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T127" s="239"/>
    </row>
    <row r="128" spans="1:20" x14ac:dyDescent="0.25">
      <c r="T128" s="239"/>
    </row>
    <row r="129" spans="3:20" x14ac:dyDescent="0.25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T129" s="239"/>
    </row>
    <row r="130" spans="3:20" x14ac:dyDescent="0.25">
      <c r="C130" s="13"/>
      <c r="D130" s="1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T130" s="239"/>
    </row>
    <row r="131" spans="3:20" x14ac:dyDescent="0.25">
      <c r="T131" s="239"/>
    </row>
    <row r="132" spans="3:20" x14ac:dyDescent="0.25">
      <c r="T132" s="239"/>
    </row>
    <row r="133" spans="3:20" x14ac:dyDescent="0.25">
      <c r="T133" s="239"/>
    </row>
    <row r="134" spans="3:20" x14ac:dyDescent="0.25">
      <c r="T134" s="239"/>
    </row>
    <row r="135" spans="3:20" x14ac:dyDescent="0.25">
      <c r="T135" s="239"/>
    </row>
    <row r="136" spans="3:20" x14ac:dyDescent="0.25">
      <c r="T136" s="239"/>
    </row>
    <row r="137" spans="3:20" x14ac:dyDescent="0.25">
      <c r="T137" s="239"/>
    </row>
    <row r="138" spans="3:20" x14ac:dyDescent="0.25">
      <c r="T138" s="239"/>
    </row>
    <row r="139" spans="3:20" x14ac:dyDescent="0.25">
      <c r="T139" s="239"/>
    </row>
    <row r="140" spans="3:20" x14ac:dyDescent="0.25">
      <c r="T140" s="239"/>
    </row>
    <row r="141" spans="3:20" x14ac:dyDescent="0.25">
      <c r="T141" s="239"/>
    </row>
    <row r="142" spans="3:20" x14ac:dyDescent="0.25">
      <c r="T142" s="239"/>
    </row>
    <row r="143" spans="3:20" x14ac:dyDescent="0.25">
      <c r="T143" s="239"/>
    </row>
    <row r="144" spans="3:20" x14ac:dyDescent="0.25"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T144" s="239"/>
    </row>
    <row r="145" spans="5:20" x14ac:dyDescent="0.25">
      <c r="T145" s="239"/>
    </row>
    <row r="146" spans="5:20" x14ac:dyDescent="0.25">
      <c r="T146" s="239"/>
    </row>
    <row r="147" spans="5:20" x14ac:dyDescent="0.25"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T147" s="239"/>
    </row>
    <row r="148" spans="5:20" x14ac:dyDescent="0.25">
      <c r="T148" s="239"/>
    </row>
    <row r="149" spans="5:20" x14ac:dyDescent="0.25">
      <c r="T149" s="239"/>
    </row>
    <row r="150" spans="5:20" x14ac:dyDescent="0.25">
      <c r="T150" s="239"/>
    </row>
    <row r="151" spans="5:20" x14ac:dyDescent="0.25">
      <c r="T151" s="239"/>
    </row>
    <row r="152" spans="5:20" x14ac:dyDescent="0.25">
      <c r="T152" s="239"/>
    </row>
    <row r="153" spans="5:20" x14ac:dyDescent="0.25"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T153" s="239"/>
    </row>
    <row r="154" spans="5:20" x14ac:dyDescent="0.25"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T154" s="239"/>
    </row>
    <row r="155" spans="5:20" x14ac:dyDescent="0.25">
      <c r="T155" s="239"/>
    </row>
    <row r="156" spans="5:20" x14ac:dyDescent="0.25">
      <c r="T156" s="239"/>
    </row>
    <row r="157" spans="5:20" x14ac:dyDescent="0.25">
      <c r="T157" s="239"/>
    </row>
    <row r="158" spans="5:20" x14ac:dyDescent="0.25">
      <c r="T158" s="239"/>
    </row>
    <row r="159" spans="5:20" x14ac:dyDescent="0.25"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T159" s="239"/>
    </row>
    <row r="160" spans="5:20" x14ac:dyDescent="0.25"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T160" s="239"/>
    </row>
    <row r="161" spans="1:39" x14ac:dyDescent="0.25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T161" s="239"/>
    </row>
    <row r="162" spans="1:39" x14ac:dyDescent="0.25">
      <c r="T162" s="239"/>
    </row>
    <row r="163" spans="1:39" x14ac:dyDescent="0.25">
      <c r="T163" s="239"/>
    </row>
    <row r="164" spans="1:39" x14ac:dyDescent="0.25">
      <c r="T164" s="239"/>
    </row>
    <row r="165" spans="1:39" x14ac:dyDescent="0.25">
      <c r="A165" s="23"/>
      <c r="B165" s="23"/>
      <c r="S165" s="21"/>
      <c r="T165" s="239"/>
    </row>
    <row r="166" spans="1:39" x14ac:dyDescent="0.25">
      <c r="A166" s="23"/>
      <c r="B166" s="23"/>
      <c r="S166" s="21"/>
      <c r="T166" s="239"/>
    </row>
    <row r="167" spans="1:39" x14ac:dyDescent="0.25">
      <c r="A167" s="23"/>
      <c r="B167" s="23"/>
      <c r="S167" s="21"/>
      <c r="T167" s="239"/>
    </row>
    <row r="168" spans="1:39" x14ac:dyDescent="0.25">
      <c r="A168" s="23"/>
      <c r="B168" s="23"/>
      <c r="S168" s="21"/>
      <c r="T168" s="239"/>
    </row>
    <row r="169" spans="1:39" x14ac:dyDescent="0.25">
      <c r="S169" s="21"/>
      <c r="T169" s="239"/>
    </row>
    <row r="172" spans="1:39" x14ac:dyDescent="0.2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</row>
    <row r="173" spans="1:39" x14ac:dyDescent="0.2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</row>
    <row r="174" spans="1:39" x14ac:dyDescent="0.2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</row>
    <row r="175" spans="1:39" ht="13" x14ac:dyDescent="0.3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</row>
    <row r="176" spans="1:39" x14ac:dyDescent="0.2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</row>
    <row r="178" spans="1:39" x14ac:dyDescent="0.2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</row>
    <row r="180" spans="1:39" x14ac:dyDescent="0.25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x14ac:dyDescent="0.25">
      <c r="C181" s="13"/>
      <c r="D181" s="1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95" spans="5:38" x14ac:dyDescent="0.25"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</row>
    <row r="198" spans="5:38" x14ac:dyDescent="0.25"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</row>
    <row r="204" spans="5:38" x14ac:dyDescent="0.25"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</row>
    <row r="205" spans="5:38" x14ac:dyDescent="0.25"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</row>
    <row r="210" spans="1:38" x14ac:dyDescent="0.25"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</row>
    <row r="211" spans="1:38" x14ac:dyDescent="0.25"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</row>
    <row r="212" spans="1:38" x14ac:dyDescent="0.25"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</row>
    <row r="220" spans="1:38" ht="16.5" customHeight="1" x14ac:dyDescent="0.25"/>
    <row r="222" spans="1:38" x14ac:dyDescent="0.2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1:38" x14ac:dyDescent="0.2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1:38" x14ac:dyDescent="0.2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1:17" ht="13" x14ac:dyDescent="0.3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</row>
    <row r="226" spans="1:17" x14ac:dyDescent="0.2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</row>
    <row r="228" spans="1:17" x14ac:dyDescent="0.2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</row>
    <row r="230" spans="1:17" x14ac:dyDescent="0.25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x14ac:dyDescent="0.25">
      <c r="C231" s="13"/>
      <c r="D231" s="1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45" spans="5:16" x14ac:dyDescent="0.25"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</row>
    <row r="248" spans="5:16" x14ac:dyDescent="0.25"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</row>
    <row r="254" spans="5:16" x14ac:dyDescent="0.25"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</row>
    <row r="255" spans="5:16" x14ac:dyDescent="0.25"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</row>
    <row r="260" spans="1:17" x14ac:dyDescent="0.25"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</row>
    <row r="261" spans="1:17" x14ac:dyDescent="0.25"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</row>
    <row r="262" spans="1:17" x14ac:dyDescent="0.25"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</row>
    <row r="269" spans="1:17" x14ac:dyDescent="0.2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1:17" x14ac:dyDescent="0.2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1:17" x14ac:dyDescent="0.2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1:17" ht="13" x14ac:dyDescent="0.3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</row>
    <row r="273" spans="1:18" x14ac:dyDescent="0.2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</row>
    <row r="275" spans="1:18" x14ac:dyDescent="0.2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</row>
    <row r="277" spans="1:18" x14ac:dyDescent="0.2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8" x14ac:dyDescent="0.25">
      <c r="C278" s="13"/>
      <c r="D278" s="1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3"/>
    </row>
    <row r="292" spans="5:16" x14ac:dyDescent="0.25"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</row>
    <row r="295" spans="5:16" x14ac:dyDescent="0.25"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</row>
    <row r="301" spans="5:16" x14ac:dyDescent="0.25"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</row>
    <row r="302" spans="5:16" x14ac:dyDescent="0.25"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</row>
    <row r="307" spans="1:17" x14ac:dyDescent="0.25"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</row>
    <row r="308" spans="1:17" x14ac:dyDescent="0.25"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</row>
    <row r="309" spans="1:17" x14ac:dyDescent="0.25"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</row>
    <row r="317" spans="1:17" x14ac:dyDescent="0.25">
      <c r="A317" s="211"/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</row>
    <row r="318" spans="1:17" x14ac:dyDescent="0.25">
      <c r="A318" s="211"/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</row>
    <row r="319" spans="1:17" x14ac:dyDescent="0.25">
      <c r="A319" s="211"/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</row>
    <row r="320" spans="1:17" ht="13" x14ac:dyDescent="0.3">
      <c r="A320" s="223"/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</row>
    <row r="321" spans="1:18" x14ac:dyDescent="0.25">
      <c r="A321" s="211"/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</row>
    <row r="323" spans="1:18" x14ac:dyDescent="0.25">
      <c r="A323" s="211"/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</row>
    <row r="325" spans="1:18" x14ac:dyDescent="0.25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8" x14ac:dyDescent="0.25">
      <c r="C326" s="13"/>
      <c r="D326" s="1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3"/>
    </row>
    <row r="340" spans="5:16" x14ac:dyDescent="0.25"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</row>
    <row r="343" spans="5:16" x14ac:dyDescent="0.25"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</row>
    <row r="349" spans="5:16" x14ac:dyDescent="0.25"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</row>
    <row r="350" spans="5:16" x14ac:dyDescent="0.25"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</row>
    <row r="355" spans="1:17" x14ac:dyDescent="0.25"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</row>
    <row r="356" spans="1:17" x14ac:dyDescent="0.25"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</row>
    <row r="357" spans="1:17" x14ac:dyDescent="0.25"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</row>
    <row r="363" spans="1:17" x14ac:dyDescent="0.25">
      <c r="A363" s="211"/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</row>
    <row r="364" spans="1:17" x14ac:dyDescent="0.25">
      <c r="A364" s="211"/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</row>
    <row r="365" spans="1:17" x14ac:dyDescent="0.25">
      <c r="A365" s="211"/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</row>
    <row r="366" spans="1:17" ht="13" x14ac:dyDescent="0.3">
      <c r="A366" s="223"/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</row>
    <row r="367" spans="1:17" x14ac:dyDescent="0.25">
      <c r="A367" s="211"/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</row>
    <row r="369" spans="1:17" x14ac:dyDescent="0.25">
      <c r="A369" s="211"/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</row>
    <row r="371" spans="1:17" x14ac:dyDescent="0.25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 x14ac:dyDescent="0.25">
      <c r="C372" s="13"/>
      <c r="D372" s="1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86" spans="5:16" x14ac:dyDescent="0.25"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</row>
    <row r="389" spans="5:16" x14ac:dyDescent="0.25"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</row>
    <row r="395" spans="5:16" x14ac:dyDescent="0.25"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</row>
    <row r="396" spans="5:16" x14ac:dyDescent="0.25"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</row>
    <row r="401" spans="1:17" x14ac:dyDescent="0.25"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</row>
    <row r="402" spans="1:17" x14ac:dyDescent="0.25"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</row>
    <row r="403" spans="1:17" x14ac:dyDescent="0.25"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</row>
    <row r="411" spans="1:17" x14ac:dyDescent="0.25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</row>
    <row r="412" spans="1:17" x14ac:dyDescent="0.25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</row>
    <row r="413" spans="1:17" x14ac:dyDescent="0.25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</row>
    <row r="414" spans="1:17" ht="13" x14ac:dyDescent="0.3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</row>
    <row r="415" spans="1:17" x14ac:dyDescent="0.25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</row>
    <row r="417" spans="1:17" x14ac:dyDescent="0.25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</row>
    <row r="419" spans="1:17" x14ac:dyDescent="0.25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 x14ac:dyDescent="0.25">
      <c r="C420" s="13"/>
      <c r="D420" s="1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34" spans="5:16" x14ac:dyDescent="0.25"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</row>
    <row r="437" spans="5:16" x14ac:dyDescent="0.25"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</row>
    <row r="443" spans="5:16" x14ac:dyDescent="0.25"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</row>
    <row r="444" spans="5:16" x14ac:dyDescent="0.25"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</row>
    <row r="449" spans="1:17" x14ac:dyDescent="0.25"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</row>
    <row r="450" spans="1:17" x14ac:dyDescent="0.25"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</row>
    <row r="451" spans="1:17" x14ac:dyDescent="0.25"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</row>
    <row r="460" spans="1:17" x14ac:dyDescent="0.25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</row>
    <row r="461" spans="1:17" x14ac:dyDescent="0.25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</row>
    <row r="462" spans="1:17" x14ac:dyDescent="0.25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</row>
    <row r="463" spans="1:17" ht="13" x14ac:dyDescent="0.3">
      <c r="A463" s="223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</row>
    <row r="464" spans="1:17" x14ac:dyDescent="0.25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</row>
    <row r="466" spans="1:17" x14ac:dyDescent="0.25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</row>
    <row r="468" spans="1:17" x14ac:dyDescent="0.25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 x14ac:dyDescent="0.25">
      <c r="D469" s="1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13"/>
    </row>
    <row r="483" spans="5:16" x14ac:dyDescent="0.25"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</row>
    <row r="486" spans="5:16" x14ac:dyDescent="0.25"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</row>
    <row r="492" spans="5:16" x14ac:dyDescent="0.25"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</row>
    <row r="493" spans="5:16" x14ac:dyDescent="0.25"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</row>
    <row r="498" spans="1:17" x14ac:dyDescent="0.25"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</row>
    <row r="499" spans="1:17" x14ac:dyDescent="0.25"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</row>
    <row r="500" spans="1:17" x14ac:dyDescent="0.25"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</row>
    <row r="509" spans="1:17" x14ac:dyDescent="0.25">
      <c r="A509" s="211"/>
      <c r="B509" s="211"/>
      <c r="C509" s="211"/>
      <c r="D509" s="211"/>
      <c r="E509" s="211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</row>
    <row r="510" spans="1:17" x14ac:dyDescent="0.25">
      <c r="A510" s="211"/>
      <c r="B510" s="211"/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</row>
    <row r="511" spans="1:17" x14ac:dyDescent="0.25">
      <c r="A511" s="211"/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</row>
    <row r="512" spans="1:17" ht="13" x14ac:dyDescent="0.3">
      <c r="A512" s="223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</row>
    <row r="513" spans="1:17" x14ac:dyDescent="0.25">
      <c r="A513" s="211"/>
      <c r="B513" s="211"/>
      <c r="C513" s="211"/>
      <c r="D513" s="211"/>
      <c r="E513" s="211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</row>
    <row r="515" spans="1:17" x14ac:dyDescent="0.25">
      <c r="A515" s="211"/>
      <c r="B515" s="211"/>
      <c r="C515" s="211"/>
      <c r="D515" s="211"/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</row>
    <row r="517" spans="1:17" x14ac:dyDescent="0.25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x14ac:dyDescent="0.25">
      <c r="D518" s="1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13"/>
    </row>
    <row r="532" spans="5:16" x14ac:dyDescent="0.25"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</row>
    <row r="535" spans="5:16" x14ac:dyDescent="0.25"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</row>
    <row r="541" spans="5:16" x14ac:dyDescent="0.25"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</row>
    <row r="542" spans="5:16" x14ac:dyDescent="0.25"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</row>
    <row r="547" spans="1:17" x14ac:dyDescent="0.25"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</row>
    <row r="548" spans="1:17" x14ac:dyDescent="0.25"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</row>
    <row r="549" spans="1:17" x14ac:dyDescent="0.25"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</row>
    <row r="556" spans="1:17" x14ac:dyDescent="0.25">
      <c r="A556" s="211"/>
      <c r="B556" s="211"/>
      <c r="C556" s="211"/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</row>
    <row r="557" spans="1:17" x14ac:dyDescent="0.25">
      <c r="A557" s="211"/>
      <c r="B557" s="211"/>
      <c r="C557" s="211"/>
      <c r="D557" s="211"/>
      <c r="E557" s="211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</row>
    <row r="558" spans="1:17" x14ac:dyDescent="0.25">
      <c r="A558" s="211"/>
      <c r="B558" s="211"/>
      <c r="C558" s="211"/>
      <c r="D558" s="211"/>
      <c r="E558" s="211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</row>
    <row r="559" spans="1:17" ht="13" x14ac:dyDescent="0.3">
      <c r="A559" s="223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</row>
    <row r="560" spans="1:17" x14ac:dyDescent="0.25">
      <c r="A560" s="211"/>
      <c r="B560" s="211"/>
      <c r="C560" s="211"/>
      <c r="D560" s="211"/>
      <c r="E560" s="211"/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</row>
    <row r="562" spans="1:17" x14ac:dyDescent="0.25">
      <c r="A562" s="211"/>
      <c r="B562" s="211"/>
      <c r="C562" s="211"/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</row>
    <row r="564" spans="1:17" x14ac:dyDescent="0.25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 x14ac:dyDescent="0.25">
      <c r="D565" s="1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13"/>
    </row>
    <row r="579" spans="5:16" x14ac:dyDescent="0.25">
      <c r="E579" s="201"/>
      <c r="F579" s="201"/>
      <c r="G579" s="201"/>
      <c r="H579" s="201"/>
      <c r="I579" s="201"/>
      <c r="J579" s="201"/>
      <c r="K579" s="201"/>
      <c r="L579" s="201"/>
      <c r="M579" s="201"/>
      <c r="N579" s="201"/>
      <c r="O579" s="201"/>
      <c r="P579" s="201"/>
    </row>
    <row r="582" spans="5:16" x14ac:dyDescent="0.25"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</row>
    <row r="588" spans="5:16" x14ac:dyDescent="0.25"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</row>
    <row r="589" spans="5:16" x14ac:dyDescent="0.25"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</row>
    <row r="594" spans="1:17" x14ac:dyDescent="0.25"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</row>
    <row r="595" spans="1:17" x14ac:dyDescent="0.25"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</row>
    <row r="596" spans="1:17" x14ac:dyDescent="0.25"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</row>
    <row r="605" spans="1:17" x14ac:dyDescent="0.25">
      <c r="A605" s="211"/>
      <c r="B605" s="211"/>
      <c r="C605" s="211"/>
      <c r="D605" s="211"/>
      <c r="E605" s="211"/>
      <c r="F605" s="211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</row>
    <row r="606" spans="1:17" x14ac:dyDescent="0.25">
      <c r="A606" s="211"/>
      <c r="B606" s="211"/>
      <c r="C606" s="211"/>
      <c r="D606" s="211"/>
      <c r="E606" s="211"/>
      <c r="F606" s="211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</row>
    <row r="607" spans="1:17" x14ac:dyDescent="0.25">
      <c r="A607" s="211"/>
      <c r="B607" s="211"/>
      <c r="C607" s="211"/>
      <c r="D607" s="211"/>
      <c r="E607" s="211"/>
      <c r="F607" s="211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</row>
    <row r="608" spans="1:17" ht="13" x14ac:dyDescent="0.3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</row>
    <row r="609" spans="1:17" x14ac:dyDescent="0.25">
      <c r="A609" s="211"/>
      <c r="B609" s="211"/>
      <c r="C609" s="211"/>
      <c r="D609" s="211"/>
      <c r="E609" s="211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</row>
    <row r="611" spans="1:17" x14ac:dyDescent="0.25">
      <c r="A611" s="211"/>
      <c r="B611" s="211"/>
      <c r="C611" s="211"/>
      <c r="D611" s="211"/>
      <c r="E611" s="211"/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</row>
    <row r="613" spans="1:17" x14ac:dyDescent="0.25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 x14ac:dyDescent="0.25">
      <c r="D614" s="1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13"/>
    </row>
    <row r="628" spans="5:16" x14ac:dyDescent="0.25">
      <c r="E628" s="201"/>
      <c r="F628" s="201"/>
      <c r="G628" s="201"/>
      <c r="H628" s="201"/>
      <c r="I628" s="201"/>
      <c r="J628" s="201"/>
      <c r="K628" s="201"/>
      <c r="L628" s="201"/>
      <c r="M628" s="201"/>
      <c r="N628" s="201"/>
      <c r="O628" s="201"/>
      <c r="P628" s="201"/>
    </row>
    <row r="631" spans="5:16" x14ac:dyDescent="0.25">
      <c r="F631" s="201"/>
      <c r="G631" s="201"/>
      <c r="H631" s="201"/>
      <c r="I631" s="201"/>
      <c r="J631" s="201"/>
      <c r="K631" s="201"/>
      <c r="L631" s="201"/>
      <c r="M631" s="201"/>
      <c r="N631" s="201"/>
      <c r="O631" s="201"/>
      <c r="P631" s="201"/>
    </row>
    <row r="637" spans="5:16" x14ac:dyDescent="0.25"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</row>
    <row r="638" spans="5:16" x14ac:dyDescent="0.25"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</row>
    <row r="643" spans="1:17" x14ac:dyDescent="0.25"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</row>
    <row r="644" spans="1:17" x14ac:dyDescent="0.25"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</row>
    <row r="645" spans="1:17" x14ac:dyDescent="0.25"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</row>
    <row r="654" spans="1:17" x14ac:dyDescent="0.25">
      <c r="A654" s="211"/>
      <c r="B654" s="211"/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</row>
    <row r="655" spans="1:17" x14ac:dyDescent="0.25">
      <c r="A655" s="211"/>
      <c r="B655" s="211"/>
      <c r="C655" s="211"/>
      <c r="D655" s="211"/>
      <c r="E655" s="211"/>
      <c r="F655" s="211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</row>
    <row r="656" spans="1:17" x14ac:dyDescent="0.25">
      <c r="A656" s="211"/>
      <c r="B656" s="211"/>
      <c r="C656" s="211"/>
      <c r="D656" s="211"/>
      <c r="E656" s="211"/>
      <c r="F656" s="211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</row>
    <row r="657" spans="1:17" ht="13" x14ac:dyDescent="0.3">
      <c r="A657" s="223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</row>
    <row r="658" spans="1:17" x14ac:dyDescent="0.25">
      <c r="A658" s="211"/>
      <c r="B658" s="211"/>
      <c r="C658" s="211"/>
      <c r="D658" s="211"/>
      <c r="E658" s="211"/>
      <c r="F658" s="211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</row>
    <row r="660" spans="1:17" x14ac:dyDescent="0.25">
      <c r="A660" s="211"/>
      <c r="B660" s="211"/>
      <c r="C660" s="211"/>
      <c r="D660" s="211"/>
      <c r="E660" s="211"/>
      <c r="F660" s="211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</row>
    <row r="662" spans="1:17" x14ac:dyDescent="0.25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 x14ac:dyDescent="0.25">
      <c r="D663" s="1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13"/>
    </row>
    <row r="677" spans="5:16" x14ac:dyDescent="0.25">
      <c r="E677" s="201"/>
      <c r="F677" s="201"/>
      <c r="G677" s="201"/>
      <c r="H677" s="201"/>
      <c r="I677" s="201"/>
      <c r="J677" s="201"/>
      <c r="K677" s="201"/>
      <c r="L677" s="201"/>
      <c r="M677" s="201"/>
      <c r="N677" s="201"/>
      <c r="O677" s="201"/>
      <c r="P677" s="201"/>
    </row>
    <row r="680" spans="5:16" x14ac:dyDescent="0.25">
      <c r="F680" s="201"/>
      <c r="G680" s="201"/>
      <c r="H680" s="201"/>
      <c r="I680" s="201"/>
      <c r="J680" s="201"/>
      <c r="K680" s="201"/>
      <c r="L680" s="201"/>
      <c r="M680" s="201"/>
      <c r="N680" s="201"/>
      <c r="O680" s="201"/>
      <c r="P680" s="201"/>
    </row>
    <row r="686" spans="5:16" x14ac:dyDescent="0.25"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</row>
    <row r="687" spans="5:16" x14ac:dyDescent="0.25"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</row>
    <row r="692" spans="1:17" x14ac:dyDescent="0.25"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</row>
    <row r="693" spans="1:17" x14ac:dyDescent="0.25"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</row>
    <row r="694" spans="1:17" x14ac:dyDescent="0.25"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</row>
    <row r="703" spans="1:17" x14ac:dyDescent="0.25">
      <c r="A703" s="211"/>
      <c r="B703" s="211"/>
      <c r="C703" s="211"/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</row>
    <row r="704" spans="1:17" x14ac:dyDescent="0.25">
      <c r="A704" s="211"/>
      <c r="B704" s="211"/>
      <c r="C704" s="211"/>
      <c r="D704" s="211"/>
      <c r="E704" s="211"/>
      <c r="F704" s="211"/>
      <c r="G704" s="211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</row>
    <row r="705" spans="1:17" x14ac:dyDescent="0.25">
      <c r="A705" s="211"/>
      <c r="B705" s="211"/>
      <c r="C705" s="211"/>
      <c r="D705" s="211"/>
      <c r="E705" s="211"/>
      <c r="F705" s="211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</row>
    <row r="706" spans="1:17" ht="13" x14ac:dyDescent="0.3">
      <c r="A706" s="223"/>
      <c r="B706" s="223"/>
      <c r="C706" s="223"/>
      <c r="D706" s="223"/>
      <c r="E706" s="223"/>
      <c r="F706" s="223"/>
      <c r="G706" s="223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</row>
    <row r="707" spans="1:17" x14ac:dyDescent="0.25">
      <c r="A707" s="211"/>
      <c r="B707" s="211"/>
      <c r="C707" s="211"/>
      <c r="D707" s="211"/>
      <c r="E707" s="211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</row>
    <row r="709" spans="1:17" x14ac:dyDescent="0.25">
      <c r="A709" s="211"/>
      <c r="B709" s="211"/>
      <c r="C709" s="211"/>
      <c r="D709" s="211"/>
      <c r="E709" s="211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</row>
    <row r="711" spans="1:17" x14ac:dyDescent="0.25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x14ac:dyDescent="0.25">
      <c r="D712" s="1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13"/>
    </row>
    <row r="726" spans="5:16" x14ac:dyDescent="0.25">
      <c r="E726" s="201"/>
      <c r="F726" s="201"/>
      <c r="G726" s="201"/>
      <c r="H726" s="201"/>
      <c r="I726" s="201"/>
      <c r="J726" s="201"/>
      <c r="K726" s="201"/>
      <c r="L726" s="201"/>
      <c r="M726" s="201"/>
      <c r="N726" s="201"/>
      <c r="O726" s="201"/>
      <c r="P726" s="201"/>
    </row>
    <row r="729" spans="5:16" x14ac:dyDescent="0.25">
      <c r="F729" s="201"/>
      <c r="G729" s="201"/>
      <c r="H729" s="201"/>
      <c r="I729" s="201"/>
      <c r="J729" s="201"/>
      <c r="K729" s="201"/>
      <c r="L729" s="201"/>
      <c r="M729" s="201"/>
      <c r="N729" s="201"/>
      <c r="O729" s="201"/>
      <c r="P729" s="201"/>
    </row>
    <row r="735" spans="5:16" x14ac:dyDescent="0.25"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</row>
    <row r="736" spans="5:16" x14ac:dyDescent="0.25"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</row>
    <row r="741" spans="1:17" x14ac:dyDescent="0.25"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</row>
    <row r="742" spans="1:17" x14ac:dyDescent="0.25"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</row>
    <row r="743" spans="1:17" x14ac:dyDescent="0.25"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</row>
    <row r="752" spans="1:17" x14ac:dyDescent="0.25">
      <c r="A752" s="211"/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</row>
    <row r="753" spans="1:17" x14ac:dyDescent="0.25">
      <c r="A753" s="211"/>
      <c r="B753" s="211"/>
      <c r="C753" s="211"/>
      <c r="D753" s="211"/>
      <c r="E753" s="211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</row>
    <row r="754" spans="1:17" x14ac:dyDescent="0.25">
      <c r="A754" s="211"/>
      <c r="B754" s="211"/>
      <c r="C754" s="211"/>
      <c r="D754" s="211"/>
      <c r="E754" s="211"/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</row>
    <row r="755" spans="1:17" ht="13" x14ac:dyDescent="0.3">
      <c r="A755" s="223"/>
      <c r="B755" s="223"/>
      <c r="C755" s="223"/>
      <c r="D755" s="223"/>
      <c r="E755" s="223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</row>
    <row r="756" spans="1:17" x14ac:dyDescent="0.25">
      <c r="A756" s="211"/>
      <c r="B756" s="211"/>
      <c r="C756" s="211"/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</row>
    <row r="758" spans="1:17" x14ac:dyDescent="0.25">
      <c r="A758" s="211"/>
      <c r="B758" s="211"/>
      <c r="C758" s="211"/>
      <c r="D758" s="211"/>
      <c r="E758" s="211"/>
      <c r="F758" s="211"/>
      <c r="G758" s="211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</row>
    <row r="760" spans="1:17" x14ac:dyDescent="0.25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 x14ac:dyDescent="0.25">
      <c r="D761" s="1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13"/>
    </row>
    <row r="775" spans="5:16" x14ac:dyDescent="0.25">
      <c r="E775" s="201"/>
      <c r="F775" s="201"/>
      <c r="G775" s="201"/>
      <c r="H775" s="201"/>
      <c r="I775" s="201"/>
      <c r="J775" s="201"/>
      <c r="K775" s="201"/>
      <c r="L775" s="201"/>
      <c r="M775" s="201"/>
      <c r="N775" s="201"/>
      <c r="O775" s="201"/>
      <c r="P775" s="201"/>
    </row>
    <row r="778" spans="5:16" x14ac:dyDescent="0.25">
      <c r="F778" s="201"/>
      <c r="G778" s="201"/>
      <c r="H778" s="201"/>
      <c r="I778" s="201"/>
      <c r="J778" s="201"/>
      <c r="K778" s="201"/>
      <c r="L778" s="201"/>
      <c r="M778" s="201"/>
      <c r="N778" s="201"/>
      <c r="O778" s="201"/>
      <c r="P778" s="201"/>
    </row>
    <row r="784" spans="5:16" x14ac:dyDescent="0.25"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</row>
    <row r="785" spans="5:16" x14ac:dyDescent="0.25"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</row>
    <row r="790" spans="5:16" x14ac:dyDescent="0.25"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</row>
    <row r="791" spans="5:16" x14ac:dyDescent="0.25"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</row>
    <row r="792" spans="5:16" x14ac:dyDescent="0.25"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</row>
    <row r="801" spans="1:17" x14ac:dyDescent="0.25">
      <c r="A801" s="211"/>
      <c r="B801" s="211"/>
      <c r="C801" s="211"/>
      <c r="D801" s="211"/>
      <c r="E801" s="211"/>
      <c r="F801" s="211"/>
      <c r="G801" s="211"/>
      <c r="H801" s="211"/>
      <c r="I801" s="211"/>
      <c r="J801" s="211"/>
      <c r="K801" s="211"/>
      <c r="L801" s="211"/>
      <c r="M801" s="211"/>
      <c r="N801" s="211"/>
      <c r="O801" s="211"/>
      <c r="P801" s="211"/>
      <c r="Q801" s="211"/>
    </row>
    <row r="802" spans="1:17" x14ac:dyDescent="0.25">
      <c r="A802" s="211"/>
      <c r="B802" s="211"/>
      <c r="C802" s="211"/>
      <c r="D802" s="211"/>
      <c r="E802" s="211"/>
      <c r="F802" s="211"/>
      <c r="G802" s="211"/>
      <c r="H802" s="211"/>
      <c r="I802" s="211"/>
      <c r="J802" s="211"/>
      <c r="K802" s="211"/>
      <c r="L802" s="211"/>
      <c r="M802" s="211"/>
      <c r="N802" s="211"/>
      <c r="O802" s="211"/>
      <c r="P802" s="211"/>
      <c r="Q802" s="211"/>
    </row>
    <row r="803" spans="1:17" x14ac:dyDescent="0.25">
      <c r="A803" s="211"/>
      <c r="B803" s="211"/>
      <c r="C803" s="211"/>
      <c r="D803" s="211"/>
      <c r="E803" s="211"/>
      <c r="F803" s="211"/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</row>
    <row r="804" spans="1:17" ht="13" x14ac:dyDescent="0.3">
      <c r="A804" s="223"/>
      <c r="B804" s="223"/>
      <c r="C804" s="223"/>
      <c r="D804" s="223"/>
      <c r="E804" s="223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</row>
    <row r="805" spans="1:17" x14ac:dyDescent="0.25">
      <c r="A805" s="211"/>
      <c r="B805" s="211"/>
      <c r="C805" s="211"/>
      <c r="D805" s="211"/>
      <c r="E805" s="211"/>
      <c r="F805" s="211"/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</row>
    <row r="807" spans="1:17" x14ac:dyDescent="0.25">
      <c r="A807" s="211"/>
      <c r="B807" s="211"/>
      <c r="C807" s="211"/>
      <c r="D807" s="211"/>
      <c r="E807" s="211"/>
      <c r="F807" s="211"/>
      <c r="G807" s="211"/>
      <c r="H807" s="211"/>
      <c r="I807" s="211"/>
      <c r="J807" s="211"/>
      <c r="K807" s="211"/>
      <c r="L807" s="211"/>
      <c r="M807" s="211"/>
      <c r="N807" s="211"/>
      <c r="O807" s="211"/>
      <c r="P807" s="211"/>
      <c r="Q807" s="211"/>
    </row>
    <row r="809" spans="1:17" x14ac:dyDescent="0.25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 x14ac:dyDescent="0.25">
      <c r="D810" s="13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13"/>
    </row>
    <row r="824" spans="5:16" x14ac:dyDescent="0.25"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</row>
    <row r="827" spans="5:16" x14ac:dyDescent="0.25"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</row>
    <row r="833" spans="5:16" x14ac:dyDescent="0.25"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</row>
    <row r="834" spans="5:16" x14ac:dyDescent="0.25"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</row>
    <row r="839" spans="5:16" x14ac:dyDescent="0.25"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</row>
    <row r="840" spans="5:16" x14ac:dyDescent="0.25"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</row>
    <row r="841" spans="5:16" x14ac:dyDescent="0.25"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</row>
    <row r="850" spans="1:17" x14ac:dyDescent="0.25">
      <c r="A850" s="211"/>
      <c r="B850" s="211"/>
      <c r="C850" s="211"/>
      <c r="D850" s="211"/>
      <c r="E850" s="211"/>
      <c r="F850" s="211"/>
      <c r="G850" s="211"/>
      <c r="H850" s="211"/>
      <c r="I850" s="211"/>
      <c r="J850" s="211"/>
      <c r="K850" s="211"/>
      <c r="L850" s="211"/>
      <c r="M850" s="211"/>
      <c r="N850" s="211"/>
      <c r="O850" s="211"/>
      <c r="P850" s="211"/>
      <c r="Q850" s="211"/>
    </row>
    <row r="851" spans="1:17" x14ac:dyDescent="0.25">
      <c r="A851" s="211"/>
      <c r="B851" s="211"/>
      <c r="C851" s="211"/>
      <c r="D851" s="211"/>
      <c r="E851" s="211"/>
      <c r="F851" s="211"/>
      <c r="G851" s="211"/>
      <c r="H851" s="211"/>
      <c r="I851" s="211"/>
      <c r="J851" s="211"/>
      <c r="K851" s="211"/>
      <c r="L851" s="211"/>
      <c r="M851" s="211"/>
      <c r="N851" s="211"/>
      <c r="O851" s="211"/>
      <c r="P851" s="211"/>
      <c r="Q851" s="211"/>
    </row>
    <row r="852" spans="1:17" x14ac:dyDescent="0.25">
      <c r="A852" s="211"/>
      <c r="B852" s="211"/>
      <c r="C852" s="211"/>
      <c r="D852" s="211"/>
      <c r="E852" s="211"/>
      <c r="F852" s="211"/>
      <c r="G852" s="211"/>
      <c r="H852" s="211"/>
      <c r="I852" s="211"/>
      <c r="J852" s="211"/>
      <c r="K852" s="211"/>
      <c r="L852" s="211"/>
      <c r="M852" s="211"/>
      <c r="N852" s="211"/>
      <c r="O852" s="211"/>
      <c r="P852" s="211"/>
      <c r="Q852" s="211"/>
    </row>
    <row r="853" spans="1:17" ht="13" x14ac:dyDescent="0.3">
      <c r="A853" s="223"/>
      <c r="B853" s="223"/>
      <c r="C853" s="223"/>
      <c r="D853" s="223"/>
      <c r="E853" s="223"/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</row>
    <row r="854" spans="1:17" x14ac:dyDescent="0.25">
      <c r="A854" s="211"/>
      <c r="B854" s="211"/>
      <c r="C854" s="211"/>
      <c r="D854" s="211"/>
      <c r="E854" s="211"/>
      <c r="F854" s="211"/>
      <c r="G854" s="211"/>
      <c r="H854" s="211"/>
      <c r="I854" s="211"/>
      <c r="J854" s="211"/>
      <c r="K854" s="211"/>
      <c r="L854" s="211"/>
      <c r="M854" s="211"/>
      <c r="N854" s="211"/>
      <c r="O854" s="211"/>
      <c r="P854" s="211"/>
      <c r="Q854" s="211"/>
    </row>
    <row r="856" spans="1:17" x14ac:dyDescent="0.25">
      <c r="A856" s="211"/>
      <c r="B856" s="211"/>
      <c r="C856" s="211"/>
      <c r="D856" s="211"/>
      <c r="E856" s="211"/>
      <c r="F856" s="211"/>
      <c r="G856" s="211"/>
      <c r="H856" s="211"/>
      <c r="I856" s="211"/>
      <c r="J856" s="211"/>
      <c r="K856" s="211"/>
      <c r="L856" s="211"/>
      <c r="M856" s="211"/>
      <c r="N856" s="211"/>
      <c r="O856" s="211"/>
      <c r="P856" s="211"/>
      <c r="Q856" s="211"/>
    </row>
    <row r="858" spans="1:17" x14ac:dyDescent="0.25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1:17" x14ac:dyDescent="0.25">
      <c r="D859" s="13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3"/>
    </row>
    <row r="873" spans="5:16" x14ac:dyDescent="0.25"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</row>
    <row r="876" spans="5:16" x14ac:dyDescent="0.25"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</row>
    <row r="882" spans="5:16" x14ac:dyDescent="0.25"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</row>
    <row r="883" spans="5:16" x14ac:dyDescent="0.25"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</row>
    <row r="888" spans="5:16" x14ac:dyDescent="0.25"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</row>
    <row r="889" spans="5:16" x14ac:dyDescent="0.25"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</row>
    <row r="890" spans="5:16" x14ac:dyDescent="0.25"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</row>
    <row r="899" spans="1:17" x14ac:dyDescent="0.25">
      <c r="A899" s="211"/>
      <c r="B899" s="211"/>
      <c r="C899" s="211"/>
      <c r="D899" s="211"/>
      <c r="E899" s="211"/>
      <c r="F899" s="211"/>
      <c r="G899" s="211"/>
      <c r="H899" s="211"/>
      <c r="I899" s="211"/>
      <c r="J899" s="211"/>
      <c r="K899" s="211"/>
      <c r="L899" s="211"/>
      <c r="M899" s="211"/>
      <c r="N899" s="211"/>
      <c r="O899" s="211"/>
      <c r="P899" s="211"/>
      <c r="Q899" s="211"/>
    </row>
    <row r="900" spans="1:17" x14ac:dyDescent="0.25">
      <c r="A900" s="211"/>
      <c r="B900" s="211"/>
      <c r="C900" s="211"/>
      <c r="D900" s="211"/>
      <c r="E900" s="211"/>
      <c r="F900" s="211"/>
      <c r="G900" s="211"/>
      <c r="H900" s="211"/>
      <c r="I900" s="211"/>
      <c r="J900" s="211"/>
      <c r="K900" s="211"/>
      <c r="L900" s="211"/>
      <c r="M900" s="211"/>
      <c r="N900" s="211"/>
      <c r="O900" s="211"/>
      <c r="P900" s="211"/>
      <c r="Q900" s="211"/>
    </row>
    <row r="901" spans="1:17" x14ac:dyDescent="0.25">
      <c r="A901" s="211"/>
      <c r="B901" s="211"/>
      <c r="C901" s="211"/>
      <c r="D901" s="211"/>
      <c r="E901" s="211"/>
      <c r="F901" s="211"/>
      <c r="G901" s="211"/>
      <c r="H901" s="211"/>
      <c r="I901" s="211"/>
      <c r="J901" s="211"/>
      <c r="K901" s="211"/>
      <c r="L901" s="211"/>
      <c r="M901" s="211"/>
      <c r="N901" s="211"/>
      <c r="O901" s="211"/>
      <c r="P901" s="211"/>
      <c r="Q901" s="211"/>
    </row>
    <row r="902" spans="1:17" ht="13" x14ac:dyDescent="0.3">
      <c r="A902" s="223"/>
      <c r="B902" s="223"/>
      <c r="C902" s="223"/>
      <c r="D902" s="223"/>
      <c r="E902" s="223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</row>
    <row r="903" spans="1:17" x14ac:dyDescent="0.25">
      <c r="A903" s="211"/>
      <c r="B903" s="211"/>
      <c r="C903" s="211"/>
      <c r="D903" s="211"/>
      <c r="E903" s="211"/>
      <c r="F903" s="211"/>
      <c r="G903" s="211"/>
      <c r="H903" s="211"/>
      <c r="I903" s="211"/>
      <c r="J903" s="211"/>
      <c r="K903" s="211"/>
      <c r="L903" s="211"/>
      <c r="M903" s="211"/>
      <c r="N903" s="211"/>
      <c r="O903" s="211"/>
      <c r="P903" s="211"/>
      <c r="Q903" s="211"/>
    </row>
    <row r="905" spans="1:17" x14ac:dyDescent="0.25">
      <c r="A905" s="211"/>
      <c r="B905" s="211"/>
      <c r="C905" s="211"/>
      <c r="D905" s="211"/>
      <c r="E905" s="211"/>
      <c r="F905" s="211"/>
      <c r="G905" s="211"/>
      <c r="H905" s="211"/>
      <c r="I905" s="211"/>
      <c r="J905" s="211"/>
      <c r="K905" s="211"/>
      <c r="L905" s="211"/>
      <c r="M905" s="211"/>
      <c r="N905" s="211"/>
      <c r="O905" s="211"/>
      <c r="P905" s="211"/>
      <c r="Q905" s="211"/>
    </row>
    <row r="907" spans="1:17" x14ac:dyDescent="0.25"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1:17" x14ac:dyDescent="0.25">
      <c r="D908" s="1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13"/>
    </row>
    <row r="922" spans="5:16" x14ac:dyDescent="0.25">
      <c r="E922" s="201"/>
      <c r="F922" s="201"/>
      <c r="G922" s="201"/>
      <c r="H922" s="201"/>
      <c r="I922" s="201"/>
      <c r="J922" s="201"/>
      <c r="K922" s="201"/>
      <c r="L922" s="201"/>
      <c r="M922" s="201"/>
      <c r="N922" s="201"/>
      <c r="O922" s="201"/>
      <c r="P922" s="201"/>
    </row>
    <row r="925" spans="5:16" x14ac:dyDescent="0.25">
      <c r="F925" s="201"/>
      <c r="G925" s="201"/>
      <c r="H925" s="201"/>
      <c r="I925" s="201"/>
      <c r="J925" s="201"/>
      <c r="K925" s="201"/>
      <c r="L925" s="201"/>
      <c r="M925" s="201"/>
      <c r="N925" s="201"/>
      <c r="O925" s="201"/>
      <c r="P925" s="201"/>
    </row>
    <row r="931" spans="5:16" x14ac:dyDescent="0.25"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</row>
    <row r="932" spans="5:16" x14ac:dyDescent="0.25"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</row>
    <row r="937" spans="5:16" x14ac:dyDescent="0.25"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</row>
    <row r="938" spans="5:16" x14ac:dyDescent="0.25"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</row>
    <row r="939" spans="5:16" x14ac:dyDescent="0.25"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</row>
    <row r="947" spans="1:17" x14ac:dyDescent="0.25">
      <c r="A947" s="211"/>
      <c r="B947" s="211"/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211"/>
      <c r="O947" s="211"/>
      <c r="P947" s="211"/>
      <c r="Q947" s="211"/>
    </row>
    <row r="948" spans="1:17" x14ac:dyDescent="0.25">
      <c r="A948" s="211"/>
      <c r="B948" s="211"/>
      <c r="C948" s="211"/>
      <c r="D948" s="211"/>
      <c r="E948" s="211"/>
      <c r="F948" s="211"/>
      <c r="G948" s="211"/>
      <c r="H948" s="211"/>
      <c r="I948" s="211"/>
      <c r="J948" s="211"/>
      <c r="K948" s="211"/>
      <c r="L948" s="211"/>
      <c r="M948" s="211"/>
      <c r="N948" s="211"/>
      <c r="O948" s="211"/>
      <c r="P948" s="211"/>
      <c r="Q948" s="211"/>
    </row>
    <row r="949" spans="1:17" x14ac:dyDescent="0.25">
      <c r="A949" s="211"/>
      <c r="B949" s="211"/>
      <c r="C949" s="211"/>
      <c r="D949" s="211"/>
      <c r="E949" s="211"/>
      <c r="F949" s="211"/>
      <c r="G949" s="211"/>
      <c r="H949" s="211"/>
      <c r="I949" s="211"/>
      <c r="J949" s="211"/>
      <c r="K949" s="211"/>
      <c r="L949" s="211"/>
      <c r="M949" s="211"/>
      <c r="N949" s="211"/>
      <c r="O949" s="211"/>
      <c r="P949" s="211"/>
      <c r="Q949" s="211"/>
    </row>
    <row r="950" spans="1:17" ht="13" x14ac:dyDescent="0.3">
      <c r="A950" s="223"/>
      <c r="B950" s="223"/>
      <c r="C950" s="223"/>
      <c r="D950" s="223"/>
      <c r="E950" s="223"/>
      <c r="F950" s="223"/>
      <c r="G950" s="223"/>
      <c r="H950" s="223"/>
      <c r="I950" s="223"/>
      <c r="J950" s="223"/>
      <c r="K950" s="223"/>
      <c r="L950" s="223"/>
      <c r="M950" s="223"/>
      <c r="N950" s="223"/>
      <c r="O950" s="223"/>
      <c r="P950" s="223"/>
      <c r="Q950" s="223"/>
    </row>
    <row r="951" spans="1:17" x14ac:dyDescent="0.25">
      <c r="A951" s="211"/>
      <c r="B951" s="211"/>
      <c r="C951" s="211"/>
      <c r="D951" s="211"/>
      <c r="E951" s="211"/>
      <c r="F951" s="211"/>
      <c r="G951" s="211"/>
      <c r="H951" s="211"/>
      <c r="I951" s="211"/>
      <c r="J951" s="211"/>
      <c r="K951" s="211"/>
      <c r="L951" s="211"/>
      <c r="M951" s="211"/>
      <c r="N951" s="211"/>
      <c r="O951" s="211"/>
      <c r="P951" s="211"/>
      <c r="Q951" s="211"/>
    </row>
    <row r="953" spans="1:17" x14ac:dyDescent="0.25">
      <c r="A953" s="211"/>
      <c r="B953" s="211"/>
      <c r="C953" s="211"/>
      <c r="D953" s="211"/>
      <c r="E953" s="211"/>
      <c r="F953" s="211"/>
      <c r="G953" s="211"/>
      <c r="H953" s="211"/>
      <c r="I953" s="211"/>
      <c r="J953" s="211"/>
      <c r="K953" s="211"/>
      <c r="L953" s="211"/>
      <c r="M953" s="211"/>
      <c r="N953" s="211"/>
      <c r="O953" s="211"/>
      <c r="P953" s="211"/>
      <c r="Q953" s="211"/>
    </row>
    <row r="955" spans="1:17" x14ac:dyDescent="0.25"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1:17" x14ac:dyDescent="0.25">
      <c r="D956" s="1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13"/>
    </row>
    <row r="970" spans="5:16" x14ac:dyDescent="0.25">
      <c r="E970" s="201"/>
      <c r="F970" s="201"/>
      <c r="G970" s="201"/>
      <c r="H970" s="201"/>
      <c r="I970" s="201"/>
      <c r="J970" s="201"/>
      <c r="K970" s="201"/>
      <c r="L970" s="201"/>
      <c r="M970" s="201"/>
      <c r="N970" s="201"/>
      <c r="O970" s="201"/>
      <c r="P970" s="201"/>
    </row>
    <row r="973" spans="5:16" x14ac:dyDescent="0.25">
      <c r="F973" s="201"/>
      <c r="G973" s="201"/>
      <c r="H973" s="201"/>
      <c r="I973" s="201"/>
      <c r="J973" s="201"/>
      <c r="K973" s="201"/>
      <c r="L973" s="201"/>
      <c r="M973" s="201"/>
      <c r="N973" s="201"/>
      <c r="O973" s="201"/>
      <c r="P973" s="201"/>
    </row>
    <row r="979" spans="5:16" x14ac:dyDescent="0.25"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</row>
    <row r="980" spans="5:16" x14ac:dyDescent="0.25"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</row>
    <row r="985" spans="5:16" x14ac:dyDescent="0.25"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</row>
    <row r="986" spans="5:16" x14ac:dyDescent="0.25"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</row>
    <row r="987" spans="5:16" x14ac:dyDescent="0.25"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</row>
    <row r="996" spans="1:17" x14ac:dyDescent="0.25">
      <c r="A996" s="211"/>
      <c r="B996" s="211"/>
      <c r="C996" s="211"/>
      <c r="D996" s="211"/>
      <c r="E996" s="211"/>
      <c r="F996" s="211"/>
      <c r="G996" s="211"/>
      <c r="H996" s="211"/>
      <c r="I996" s="211"/>
      <c r="J996" s="211"/>
      <c r="K996" s="211"/>
      <c r="L996" s="211"/>
      <c r="M996" s="211"/>
      <c r="N996" s="211"/>
      <c r="O996" s="211"/>
      <c r="P996" s="211"/>
      <c r="Q996" s="211"/>
    </row>
    <row r="997" spans="1:17" x14ac:dyDescent="0.25">
      <c r="A997" s="211"/>
      <c r="B997" s="211"/>
      <c r="C997" s="211"/>
      <c r="D997" s="211"/>
      <c r="E997" s="211"/>
      <c r="F997" s="211"/>
      <c r="G997" s="211"/>
      <c r="H997" s="211"/>
      <c r="I997" s="211"/>
      <c r="J997" s="211"/>
      <c r="K997" s="211"/>
      <c r="L997" s="211"/>
      <c r="M997" s="211"/>
      <c r="N997" s="211"/>
      <c r="O997" s="211"/>
      <c r="P997" s="211"/>
      <c r="Q997" s="211"/>
    </row>
    <row r="998" spans="1:17" x14ac:dyDescent="0.25">
      <c r="A998" s="211"/>
      <c r="B998" s="211"/>
      <c r="C998" s="211"/>
      <c r="D998" s="211"/>
      <c r="E998" s="211"/>
      <c r="F998" s="211"/>
      <c r="G998" s="211"/>
      <c r="H998" s="211"/>
      <c r="I998" s="211"/>
      <c r="J998" s="211"/>
      <c r="K998" s="211"/>
      <c r="L998" s="211"/>
      <c r="M998" s="211"/>
      <c r="N998" s="211"/>
      <c r="O998" s="211"/>
      <c r="P998" s="211"/>
      <c r="Q998" s="211"/>
    </row>
    <row r="999" spans="1:17" ht="13" x14ac:dyDescent="0.3">
      <c r="A999" s="223"/>
      <c r="B999" s="223"/>
      <c r="C999" s="223"/>
      <c r="D999" s="223"/>
      <c r="E999" s="223"/>
      <c r="F999" s="223"/>
      <c r="G999" s="223"/>
      <c r="H999" s="223"/>
      <c r="I999" s="223"/>
      <c r="J999" s="223"/>
      <c r="K999" s="223"/>
      <c r="L999" s="223"/>
      <c r="M999" s="223"/>
      <c r="N999" s="223"/>
      <c r="O999" s="223"/>
      <c r="P999" s="223"/>
      <c r="Q999" s="223"/>
    </row>
    <row r="1000" spans="1:17" x14ac:dyDescent="0.25">
      <c r="A1000" s="211"/>
      <c r="B1000" s="211"/>
      <c r="C1000" s="211"/>
      <c r="D1000" s="211"/>
      <c r="E1000" s="211"/>
      <c r="F1000" s="211"/>
      <c r="G1000" s="211"/>
      <c r="H1000" s="211"/>
      <c r="I1000" s="211"/>
      <c r="J1000" s="211"/>
      <c r="K1000" s="211"/>
      <c r="L1000" s="211"/>
      <c r="M1000" s="211"/>
      <c r="N1000" s="211"/>
      <c r="O1000" s="211"/>
      <c r="P1000" s="211"/>
      <c r="Q1000" s="211"/>
    </row>
    <row r="1002" spans="1:17" x14ac:dyDescent="0.25">
      <c r="A1002" s="211"/>
      <c r="B1002" s="211"/>
      <c r="C1002" s="211"/>
      <c r="D1002" s="211"/>
      <c r="E1002" s="211"/>
      <c r="F1002" s="211"/>
      <c r="G1002" s="211"/>
      <c r="H1002" s="211"/>
      <c r="I1002" s="211"/>
      <c r="J1002" s="211"/>
      <c r="K1002" s="211"/>
      <c r="L1002" s="211"/>
      <c r="M1002" s="211"/>
      <c r="N1002" s="211"/>
      <c r="O1002" s="211"/>
      <c r="P1002" s="211"/>
      <c r="Q1002" s="211"/>
    </row>
    <row r="1004" spans="1:17" x14ac:dyDescent="0.25"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1:17" x14ac:dyDescent="0.25">
      <c r="D1005" s="13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13"/>
    </row>
    <row r="1019" spans="5:16" x14ac:dyDescent="0.25">
      <c r="E1019" s="201"/>
      <c r="F1019" s="201"/>
      <c r="G1019" s="201"/>
      <c r="H1019" s="201"/>
      <c r="I1019" s="201"/>
      <c r="J1019" s="201"/>
      <c r="K1019" s="201"/>
      <c r="L1019" s="201"/>
      <c r="M1019" s="201"/>
      <c r="N1019" s="201"/>
      <c r="O1019" s="201"/>
      <c r="P1019" s="201"/>
    </row>
    <row r="1022" spans="5:16" x14ac:dyDescent="0.25">
      <c r="F1022" s="201"/>
      <c r="G1022" s="201"/>
      <c r="H1022" s="201"/>
      <c r="I1022" s="201"/>
      <c r="J1022" s="201"/>
      <c r="K1022" s="201"/>
      <c r="L1022" s="201"/>
      <c r="M1022" s="201"/>
      <c r="N1022" s="201"/>
      <c r="O1022" s="201"/>
      <c r="P1022" s="201"/>
    </row>
    <row r="1028" spans="5:16" x14ac:dyDescent="0.25">
      <c r="E1028" s="202"/>
      <c r="F1028" s="202"/>
      <c r="G1028" s="202"/>
      <c r="H1028" s="202"/>
      <c r="I1028" s="202"/>
      <c r="J1028" s="202"/>
      <c r="K1028" s="202"/>
      <c r="L1028" s="202"/>
      <c r="M1028" s="202"/>
      <c r="N1028" s="202"/>
      <c r="O1028" s="202"/>
      <c r="P1028" s="202"/>
    </row>
    <row r="1029" spans="5:16" x14ac:dyDescent="0.25">
      <c r="E1029" s="202"/>
      <c r="F1029" s="202"/>
      <c r="G1029" s="202"/>
      <c r="H1029" s="202"/>
      <c r="I1029" s="202"/>
      <c r="J1029" s="202"/>
      <c r="K1029" s="202"/>
      <c r="L1029" s="202"/>
      <c r="M1029" s="202"/>
      <c r="N1029" s="202"/>
      <c r="O1029" s="202"/>
      <c r="P1029" s="202"/>
    </row>
    <row r="1034" spans="5:16" x14ac:dyDescent="0.25">
      <c r="E1034" s="203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</row>
    <row r="1035" spans="5:16" x14ac:dyDescent="0.25">
      <c r="E1035" s="203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</row>
    <row r="1036" spans="5:16" x14ac:dyDescent="0.25">
      <c r="E1036" s="203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</row>
    <row r="1045" spans="1:17" x14ac:dyDescent="0.25">
      <c r="A1045" s="211"/>
      <c r="B1045" s="211"/>
      <c r="C1045" s="211"/>
      <c r="D1045" s="211"/>
      <c r="E1045" s="211"/>
      <c r="F1045" s="211"/>
      <c r="G1045" s="211"/>
      <c r="H1045" s="211"/>
      <c r="I1045" s="211"/>
      <c r="J1045" s="211"/>
      <c r="K1045" s="211"/>
      <c r="L1045" s="211"/>
      <c r="M1045" s="211"/>
      <c r="N1045" s="211"/>
      <c r="O1045" s="211"/>
      <c r="P1045" s="211"/>
      <c r="Q1045" s="211"/>
    </row>
    <row r="1046" spans="1:17" x14ac:dyDescent="0.25">
      <c r="A1046" s="211"/>
      <c r="B1046" s="211"/>
      <c r="C1046" s="211"/>
      <c r="D1046" s="211"/>
      <c r="E1046" s="211"/>
      <c r="F1046" s="211"/>
      <c r="G1046" s="211"/>
      <c r="H1046" s="211"/>
      <c r="I1046" s="211"/>
      <c r="J1046" s="211"/>
      <c r="K1046" s="211"/>
      <c r="L1046" s="211"/>
      <c r="M1046" s="211"/>
      <c r="N1046" s="211"/>
      <c r="O1046" s="211"/>
      <c r="P1046" s="211"/>
      <c r="Q1046" s="211"/>
    </row>
    <row r="1047" spans="1:17" x14ac:dyDescent="0.25">
      <c r="A1047" s="211"/>
      <c r="B1047" s="211"/>
      <c r="C1047" s="211"/>
      <c r="D1047" s="211"/>
      <c r="E1047" s="211"/>
      <c r="F1047" s="211"/>
      <c r="G1047" s="211"/>
      <c r="H1047" s="211"/>
      <c r="I1047" s="211"/>
      <c r="J1047" s="211"/>
      <c r="K1047" s="211"/>
      <c r="L1047" s="211"/>
      <c r="M1047" s="211"/>
      <c r="N1047" s="211"/>
      <c r="O1047" s="211"/>
      <c r="P1047" s="211"/>
      <c r="Q1047" s="211"/>
    </row>
    <row r="1048" spans="1:17" ht="13" x14ac:dyDescent="0.3">
      <c r="A1048" s="223"/>
      <c r="B1048" s="223"/>
      <c r="C1048" s="223"/>
      <c r="D1048" s="223"/>
      <c r="E1048" s="223"/>
      <c r="F1048" s="223"/>
      <c r="G1048" s="223"/>
      <c r="H1048" s="223"/>
      <c r="I1048" s="223"/>
      <c r="J1048" s="223"/>
      <c r="K1048" s="223"/>
      <c r="L1048" s="223"/>
      <c r="M1048" s="223"/>
      <c r="N1048" s="223"/>
      <c r="O1048" s="223"/>
      <c r="P1048" s="223"/>
      <c r="Q1048" s="223"/>
    </row>
    <row r="1049" spans="1:17" x14ac:dyDescent="0.25">
      <c r="A1049" s="211"/>
      <c r="B1049" s="211"/>
      <c r="C1049" s="211"/>
      <c r="D1049" s="211"/>
      <c r="E1049" s="211"/>
      <c r="F1049" s="211"/>
      <c r="G1049" s="211"/>
      <c r="H1049" s="211"/>
      <c r="I1049" s="211"/>
      <c r="J1049" s="211"/>
      <c r="K1049" s="211"/>
      <c r="L1049" s="211"/>
      <c r="M1049" s="211"/>
      <c r="N1049" s="211"/>
      <c r="O1049" s="211"/>
      <c r="P1049" s="211"/>
      <c r="Q1049" s="211"/>
    </row>
    <row r="1051" spans="1:17" x14ac:dyDescent="0.25">
      <c r="A1051" s="211"/>
      <c r="B1051" s="211"/>
      <c r="C1051" s="211"/>
      <c r="D1051" s="211"/>
      <c r="E1051" s="211"/>
      <c r="F1051" s="211"/>
      <c r="G1051" s="211"/>
      <c r="H1051" s="211"/>
      <c r="I1051" s="211"/>
      <c r="J1051" s="211"/>
      <c r="K1051" s="211"/>
      <c r="L1051" s="211"/>
      <c r="M1051" s="211"/>
      <c r="N1051" s="211"/>
      <c r="O1051" s="211"/>
      <c r="P1051" s="211"/>
      <c r="Q1051" s="211"/>
    </row>
    <row r="1053" spans="1:17" x14ac:dyDescent="0.25"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1:17" x14ac:dyDescent="0.25">
      <c r="D1054" s="13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13"/>
    </row>
    <row r="1068" spans="5:16" x14ac:dyDescent="0.25">
      <c r="E1068" s="201"/>
      <c r="F1068" s="201"/>
      <c r="G1068" s="201"/>
      <c r="H1068" s="201"/>
      <c r="I1068" s="201"/>
      <c r="J1068" s="201"/>
      <c r="K1068" s="201"/>
      <c r="L1068" s="201"/>
      <c r="M1068" s="201"/>
      <c r="N1068" s="201"/>
      <c r="O1068" s="201"/>
      <c r="P1068" s="201"/>
    </row>
    <row r="1071" spans="5:16" x14ac:dyDescent="0.25">
      <c r="F1071" s="201"/>
      <c r="G1071" s="201"/>
      <c r="H1071" s="201"/>
      <c r="I1071" s="201"/>
      <c r="J1071" s="201"/>
      <c r="K1071" s="201"/>
      <c r="L1071" s="201"/>
      <c r="M1071" s="201"/>
      <c r="N1071" s="201"/>
      <c r="O1071" s="201"/>
      <c r="P1071" s="201"/>
    </row>
    <row r="1077" spans="5:16" x14ac:dyDescent="0.25">
      <c r="E1077" s="202"/>
      <c r="F1077" s="202"/>
      <c r="G1077" s="202"/>
      <c r="H1077" s="202"/>
      <c r="I1077" s="202"/>
      <c r="J1077" s="202"/>
      <c r="K1077" s="202"/>
      <c r="L1077" s="202"/>
      <c r="M1077" s="202"/>
      <c r="N1077" s="202"/>
      <c r="O1077" s="202"/>
      <c r="P1077" s="202"/>
    </row>
    <row r="1078" spans="5:16" x14ac:dyDescent="0.25">
      <c r="E1078" s="202"/>
      <c r="F1078" s="202"/>
      <c r="G1078" s="202"/>
      <c r="H1078" s="202"/>
      <c r="I1078" s="202"/>
      <c r="J1078" s="202"/>
      <c r="K1078" s="202"/>
      <c r="L1078" s="202"/>
      <c r="M1078" s="202"/>
      <c r="N1078" s="202"/>
      <c r="O1078" s="202"/>
      <c r="P1078" s="202"/>
    </row>
    <row r="1083" spans="5:16" x14ac:dyDescent="0.25">
      <c r="E1083" s="203"/>
      <c r="F1083" s="203"/>
      <c r="G1083" s="203"/>
      <c r="H1083" s="203"/>
      <c r="I1083" s="203"/>
      <c r="J1083" s="203"/>
      <c r="K1083" s="203"/>
      <c r="L1083" s="203"/>
      <c r="M1083" s="203"/>
      <c r="N1083" s="203"/>
      <c r="O1083" s="203"/>
      <c r="P1083" s="203"/>
    </row>
    <row r="1084" spans="5:16" x14ac:dyDescent="0.25">
      <c r="E1084" s="203"/>
      <c r="F1084" s="203"/>
      <c r="G1084" s="203"/>
      <c r="H1084" s="203"/>
      <c r="I1084" s="203"/>
      <c r="J1084" s="203"/>
      <c r="K1084" s="203"/>
      <c r="L1084" s="203"/>
      <c r="M1084" s="203"/>
      <c r="N1084" s="203"/>
      <c r="O1084" s="203"/>
      <c r="P1084" s="203"/>
    </row>
    <row r="1085" spans="5:16" x14ac:dyDescent="0.25">
      <c r="E1085" s="203"/>
      <c r="F1085" s="203"/>
      <c r="G1085" s="203"/>
      <c r="H1085" s="203"/>
      <c r="I1085" s="203"/>
      <c r="J1085" s="203"/>
      <c r="K1085" s="203"/>
      <c r="L1085" s="203"/>
      <c r="M1085" s="203"/>
      <c r="N1085" s="203"/>
      <c r="O1085" s="203"/>
      <c r="P1085" s="203"/>
    </row>
    <row r="1094" spans="1:17" x14ac:dyDescent="0.25">
      <c r="A1094" s="211"/>
      <c r="B1094" s="211"/>
      <c r="C1094" s="211"/>
      <c r="D1094" s="211"/>
      <c r="E1094" s="211"/>
      <c r="F1094" s="211"/>
      <c r="G1094" s="211"/>
      <c r="H1094" s="211"/>
      <c r="I1094" s="211"/>
      <c r="J1094" s="211"/>
      <c r="K1094" s="211"/>
      <c r="L1094" s="211"/>
      <c r="M1094" s="211"/>
      <c r="N1094" s="211"/>
      <c r="O1094" s="211"/>
      <c r="P1094" s="211"/>
      <c r="Q1094" s="211"/>
    </row>
    <row r="1095" spans="1:17" x14ac:dyDescent="0.25">
      <c r="A1095" s="211"/>
      <c r="B1095" s="211"/>
      <c r="C1095" s="211"/>
      <c r="D1095" s="211"/>
      <c r="E1095" s="211"/>
      <c r="F1095" s="211"/>
      <c r="G1095" s="211"/>
      <c r="H1095" s="211"/>
      <c r="I1095" s="211"/>
      <c r="J1095" s="211"/>
      <c r="K1095" s="211"/>
      <c r="L1095" s="211"/>
      <c r="M1095" s="211"/>
      <c r="N1095" s="211"/>
      <c r="O1095" s="211"/>
      <c r="P1095" s="211"/>
      <c r="Q1095" s="211"/>
    </row>
    <row r="1096" spans="1:17" x14ac:dyDescent="0.25">
      <c r="A1096" s="211"/>
      <c r="B1096" s="211"/>
      <c r="C1096" s="211"/>
      <c r="D1096" s="211"/>
      <c r="E1096" s="211"/>
      <c r="F1096" s="211"/>
      <c r="G1096" s="211"/>
      <c r="H1096" s="211"/>
      <c r="I1096" s="211"/>
      <c r="J1096" s="211"/>
      <c r="K1096" s="211"/>
      <c r="L1096" s="211"/>
      <c r="M1096" s="211"/>
      <c r="N1096" s="211"/>
      <c r="O1096" s="211"/>
      <c r="P1096" s="211"/>
      <c r="Q1096" s="211"/>
    </row>
    <row r="1097" spans="1:17" ht="13" x14ac:dyDescent="0.3">
      <c r="A1097" s="223"/>
      <c r="B1097" s="223"/>
      <c r="C1097" s="223"/>
      <c r="D1097" s="223"/>
      <c r="E1097" s="223"/>
      <c r="F1097" s="223"/>
      <c r="G1097" s="223"/>
      <c r="H1097" s="223"/>
      <c r="I1097" s="223"/>
      <c r="J1097" s="223"/>
      <c r="K1097" s="223"/>
      <c r="L1097" s="223"/>
      <c r="M1097" s="223"/>
      <c r="N1097" s="223"/>
      <c r="O1097" s="223"/>
      <c r="P1097" s="223"/>
      <c r="Q1097" s="223"/>
    </row>
    <row r="1098" spans="1:17" x14ac:dyDescent="0.25">
      <c r="A1098" s="211"/>
      <c r="B1098" s="211"/>
      <c r="C1098" s="211"/>
      <c r="D1098" s="211"/>
      <c r="E1098" s="211"/>
      <c r="F1098" s="211"/>
      <c r="G1098" s="211"/>
      <c r="H1098" s="211"/>
      <c r="I1098" s="211"/>
      <c r="J1098" s="211"/>
      <c r="K1098" s="211"/>
      <c r="L1098" s="211"/>
      <c r="M1098" s="211"/>
      <c r="N1098" s="211"/>
      <c r="O1098" s="211"/>
      <c r="P1098" s="211"/>
      <c r="Q1098" s="211"/>
    </row>
    <row r="1100" spans="1:17" x14ac:dyDescent="0.25">
      <c r="A1100" s="211"/>
      <c r="B1100" s="211"/>
      <c r="C1100" s="211"/>
      <c r="D1100" s="211"/>
      <c r="E1100" s="211"/>
      <c r="F1100" s="211"/>
      <c r="G1100" s="211"/>
      <c r="H1100" s="211"/>
      <c r="I1100" s="211"/>
      <c r="J1100" s="211"/>
      <c r="K1100" s="211"/>
      <c r="L1100" s="211"/>
      <c r="M1100" s="211"/>
      <c r="N1100" s="211"/>
      <c r="O1100" s="211"/>
      <c r="P1100" s="211"/>
      <c r="Q1100" s="211"/>
    </row>
    <row r="1102" spans="1:17" x14ac:dyDescent="0.25"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1:17" x14ac:dyDescent="0.25">
      <c r="D1103" s="13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13"/>
    </row>
    <row r="1117" spans="5:16" x14ac:dyDescent="0.25">
      <c r="E1117" s="201"/>
      <c r="F1117" s="201"/>
      <c r="G1117" s="201"/>
      <c r="H1117" s="201"/>
      <c r="I1117" s="201"/>
      <c r="J1117" s="201"/>
      <c r="K1117" s="201"/>
      <c r="L1117" s="201"/>
      <c r="M1117" s="201"/>
      <c r="N1117" s="201"/>
      <c r="O1117" s="201"/>
      <c r="P1117" s="201"/>
    </row>
    <row r="1120" spans="5:16" x14ac:dyDescent="0.25">
      <c r="F1120" s="201"/>
      <c r="G1120" s="201"/>
      <c r="H1120" s="201"/>
      <c r="I1120" s="201"/>
      <c r="J1120" s="201"/>
      <c r="K1120" s="201"/>
      <c r="L1120" s="201"/>
      <c r="M1120" s="201"/>
      <c r="N1120" s="201"/>
      <c r="O1120" s="201"/>
      <c r="P1120" s="201"/>
    </row>
    <row r="1126" spans="5:16" x14ac:dyDescent="0.25">
      <c r="E1126" s="202"/>
      <c r="F1126" s="202"/>
      <c r="G1126" s="202"/>
      <c r="H1126" s="202"/>
      <c r="I1126" s="202"/>
      <c r="J1126" s="202"/>
      <c r="K1126" s="202"/>
      <c r="L1126" s="202"/>
      <c r="M1126" s="202"/>
      <c r="N1126" s="202"/>
      <c r="O1126" s="202"/>
      <c r="P1126" s="202"/>
    </row>
    <row r="1127" spans="5:16" x14ac:dyDescent="0.25">
      <c r="E1127" s="202"/>
      <c r="F1127" s="202"/>
      <c r="G1127" s="202"/>
      <c r="H1127" s="202"/>
      <c r="I1127" s="202"/>
      <c r="J1127" s="202"/>
      <c r="K1127" s="202"/>
      <c r="L1127" s="202"/>
      <c r="M1127" s="202"/>
      <c r="N1127" s="202"/>
      <c r="O1127" s="202"/>
      <c r="P1127" s="202"/>
    </row>
    <row r="1132" spans="5:16" x14ac:dyDescent="0.25">
      <c r="E1132" s="203"/>
      <c r="F1132" s="203"/>
      <c r="G1132" s="203"/>
      <c r="H1132" s="203"/>
      <c r="I1132" s="203"/>
      <c r="J1132" s="203"/>
      <c r="K1132" s="203"/>
      <c r="L1132" s="203"/>
      <c r="M1132" s="203"/>
      <c r="N1132" s="203"/>
      <c r="O1132" s="203"/>
      <c r="P1132" s="203"/>
    </row>
    <row r="1133" spans="5:16" x14ac:dyDescent="0.25">
      <c r="E1133" s="203"/>
      <c r="F1133" s="203"/>
      <c r="G1133" s="203"/>
      <c r="H1133" s="203"/>
      <c r="I1133" s="203"/>
      <c r="J1133" s="203"/>
      <c r="K1133" s="203"/>
      <c r="L1133" s="203"/>
      <c r="M1133" s="203"/>
      <c r="N1133" s="203"/>
      <c r="O1133" s="203"/>
      <c r="P1133" s="203"/>
    </row>
    <row r="1134" spans="5:16" x14ac:dyDescent="0.25">
      <c r="E1134" s="203"/>
      <c r="F1134" s="203"/>
      <c r="G1134" s="203"/>
      <c r="H1134" s="203"/>
      <c r="I1134" s="203"/>
      <c r="J1134" s="203"/>
      <c r="K1134" s="203"/>
      <c r="L1134" s="203"/>
      <c r="M1134" s="203"/>
      <c r="N1134" s="203"/>
      <c r="O1134" s="203"/>
      <c r="P1134" s="203"/>
    </row>
    <row r="1143" spans="1:17" x14ac:dyDescent="0.25">
      <c r="A1143" s="211"/>
      <c r="B1143" s="211"/>
      <c r="C1143" s="211"/>
      <c r="D1143" s="211"/>
      <c r="E1143" s="211"/>
      <c r="F1143" s="211"/>
      <c r="G1143" s="211"/>
      <c r="H1143" s="211"/>
      <c r="I1143" s="211"/>
      <c r="J1143" s="211"/>
      <c r="K1143" s="211"/>
      <c r="L1143" s="211"/>
      <c r="M1143" s="211"/>
      <c r="N1143" s="211"/>
      <c r="O1143" s="211"/>
      <c r="P1143" s="211"/>
      <c r="Q1143" s="211"/>
    </row>
    <row r="1144" spans="1:17" x14ac:dyDescent="0.25">
      <c r="A1144" s="211"/>
      <c r="B1144" s="211"/>
      <c r="C1144" s="211"/>
      <c r="D1144" s="211"/>
      <c r="E1144" s="211"/>
      <c r="F1144" s="211"/>
      <c r="G1144" s="211"/>
      <c r="H1144" s="211"/>
      <c r="I1144" s="211"/>
      <c r="J1144" s="211"/>
      <c r="K1144" s="211"/>
      <c r="L1144" s="211"/>
      <c r="M1144" s="211"/>
      <c r="N1144" s="211"/>
      <c r="O1144" s="211"/>
      <c r="P1144" s="211"/>
      <c r="Q1144" s="211"/>
    </row>
    <row r="1145" spans="1:17" x14ac:dyDescent="0.25">
      <c r="A1145" s="211"/>
      <c r="B1145" s="211"/>
      <c r="C1145" s="211"/>
      <c r="D1145" s="211"/>
      <c r="E1145" s="211"/>
      <c r="F1145" s="211"/>
      <c r="G1145" s="211"/>
      <c r="H1145" s="211"/>
      <c r="I1145" s="211"/>
      <c r="J1145" s="211"/>
      <c r="K1145" s="211"/>
      <c r="L1145" s="211"/>
      <c r="M1145" s="211"/>
      <c r="N1145" s="211"/>
      <c r="O1145" s="211"/>
      <c r="P1145" s="211"/>
      <c r="Q1145" s="211"/>
    </row>
    <row r="1146" spans="1:17" ht="13" x14ac:dyDescent="0.3">
      <c r="A1146" s="223"/>
      <c r="B1146" s="223"/>
      <c r="C1146" s="223"/>
      <c r="D1146" s="223"/>
      <c r="E1146" s="223"/>
      <c r="F1146" s="223"/>
      <c r="G1146" s="223"/>
      <c r="H1146" s="223"/>
      <c r="I1146" s="223"/>
      <c r="J1146" s="223"/>
      <c r="K1146" s="223"/>
      <c r="L1146" s="223"/>
      <c r="M1146" s="223"/>
      <c r="N1146" s="223"/>
      <c r="O1146" s="223"/>
      <c r="P1146" s="223"/>
      <c r="Q1146" s="223"/>
    </row>
    <row r="1147" spans="1:17" x14ac:dyDescent="0.25">
      <c r="A1147" s="211"/>
      <c r="B1147" s="211"/>
      <c r="C1147" s="211"/>
      <c r="D1147" s="211"/>
      <c r="E1147" s="211"/>
      <c r="F1147" s="211"/>
      <c r="G1147" s="211"/>
      <c r="H1147" s="211"/>
      <c r="I1147" s="211"/>
      <c r="J1147" s="211"/>
      <c r="K1147" s="211"/>
      <c r="L1147" s="211"/>
      <c r="M1147" s="211"/>
      <c r="N1147" s="211"/>
      <c r="O1147" s="211"/>
      <c r="P1147" s="211"/>
      <c r="Q1147" s="211"/>
    </row>
    <row r="1149" spans="1:17" x14ac:dyDescent="0.25">
      <c r="A1149" s="211"/>
      <c r="B1149" s="211"/>
      <c r="C1149" s="211"/>
      <c r="D1149" s="211"/>
      <c r="E1149" s="211"/>
      <c r="F1149" s="211"/>
      <c r="G1149" s="211"/>
      <c r="H1149" s="211"/>
      <c r="I1149" s="211"/>
      <c r="J1149" s="211"/>
      <c r="K1149" s="211"/>
      <c r="L1149" s="211"/>
      <c r="M1149" s="211"/>
      <c r="N1149" s="211"/>
      <c r="O1149" s="211"/>
      <c r="P1149" s="211"/>
      <c r="Q1149" s="211"/>
    </row>
    <row r="1151" spans="1:17" x14ac:dyDescent="0.25"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</row>
    <row r="1152" spans="1:17" x14ac:dyDescent="0.25">
      <c r="D1152" s="13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13"/>
    </row>
    <row r="1166" spans="5:16" x14ac:dyDescent="0.25">
      <c r="E1166" s="201"/>
      <c r="F1166" s="201"/>
      <c r="G1166" s="201"/>
      <c r="H1166" s="201"/>
      <c r="I1166" s="201"/>
      <c r="J1166" s="201"/>
      <c r="K1166" s="201"/>
      <c r="L1166" s="201"/>
      <c r="M1166" s="201"/>
      <c r="N1166" s="201"/>
      <c r="O1166" s="201"/>
      <c r="P1166" s="201"/>
    </row>
    <row r="1169" spans="5:16" x14ac:dyDescent="0.25">
      <c r="F1169" s="201"/>
      <c r="G1169" s="201"/>
      <c r="H1169" s="201"/>
      <c r="I1169" s="201"/>
      <c r="J1169" s="201"/>
      <c r="K1169" s="201"/>
      <c r="L1169" s="201"/>
      <c r="M1169" s="201"/>
      <c r="N1169" s="201"/>
      <c r="O1169" s="201"/>
      <c r="P1169" s="201"/>
    </row>
    <row r="1175" spans="5:16" x14ac:dyDescent="0.25">
      <c r="E1175" s="202"/>
      <c r="F1175" s="202"/>
      <c r="G1175" s="202"/>
      <c r="H1175" s="202"/>
      <c r="I1175" s="202"/>
      <c r="J1175" s="202"/>
      <c r="K1175" s="202"/>
      <c r="L1175" s="202"/>
      <c r="M1175" s="202"/>
      <c r="N1175" s="202"/>
      <c r="O1175" s="202"/>
      <c r="P1175" s="202"/>
    </row>
    <row r="1176" spans="5:16" x14ac:dyDescent="0.25">
      <c r="E1176" s="202"/>
      <c r="F1176" s="202"/>
      <c r="G1176" s="202"/>
      <c r="H1176" s="202"/>
      <c r="I1176" s="202"/>
      <c r="J1176" s="202"/>
      <c r="K1176" s="202"/>
      <c r="L1176" s="202"/>
      <c r="M1176" s="202"/>
      <c r="N1176" s="202"/>
      <c r="O1176" s="202"/>
      <c r="P1176" s="202"/>
    </row>
    <row r="1181" spans="5:16" x14ac:dyDescent="0.25">
      <c r="E1181" s="203"/>
      <c r="F1181" s="203"/>
      <c r="G1181" s="203"/>
      <c r="H1181" s="203"/>
      <c r="I1181" s="203"/>
      <c r="J1181" s="203"/>
      <c r="K1181" s="203"/>
      <c r="L1181" s="203"/>
      <c r="M1181" s="203"/>
      <c r="N1181" s="203"/>
      <c r="O1181" s="203"/>
      <c r="P1181" s="203"/>
    </row>
    <row r="1182" spans="5:16" x14ac:dyDescent="0.25">
      <c r="E1182" s="203"/>
      <c r="F1182" s="203"/>
      <c r="G1182" s="203"/>
      <c r="H1182" s="203"/>
      <c r="I1182" s="203"/>
      <c r="J1182" s="203"/>
      <c r="K1182" s="203"/>
      <c r="L1182" s="203"/>
      <c r="M1182" s="203"/>
      <c r="N1182" s="203"/>
      <c r="O1182" s="203"/>
      <c r="P1182" s="203"/>
    </row>
    <row r="1183" spans="5:16" x14ac:dyDescent="0.25">
      <c r="E1183" s="203"/>
      <c r="F1183" s="203"/>
      <c r="G1183" s="203"/>
      <c r="H1183" s="203"/>
      <c r="I1183" s="203"/>
      <c r="J1183" s="203"/>
      <c r="K1183" s="203"/>
      <c r="L1183" s="203"/>
      <c r="M1183" s="203"/>
      <c r="N1183" s="203"/>
      <c r="O1183" s="203"/>
      <c r="P1183" s="203"/>
    </row>
    <row r="1192" spans="1:17" x14ac:dyDescent="0.25">
      <c r="A1192" s="211"/>
      <c r="B1192" s="211"/>
      <c r="C1192" s="211"/>
      <c r="D1192" s="211"/>
      <c r="E1192" s="211"/>
      <c r="F1192" s="211"/>
      <c r="G1192" s="211"/>
      <c r="H1192" s="211"/>
      <c r="I1192" s="211"/>
      <c r="J1192" s="211"/>
      <c r="K1192" s="211"/>
      <c r="L1192" s="211"/>
      <c r="M1192" s="211"/>
      <c r="N1192" s="211"/>
      <c r="O1192" s="211"/>
      <c r="P1192" s="211"/>
      <c r="Q1192" s="211"/>
    </row>
    <row r="1193" spans="1:17" x14ac:dyDescent="0.25">
      <c r="A1193" s="211"/>
      <c r="B1193" s="211"/>
      <c r="C1193" s="211"/>
      <c r="D1193" s="211"/>
      <c r="E1193" s="211"/>
      <c r="F1193" s="211"/>
      <c r="G1193" s="211"/>
      <c r="H1193" s="211"/>
      <c r="I1193" s="211"/>
      <c r="J1193" s="211"/>
      <c r="K1193" s="211"/>
      <c r="L1193" s="211"/>
      <c r="M1193" s="211"/>
      <c r="N1193" s="211"/>
      <c r="O1193" s="211"/>
      <c r="P1193" s="211"/>
      <c r="Q1193" s="211"/>
    </row>
    <row r="1194" spans="1:17" x14ac:dyDescent="0.25">
      <c r="A1194" s="211"/>
      <c r="B1194" s="211"/>
      <c r="C1194" s="211"/>
      <c r="D1194" s="211"/>
      <c r="E1194" s="211"/>
      <c r="F1194" s="211"/>
      <c r="G1194" s="211"/>
      <c r="H1194" s="211"/>
      <c r="I1194" s="211"/>
      <c r="J1194" s="211"/>
      <c r="K1194" s="211"/>
      <c r="L1194" s="211"/>
      <c r="M1194" s="211"/>
      <c r="N1194" s="211"/>
      <c r="O1194" s="211"/>
      <c r="P1194" s="211"/>
      <c r="Q1194" s="211"/>
    </row>
    <row r="1195" spans="1:17" ht="13" x14ac:dyDescent="0.3">
      <c r="A1195" s="223"/>
      <c r="B1195" s="223"/>
      <c r="C1195" s="223"/>
      <c r="D1195" s="223"/>
      <c r="E1195" s="223"/>
      <c r="F1195" s="223"/>
      <c r="G1195" s="223"/>
      <c r="H1195" s="223"/>
      <c r="I1195" s="223"/>
      <c r="J1195" s="223"/>
      <c r="K1195" s="223"/>
      <c r="L1195" s="223"/>
      <c r="M1195" s="223"/>
      <c r="N1195" s="223"/>
      <c r="O1195" s="223"/>
      <c r="P1195" s="223"/>
      <c r="Q1195" s="223"/>
    </row>
    <row r="1196" spans="1:17" x14ac:dyDescent="0.25">
      <c r="A1196" s="211"/>
      <c r="B1196" s="211"/>
      <c r="C1196" s="211"/>
      <c r="D1196" s="211"/>
      <c r="E1196" s="211"/>
      <c r="F1196" s="211"/>
      <c r="G1196" s="211"/>
      <c r="H1196" s="211"/>
      <c r="I1196" s="211"/>
      <c r="J1196" s="211"/>
      <c r="K1196" s="211"/>
      <c r="L1196" s="211"/>
      <c r="M1196" s="211"/>
      <c r="N1196" s="211"/>
      <c r="O1196" s="211"/>
      <c r="P1196" s="211"/>
      <c r="Q1196" s="211"/>
    </row>
    <row r="1198" spans="1:17" x14ac:dyDescent="0.25">
      <c r="A1198" s="211"/>
      <c r="B1198" s="211"/>
      <c r="C1198" s="211"/>
      <c r="D1198" s="211"/>
      <c r="E1198" s="211"/>
      <c r="F1198" s="211"/>
      <c r="G1198" s="211"/>
      <c r="H1198" s="211"/>
      <c r="I1198" s="211"/>
      <c r="J1198" s="211"/>
      <c r="K1198" s="211"/>
      <c r="L1198" s="211"/>
      <c r="M1198" s="211"/>
      <c r="N1198" s="211"/>
      <c r="O1198" s="211"/>
      <c r="P1198" s="211"/>
      <c r="Q1198" s="211"/>
    </row>
    <row r="1200" spans="1:17" x14ac:dyDescent="0.25"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</row>
    <row r="1201" spans="4:17" x14ac:dyDescent="0.25">
      <c r="D1201" s="13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13"/>
    </row>
    <row r="1215" spans="4:17" x14ac:dyDescent="0.25">
      <c r="E1215" s="201"/>
      <c r="F1215" s="201"/>
      <c r="G1215" s="201"/>
      <c r="H1215" s="201"/>
      <c r="I1215" s="201"/>
      <c r="J1215" s="201"/>
      <c r="K1215" s="201"/>
      <c r="L1215" s="201"/>
      <c r="M1215" s="201"/>
      <c r="N1215" s="201"/>
      <c r="O1215" s="201"/>
      <c r="P1215" s="201"/>
    </row>
    <row r="1218" spans="5:16" x14ac:dyDescent="0.25">
      <c r="F1218" s="201"/>
      <c r="G1218" s="201"/>
      <c r="H1218" s="201"/>
      <c r="I1218" s="201"/>
      <c r="J1218" s="201"/>
      <c r="K1218" s="201"/>
      <c r="L1218" s="201"/>
      <c r="M1218" s="201"/>
      <c r="N1218" s="201"/>
      <c r="O1218" s="201"/>
      <c r="P1218" s="201"/>
    </row>
    <row r="1224" spans="5:16" x14ac:dyDescent="0.25">
      <c r="E1224" s="202"/>
      <c r="F1224" s="202"/>
      <c r="G1224" s="202"/>
      <c r="H1224" s="202"/>
      <c r="I1224" s="202"/>
      <c r="J1224" s="202"/>
      <c r="K1224" s="202"/>
      <c r="L1224" s="202"/>
      <c r="M1224" s="202"/>
      <c r="N1224" s="202"/>
      <c r="O1224" s="202"/>
      <c r="P1224" s="202"/>
    </row>
    <row r="1225" spans="5:16" x14ac:dyDescent="0.25">
      <c r="E1225" s="202"/>
      <c r="F1225" s="202"/>
      <c r="G1225" s="202"/>
      <c r="H1225" s="202"/>
      <c r="I1225" s="202"/>
      <c r="J1225" s="202"/>
      <c r="K1225" s="202"/>
      <c r="L1225" s="202"/>
      <c r="M1225" s="202"/>
      <c r="N1225" s="202"/>
      <c r="O1225" s="202"/>
      <c r="P1225" s="202"/>
    </row>
    <row r="1230" spans="5:16" x14ac:dyDescent="0.25">
      <c r="E1230" s="203"/>
      <c r="F1230" s="203"/>
      <c r="G1230" s="203"/>
      <c r="H1230" s="203"/>
      <c r="I1230" s="203"/>
      <c r="J1230" s="203"/>
      <c r="K1230" s="203"/>
      <c r="L1230" s="203"/>
      <c r="M1230" s="203"/>
      <c r="N1230" s="203"/>
      <c r="O1230" s="203"/>
      <c r="P1230" s="203"/>
    </row>
    <row r="1231" spans="5:16" x14ac:dyDescent="0.25">
      <c r="E1231" s="203"/>
      <c r="F1231" s="203"/>
      <c r="G1231" s="203"/>
      <c r="H1231" s="203"/>
      <c r="I1231" s="203"/>
      <c r="J1231" s="203"/>
      <c r="K1231" s="203"/>
      <c r="L1231" s="203"/>
      <c r="M1231" s="203"/>
      <c r="N1231" s="203"/>
      <c r="O1231" s="203"/>
      <c r="P1231" s="203"/>
    </row>
    <row r="1232" spans="5:16" x14ac:dyDescent="0.25">
      <c r="E1232" s="203"/>
      <c r="F1232" s="203"/>
      <c r="G1232" s="203"/>
      <c r="H1232" s="203"/>
      <c r="I1232" s="203"/>
      <c r="J1232" s="203"/>
      <c r="K1232" s="203"/>
      <c r="L1232" s="203"/>
      <c r="M1232" s="203"/>
      <c r="N1232" s="203"/>
      <c r="O1232" s="203"/>
      <c r="P1232" s="203"/>
    </row>
    <row r="1241" spans="1:17" x14ac:dyDescent="0.25">
      <c r="A1241" s="211"/>
      <c r="B1241" s="211"/>
      <c r="C1241" s="211"/>
      <c r="D1241" s="211"/>
      <c r="E1241" s="211"/>
      <c r="F1241" s="211"/>
      <c r="G1241" s="211"/>
      <c r="H1241" s="211"/>
      <c r="I1241" s="211"/>
      <c r="J1241" s="211"/>
      <c r="K1241" s="211"/>
      <c r="L1241" s="211"/>
      <c r="M1241" s="211"/>
      <c r="N1241" s="211"/>
      <c r="O1241" s="211"/>
      <c r="P1241" s="211"/>
      <c r="Q1241" s="211"/>
    </row>
    <row r="1242" spans="1:17" x14ac:dyDescent="0.25">
      <c r="A1242" s="211"/>
      <c r="B1242" s="211"/>
      <c r="C1242" s="211"/>
      <c r="D1242" s="211"/>
      <c r="E1242" s="211"/>
      <c r="F1242" s="211"/>
      <c r="G1242" s="211"/>
      <c r="H1242" s="211"/>
      <c r="I1242" s="211"/>
      <c r="J1242" s="211"/>
      <c r="K1242" s="211"/>
      <c r="L1242" s="211"/>
      <c r="M1242" s="211"/>
      <c r="N1242" s="211"/>
      <c r="O1242" s="211"/>
      <c r="P1242" s="211"/>
      <c r="Q1242" s="211"/>
    </row>
    <row r="1243" spans="1:17" x14ac:dyDescent="0.25">
      <c r="A1243" s="211"/>
      <c r="B1243" s="211"/>
      <c r="C1243" s="211"/>
      <c r="D1243" s="211"/>
      <c r="E1243" s="211"/>
      <c r="F1243" s="211"/>
      <c r="G1243" s="211"/>
      <c r="H1243" s="211"/>
      <c r="I1243" s="211"/>
      <c r="J1243" s="211"/>
      <c r="K1243" s="211"/>
      <c r="L1243" s="211"/>
      <c r="M1243" s="211"/>
      <c r="N1243" s="211"/>
      <c r="O1243" s="211"/>
      <c r="P1243" s="211"/>
      <c r="Q1243" s="211"/>
    </row>
    <row r="1244" spans="1:17" ht="13" x14ac:dyDescent="0.3">
      <c r="A1244" s="223"/>
      <c r="B1244" s="223"/>
      <c r="C1244" s="223"/>
      <c r="D1244" s="223"/>
      <c r="E1244" s="223"/>
      <c r="F1244" s="223"/>
      <c r="G1244" s="223"/>
      <c r="H1244" s="223"/>
      <c r="I1244" s="223"/>
      <c r="J1244" s="223"/>
      <c r="K1244" s="223"/>
      <c r="L1244" s="223"/>
      <c r="M1244" s="223"/>
      <c r="N1244" s="223"/>
      <c r="O1244" s="223"/>
      <c r="P1244" s="223"/>
      <c r="Q1244" s="223"/>
    </row>
    <row r="1245" spans="1:17" x14ac:dyDescent="0.25">
      <c r="A1245" s="211"/>
      <c r="B1245" s="211"/>
      <c r="C1245" s="211"/>
      <c r="D1245" s="211"/>
      <c r="E1245" s="211"/>
      <c r="F1245" s="211"/>
      <c r="G1245" s="211"/>
      <c r="H1245" s="211"/>
      <c r="I1245" s="211"/>
      <c r="J1245" s="211"/>
      <c r="K1245" s="211"/>
      <c r="L1245" s="211"/>
      <c r="M1245" s="211"/>
      <c r="N1245" s="211"/>
      <c r="O1245" s="211"/>
      <c r="P1245" s="211"/>
      <c r="Q1245" s="211"/>
    </row>
    <row r="1247" spans="1:17" x14ac:dyDescent="0.25">
      <c r="A1247" s="211"/>
      <c r="B1247" s="211"/>
      <c r="C1247" s="211"/>
      <c r="D1247" s="211"/>
      <c r="E1247" s="211"/>
      <c r="F1247" s="211"/>
      <c r="G1247" s="211"/>
      <c r="H1247" s="211"/>
      <c r="I1247" s="211"/>
      <c r="J1247" s="211"/>
      <c r="K1247" s="211"/>
      <c r="L1247" s="211"/>
      <c r="M1247" s="211"/>
      <c r="N1247" s="211"/>
      <c r="O1247" s="211"/>
      <c r="P1247" s="211"/>
      <c r="Q1247" s="211"/>
    </row>
    <row r="1249" spans="4:16" x14ac:dyDescent="0.25"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</row>
    <row r="1250" spans="4:16" x14ac:dyDescent="0.25">
      <c r="D1250" s="13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64" spans="4:16" x14ac:dyDescent="0.25">
      <c r="E1264" s="201"/>
      <c r="F1264" s="201"/>
      <c r="G1264" s="201"/>
      <c r="H1264" s="201"/>
      <c r="I1264" s="201"/>
      <c r="J1264" s="201"/>
      <c r="K1264" s="201"/>
      <c r="L1264" s="201"/>
      <c r="M1264" s="201"/>
      <c r="N1264" s="201"/>
      <c r="O1264" s="201"/>
      <c r="P1264" s="201"/>
    </row>
    <row r="1267" spans="5:16" x14ac:dyDescent="0.25">
      <c r="F1267" s="201"/>
      <c r="G1267" s="201"/>
      <c r="H1267" s="201"/>
      <c r="I1267" s="201"/>
      <c r="J1267" s="201"/>
      <c r="K1267" s="201"/>
      <c r="L1267" s="201"/>
      <c r="M1267" s="201"/>
      <c r="N1267" s="201"/>
      <c r="O1267" s="201"/>
      <c r="P1267" s="201"/>
    </row>
    <row r="1273" spans="5:16" x14ac:dyDescent="0.25">
      <c r="E1273" s="202"/>
      <c r="F1273" s="202"/>
      <c r="G1273" s="202"/>
      <c r="H1273" s="202"/>
      <c r="I1273" s="202"/>
      <c r="J1273" s="202"/>
      <c r="K1273" s="202"/>
      <c r="L1273" s="202"/>
      <c r="M1273" s="202"/>
      <c r="N1273" s="202"/>
      <c r="O1273" s="202"/>
      <c r="P1273" s="202"/>
    </row>
    <row r="1274" spans="5:16" x14ac:dyDescent="0.25">
      <c r="E1274" s="202"/>
      <c r="F1274" s="202"/>
      <c r="G1274" s="202"/>
      <c r="H1274" s="202"/>
      <c r="I1274" s="202"/>
      <c r="J1274" s="202"/>
      <c r="K1274" s="202"/>
      <c r="L1274" s="202"/>
      <c r="M1274" s="202"/>
      <c r="N1274" s="202"/>
      <c r="O1274" s="202"/>
      <c r="P1274" s="202"/>
    </row>
    <row r="1279" spans="5:16" x14ac:dyDescent="0.25">
      <c r="E1279" s="203"/>
      <c r="F1279" s="203"/>
      <c r="G1279" s="203"/>
      <c r="H1279" s="203"/>
      <c r="I1279" s="203"/>
      <c r="J1279" s="203"/>
      <c r="K1279" s="203"/>
      <c r="L1279" s="203"/>
      <c r="M1279" s="203"/>
      <c r="N1279" s="203"/>
      <c r="O1279" s="203"/>
      <c r="P1279" s="203"/>
    </row>
    <row r="1280" spans="5:16" x14ac:dyDescent="0.25">
      <c r="E1280" s="203"/>
      <c r="F1280" s="203"/>
      <c r="G1280" s="203"/>
      <c r="H1280" s="203"/>
      <c r="I1280" s="203"/>
      <c r="J1280" s="203"/>
      <c r="K1280" s="203"/>
      <c r="L1280" s="203"/>
      <c r="M1280" s="203"/>
      <c r="N1280" s="203"/>
      <c r="O1280" s="203"/>
      <c r="P1280" s="203"/>
    </row>
    <row r="1281" spans="1:17" x14ac:dyDescent="0.25">
      <c r="E1281" s="203"/>
      <c r="F1281" s="203"/>
      <c r="G1281" s="203"/>
      <c r="H1281" s="203"/>
      <c r="I1281" s="203"/>
      <c r="J1281" s="203"/>
      <c r="K1281" s="203"/>
      <c r="L1281" s="203"/>
      <c r="M1281" s="203"/>
      <c r="N1281" s="203"/>
      <c r="O1281" s="203"/>
      <c r="P1281" s="203"/>
    </row>
    <row r="1290" spans="1:17" x14ac:dyDescent="0.25">
      <c r="A1290" s="211"/>
      <c r="B1290" s="211"/>
      <c r="C1290" s="211"/>
      <c r="D1290" s="211"/>
      <c r="E1290" s="211"/>
      <c r="F1290" s="211"/>
      <c r="G1290" s="211"/>
      <c r="H1290" s="211"/>
      <c r="I1290" s="211"/>
      <c r="J1290" s="211"/>
      <c r="K1290" s="211"/>
      <c r="L1290" s="211"/>
      <c r="M1290" s="211"/>
      <c r="N1290" s="211"/>
      <c r="O1290" s="211"/>
      <c r="P1290" s="211"/>
      <c r="Q1290" s="211"/>
    </row>
    <row r="1291" spans="1:17" x14ac:dyDescent="0.25">
      <c r="A1291" s="211"/>
      <c r="B1291" s="211"/>
      <c r="C1291" s="211"/>
      <c r="D1291" s="211"/>
      <c r="E1291" s="211"/>
      <c r="F1291" s="211"/>
      <c r="G1291" s="211"/>
      <c r="H1291" s="211"/>
      <c r="I1291" s="211"/>
      <c r="J1291" s="211"/>
      <c r="K1291" s="211"/>
      <c r="L1291" s="211"/>
      <c r="M1291" s="211"/>
      <c r="N1291" s="211"/>
      <c r="O1291" s="211"/>
      <c r="P1291" s="211"/>
      <c r="Q1291" s="211"/>
    </row>
    <row r="1292" spans="1:17" x14ac:dyDescent="0.25">
      <c r="A1292" s="211"/>
      <c r="B1292" s="211"/>
      <c r="C1292" s="211"/>
      <c r="D1292" s="211"/>
      <c r="E1292" s="211"/>
      <c r="F1292" s="211"/>
      <c r="G1292" s="211"/>
      <c r="H1292" s="211"/>
      <c r="I1292" s="211"/>
      <c r="J1292" s="211"/>
      <c r="K1292" s="211"/>
      <c r="L1292" s="211"/>
      <c r="M1292" s="211"/>
      <c r="N1292" s="211"/>
      <c r="O1292" s="211"/>
      <c r="P1292" s="211"/>
      <c r="Q1292" s="211"/>
    </row>
    <row r="1293" spans="1:17" ht="13" x14ac:dyDescent="0.3">
      <c r="A1293" s="223"/>
      <c r="B1293" s="223"/>
      <c r="C1293" s="223"/>
      <c r="D1293" s="223"/>
      <c r="E1293" s="223"/>
      <c r="F1293" s="223"/>
      <c r="G1293" s="223"/>
      <c r="H1293" s="223"/>
      <c r="I1293" s="223"/>
      <c r="J1293" s="223"/>
      <c r="K1293" s="223"/>
      <c r="L1293" s="223"/>
      <c r="M1293" s="223"/>
      <c r="N1293" s="223"/>
      <c r="O1293" s="223"/>
      <c r="P1293" s="223"/>
      <c r="Q1293" s="223"/>
    </row>
    <row r="1294" spans="1:17" x14ac:dyDescent="0.25">
      <c r="A1294" s="211"/>
      <c r="B1294" s="211"/>
      <c r="C1294" s="211"/>
      <c r="D1294" s="211"/>
      <c r="E1294" s="211"/>
      <c r="F1294" s="211"/>
      <c r="G1294" s="211"/>
      <c r="H1294" s="211"/>
      <c r="I1294" s="211"/>
      <c r="J1294" s="211"/>
      <c r="K1294" s="211"/>
      <c r="L1294" s="211"/>
      <c r="M1294" s="211"/>
      <c r="N1294" s="211"/>
      <c r="O1294" s="211"/>
      <c r="P1294" s="211"/>
      <c r="Q1294" s="211"/>
    </row>
    <row r="1296" spans="1:17" x14ac:dyDescent="0.25">
      <c r="A1296" s="211"/>
      <c r="B1296" s="211"/>
      <c r="C1296" s="211"/>
      <c r="D1296" s="211"/>
      <c r="E1296" s="211"/>
      <c r="F1296" s="211"/>
      <c r="G1296" s="211"/>
      <c r="H1296" s="211"/>
      <c r="I1296" s="211"/>
      <c r="J1296" s="211"/>
      <c r="K1296" s="211"/>
      <c r="L1296" s="211"/>
      <c r="M1296" s="211"/>
      <c r="N1296" s="211"/>
      <c r="O1296" s="211"/>
      <c r="P1296" s="211"/>
      <c r="Q1296" s="211"/>
    </row>
    <row r="1298" spans="4:16" x14ac:dyDescent="0.25"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</row>
    <row r="1299" spans="4:16" x14ac:dyDescent="0.25">
      <c r="D1299" s="13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13" spans="5:16" x14ac:dyDescent="0.25">
      <c r="E1313" s="201"/>
      <c r="F1313" s="201"/>
      <c r="G1313" s="201"/>
      <c r="H1313" s="201"/>
      <c r="I1313" s="201"/>
      <c r="J1313" s="201"/>
      <c r="K1313" s="201"/>
      <c r="L1313" s="201"/>
      <c r="M1313" s="201"/>
      <c r="N1313" s="201"/>
      <c r="O1313" s="201"/>
      <c r="P1313" s="201"/>
    </row>
    <row r="1316" spans="5:16" x14ac:dyDescent="0.25">
      <c r="F1316" s="201"/>
      <c r="G1316" s="201"/>
      <c r="H1316" s="201"/>
      <c r="I1316" s="201"/>
      <c r="J1316" s="201"/>
      <c r="K1316" s="201"/>
      <c r="L1316" s="201"/>
      <c r="M1316" s="201"/>
      <c r="N1316" s="201"/>
      <c r="O1316" s="201"/>
      <c r="P1316" s="201"/>
    </row>
    <row r="1322" spans="5:16" x14ac:dyDescent="0.25">
      <c r="E1322" s="202"/>
      <c r="F1322" s="202"/>
      <c r="G1322" s="202"/>
      <c r="H1322" s="202"/>
      <c r="I1322" s="202"/>
      <c r="J1322" s="202"/>
      <c r="K1322" s="202"/>
      <c r="L1322" s="202"/>
      <c r="M1322" s="202"/>
      <c r="N1322" s="202"/>
      <c r="O1322" s="202"/>
      <c r="P1322" s="202"/>
    </row>
    <row r="1323" spans="5:16" x14ac:dyDescent="0.25">
      <c r="E1323" s="202"/>
      <c r="F1323" s="202"/>
      <c r="G1323" s="202"/>
      <c r="H1323" s="202"/>
      <c r="I1323" s="202"/>
      <c r="J1323" s="202"/>
      <c r="K1323" s="202"/>
      <c r="L1323" s="202"/>
      <c r="M1323" s="202"/>
      <c r="N1323" s="202"/>
      <c r="O1323" s="202"/>
      <c r="P1323" s="202"/>
    </row>
    <row r="1328" spans="5:16" x14ac:dyDescent="0.25">
      <c r="E1328" s="203"/>
      <c r="F1328" s="203"/>
      <c r="G1328" s="203"/>
      <c r="H1328" s="203"/>
      <c r="I1328" s="203"/>
      <c r="J1328" s="203"/>
      <c r="K1328" s="203"/>
      <c r="L1328" s="203"/>
      <c r="M1328" s="203"/>
      <c r="N1328" s="203"/>
      <c r="O1328" s="203"/>
      <c r="P1328" s="203"/>
    </row>
    <row r="1329" spans="1:17" x14ac:dyDescent="0.25">
      <c r="E1329" s="203"/>
      <c r="F1329" s="203"/>
      <c r="G1329" s="203"/>
      <c r="H1329" s="203"/>
      <c r="I1329" s="203"/>
      <c r="J1329" s="203"/>
      <c r="K1329" s="203"/>
      <c r="L1329" s="203"/>
      <c r="M1329" s="203"/>
      <c r="N1329" s="203"/>
      <c r="O1329" s="203"/>
      <c r="P1329" s="203"/>
    </row>
    <row r="1330" spans="1:17" x14ac:dyDescent="0.25">
      <c r="E1330" s="203"/>
      <c r="F1330" s="203"/>
      <c r="G1330" s="203"/>
      <c r="H1330" s="203"/>
      <c r="I1330" s="203"/>
      <c r="J1330" s="203"/>
      <c r="K1330" s="203"/>
      <c r="L1330" s="203"/>
      <c r="M1330" s="203"/>
      <c r="N1330" s="203"/>
      <c r="O1330" s="203"/>
      <c r="P1330" s="203"/>
    </row>
    <row r="1338" spans="1:17" ht="16.899999999999999" customHeight="1" x14ac:dyDescent="0.25"/>
    <row r="1339" spans="1:17" x14ac:dyDescent="0.25">
      <c r="A1339" s="211"/>
      <c r="B1339" s="211"/>
      <c r="C1339" s="211"/>
      <c r="D1339" s="211"/>
      <c r="E1339" s="211"/>
      <c r="F1339" s="211"/>
      <c r="G1339" s="211"/>
      <c r="H1339" s="211"/>
      <c r="I1339" s="211"/>
      <c r="J1339" s="211"/>
      <c r="K1339" s="211"/>
      <c r="L1339" s="211"/>
      <c r="M1339" s="211"/>
      <c r="N1339" s="211"/>
      <c r="O1339" s="211"/>
      <c r="P1339" s="211"/>
      <c r="Q1339" s="211"/>
    </row>
    <row r="1340" spans="1:17" x14ac:dyDescent="0.25">
      <c r="A1340" s="211"/>
      <c r="B1340" s="211"/>
      <c r="C1340" s="211"/>
      <c r="D1340" s="211"/>
      <c r="E1340" s="211"/>
      <c r="F1340" s="211"/>
      <c r="G1340" s="211"/>
      <c r="H1340" s="211"/>
      <c r="I1340" s="211"/>
      <c r="J1340" s="211"/>
      <c r="K1340" s="211"/>
      <c r="L1340" s="211"/>
      <c r="M1340" s="211"/>
      <c r="N1340" s="211"/>
      <c r="O1340" s="211"/>
      <c r="P1340" s="211"/>
      <c r="Q1340" s="211"/>
    </row>
    <row r="1341" spans="1:17" x14ac:dyDescent="0.25">
      <c r="A1341" s="211"/>
      <c r="B1341" s="211"/>
      <c r="C1341" s="211"/>
      <c r="D1341" s="211"/>
      <c r="E1341" s="211"/>
      <c r="F1341" s="211"/>
      <c r="G1341" s="211"/>
      <c r="H1341" s="211"/>
      <c r="I1341" s="211"/>
      <c r="J1341" s="211"/>
      <c r="K1341" s="211"/>
      <c r="L1341" s="211"/>
      <c r="M1341" s="211"/>
      <c r="N1341" s="211"/>
      <c r="O1341" s="211"/>
      <c r="P1341" s="211"/>
      <c r="Q1341" s="211"/>
    </row>
    <row r="1342" spans="1:17" ht="13" x14ac:dyDescent="0.3">
      <c r="A1342" s="223"/>
      <c r="B1342" s="223"/>
      <c r="C1342" s="223"/>
      <c r="D1342" s="223"/>
      <c r="E1342" s="223"/>
      <c r="F1342" s="223"/>
      <c r="G1342" s="223"/>
      <c r="H1342" s="223"/>
      <c r="I1342" s="223"/>
      <c r="J1342" s="223"/>
      <c r="K1342" s="223"/>
      <c r="L1342" s="223"/>
      <c r="M1342" s="223"/>
      <c r="N1342" s="223"/>
      <c r="O1342" s="223"/>
      <c r="P1342" s="223"/>
      <c r="Q1342" s="223"/>
    </row>
    <row r="1343" spans="1:17" x14ac:dyDescent="0.25">
      <c r="A1343" s="211"/>
      <c r="B1343" s="211"/>
      <c r="C1343" s="211"/>
      <c r="D1343" s="211"/>
      <c r="E1343" s="211"/>
      <c r="F1343" s="211"/>
      <c r="G1343" s="211"/>
      <c r="H1343" s="211"/>
      <c r="I1343" s="211"/>
      <c r="J1343" s="211"/>
      <c r="K1343" s="211"/>
      <c r="L1343" s="211"/>
      <c r="M1343" s="211"/>
      <c r="N1343" s="211"/>
      <c r="O1343" s="211"/>
      <c r="P1343" s="211"/>
      <c r="Q1343" s="211"/>
    </row>
    <row r="1345" spans="1:17" x14ac:dyDescent="0.25">
      <c r="A1345" s="211"/>
      <c r="B1345" s="211"/>
      <c r="C1345" s="211"/>
      <c r="D1345" s="211"/>
      <c r="E1345" s="211"/>
      <c r="F1345" s="211"/>
      <c r="G1345" s="211"/>
      <c r="H1345" s="211"/>
      <c r="I1345" s="211"/>
      <c r="J1345" s="211"/>
      <c r="K1345" s="211"/>
      <c r="L1345" s="211"/>
      <c r="M1345" s="211"/>
      <c r="N1345" s="211"/>
      <c r="O1345" s="211"/>
      <c r="P1345" s="211"/>
      <c r="Q1345" s="211"/>
    </row>
    <row r="1347" spans="1:17" x14ac:dyDescent="0.25"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</row>
    <row r="1348" spans="1:17" x14ac:dyDescent="0.25">
      <c r="D1348" s="13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62" spans="5:16" x14ac:dyDescent="0.25">
      <c r="E1362" s="201"/>
      <c r="F1362" s="201"/>
      <c r="G1362" s="201"/>
      <c r="H1362" s="201"/>
      <c r="I1362" s="201"/>
      <c r="J1362" s="201"/>
      <c r="K1362" s="201"/>
      <c r="L1362" s="201"/>
      <c r="M1362" s="201"/>
      <c r="N1362" s="201"/>
      <c r="O1362" s="201"/>
      <c r="P1362" s="201"/>
    </row>
    <row r="1365" spans="5:16" x14ac:dyDescent="0.25">
      <c r="F1365" s="201"/>
      <c r="G1365" s="201"/>
      <c r="H1365" s="201"/>
      <c r="I1365" s="201"/>
      <c r="J1365" s="201"/>
      <c r="K1365" s="201"/>
      <c r="L1365" s="201"/>
      <c r="M1365" s="201"/>
      <c r="N1365" s="201"/>
      <c r="O1365" s="201"/>
      <c r="P1365" s="201"/>
    </row>
    <row r="1371" spans="5:16" x14ac:dyDescent="0.25">
      <c r="E1371" s="202"/>
      <c r="F1371" s="202"/>
      <c r="G1371" s="202"/>
      <c r="H1371" s="202"/>
      <c r="I1371" s="202"/>
      <c r="J1371" s="202"/>
      <c r="K1371" s="202"/>
      <c r="L1371" s="202"/>
      <c r="M1371" s="202"/>
      <c r="N1371" s="202"/>
      <c r="O1371" s="202"/>
      <c r="P1371" s="202"/>
    </row>
    <row r="1372" spans="5:16" x14ac:dyDescent="0.25">
      <c r="E1372" s="202"/>
      <c r="F1372" s="202"/>
      <c r="G1372" s="202"/>
      <c r="H1372" s="202"/>
      <c r="I1372" s="202"/>
      <c r="J1372" s="202"/>
      <c r="K1372" s="202"/>
      <c r="L1372" s="202"/>
      <c r="M1372" s="202"/>
      <c r="N1372" s="202"/>
      <c r="O1372" s="202"/>
      <c r="P1372" s="202"/>
    </row>
    <row r="1377" spans="1:17" x14ac:dyDescent="0.25">
      <c r="E1377" s="203"/>
      <c r="F1377" s="203"/>
      <c r="G1377" s="203"/>
      <c r="H1377" s="203"/>
      <c r="I1377" s="203"/>
      <c r="J1377" s="203"/>
      <c r="K1377" s="203"/>
      <c r="L1377" s="203"/>
      <c r="M1377" s="203"/>
      <c r="N1377" s="203"/>
      <c r="O1377" s="203"/>
      <c r="P1377" s="203"/>
    </row>
    <row r="1378" spans="1:17" x14ac:dyDescent="0.25">
      <c r="E1378" s="203"/>
      <c r="F1378" s="203"/>
      <c r="G1378" s="203"/>
      <c r="H1378" s="203"/>
      <c r="I1378" s="203"/>
      <c r="J1378" s="203"/>
      <c r="K1378" s="203"/>
      <c r="L1378" s="203"/>
      <c r="M1378" s="203"/>
      <c r="N1378" s="203"/>
      <c r="O1378" s="203"/>
      <c r="P1378" s="203"/>
    </row>
    <row r="1379" spans="1:17" x14ac:dyDescent="0.25">
      <c r="E1379" s="203"/>
      <c r="F1379" s="203"/>
      <c r="G1379" s="203"/>
      <c r="H1379" s="203"/>
      <c r="I1379" s="203"/>
      <c r="J1379" s="203"/>
      <c r="K1379" s="203"/>
      <c r="L1379" s="203"/>
      <c r="M1379" s="203"/>
      <c r="N1379" s="203"/>
      <c r="O1379" s="203"/>
      <c r="P1379" s="203"/>
    </row>
    <row r="1388" spans="1:17" x14ac:dyDescent="0.25">
      <c r="A1388" s="211"/>
      <c r="B1388" s="211"/>
      <c r="C1388" s="211"/>
      <c r="D1388" s="211"/>
      <c r="E1388" s="211"/>
      <c r="F1388" s="211"/>
      <c r="G1388" s="211"/>
      <c r="H1388" s="211"/>
      <c r="I1388" s="211"/>
      <c r="J1388" s="211"/>
      <c r="K1388" s="211"/>
      <c r="L1388" s="211"/>
      <c r="M1388" s="211"/>
      <c r="N1388" s="211"/>
      <c r="O1388" s="211"/>
      <c r="P1388" s="211"/>
      <c r="Q1388" s="211"/>
    </row>
    <row r="1389" spans="1:17" x14ac:dyDescent="0.25">
      <c r="A1389" s="211"/>
      <c r="B1389" s="211"/>
      <c r="C1389" s="211"/>
      <c r="D1389" s="211"/>
      <c r="E1389" s="211"/>
      <c r="F1389" s="211"/>
      <c r="G1389" s="211"/>
      <c r="H1389" s="211"/>
      <c r="I1389" s="211"/>
      <c r="J1389" s="211"/>
      <c r="K1389" s="211"/>
      <c r="L1389" s="211"/>
      <c r="M1389" s="211"/>
      <c r="N1389" s="211"/>
      <c r="O1389" s="211"/>
      <c r="P1389" s="211"/>
      <c r="Q1389" s="211"/>
    </row>
    <row r="1390" spans="1:17" x14ac:dyDescent="0.25">
      <c r="A1390" s="211"/>
      <c r="B1390" s="211"/>
      <c r="C1390" s="211"/>
      <c r="D1390" s="211"/>
      <c r="E1390" s="211"/>
      <c r="F1390" s="211"/>
      <c r="G1390" s="211"/>
      <c r="H1390" s="211"/>
      <c r="I1390" s="211"/>
      <c r="J1390" s="211"/>
      <c r="K1390" s="211"/>
      <c r="L1390" s="211"/>
      <c r="M1390" s="211"/>
      <c r="N1390" s="211"/>
      <c r="O1390" s="211"/>
      <c r="P1390" s="211"/>
      <c r="Q1390" s="211"/>
    </row>
    <row r="1391" spans="1:17" ht="13" x14ac:dyDescent="0.3">
      <c r="A1391" s="223"/>
      <c r="B1391" s="223"/>
      <c r="C1391" s="223"/>
      <c r="D1391" s="223"/>
      <c r="E1391" s="223"/>
      <c r="F1391" s="223"/>
      <c r="G1391" s="223"/>
      <c r="H1391" s="223"/>
      <c r="I1391" s="223"/>
      <c r="J1391" s="223"/>
      <c r="K1391" s="223"/>
      <c r="L1391" s="223"/>
      <c r="M1391" s="223"/>
      <c r="N1391" s="223"/>
      <c r="O1391" s="223"/>
      <c r="P1391" s="223"/>
      <c r="Q1391" s="223"/>
    </row>
    <row r="1392" spans="1:17" x14ac:dyDescent="0.25">
      <c r="A1392" s="211"/>
      <c r="B1392" s="211"/>
      <c r="C1392" s="211"/>
      <c r="D1392" s="211"/>
      <c r="E1392" s="211"/>
      <c r="F1392" s="211"/>
      <c r="G1392" s="211"/>
      <c r="H1392" s="211"/>
      <c r="I1392" s="211"/>
      <c r="J1392" s="211"/>
      <c r="K1392" s="211"/>
      <c r="L1392" s="211"/>
      <c r="M1392" s="211"/>
      <c r="N1392" s="211"/>
      <c r="O1392" s="211"/>
      <c r="P1392" s="211"/>
      <c r="Q1392" s="211"/>
    </row>
    <row r="1394" spans="1:17" x14ac:dyDescent="0.25">
      <c r="A1394" s="211"/>
      <c r="B1394" s="211"/>
      <c r="C1394" s="211"/>
      <c r="D1394" s="211"/>
      <c r="E1394" s="211"/>
      <c r="F1394" s="211"/>
      <c r="G1394" s="211"/>
      <c r="H1394" s="211"/>
      <c r="I1394" s="211"/>
      <c r="J1394" s="211"/>
      <c r="K1394" s="211"/>
      <c r="L1394" s="211"/>
      <c r="M1394" s="211"/>
      <c r="N1394" s="211"/>
      <c r="O1394" s="211"/>
      <c r="P1394" s="211"/>
      <c r="Q1394" s="211"/>
    </row>
    <row r="1396" spans="1:17" x14ac:dyDescent="0.25"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</row>
    <row r="1397" spans="1:17" x14ac:dyDescent="0.25">
      <c r="D1397" s="13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411" spans="5:16" x14ac:dyDescent="0.25">
      <c r="E1411" s="201"/>
      <c r="F1411" s="201"/>
      <c r="G1411" s="201"/>
      <c r="H1411" s="201"/>
      <c r="I1411" s="201"/>
      <c r="J1411" s="201"/>
      <c r="K1411" s="201"/>
      <c r="L1411" s="201"/>
      <c r="M1411" s="201"/>
      <c r="N1411" s="201"/>
      <c r="O1411" s="201"/>
      <c r="P1411" s="201"/>
    </row>
    <row r="1414" spans="5:16" x14ac:dyDescent="0.25">
      <c r="F1414" s="201"/>
      <c r="G1414" s="201"/>
      <c r="H1414" s="201"/>
      <c r="I1414" s="201"/>
      <c r="J1414" s="201"/>
      <c r="K1414" s="201"/>
      <c r="L1414" s="201"/>
      <c r="M1414" s="201"/>
      <c r="N1414" s="201"/>
      <c r="O1414" s="201"/>
      <c r="P1414" s="201"/>
    </row>
    <row r="1420" spans="5:16" x14ac:dyDescent="0.25">
      <c r="E1420" s="202"/>
      <c r="F1420" s="202"/>
      <c r="G1420" s="202"/>
      <c r="H1420" s="202"/>
      <c r="I1420" s="202"/>
      <c r="J1420" s="202"/>
      <c r="K1420" s="202"/>
      <c r="L1420" s="202"/>
      <c r="M1420" s="202"/>
      <c r="N1420" s="202"/>
      <c r="O1420" s="202"/>
      <c r="P1420" s="202"/>
    </row>
    <row r="1421" spans="5:16" x14ac:dyDescent="0.25">
      <c r="E1421" s="202"/>
      <c r="F1421" s="202"/>
      <c r="G1421" s="202"/>
      <c r="H1421" s="202"/>
      <c r="I1421" s="202"/>
      <c r="J1421" s="202"/>
      <c r="K1421" s="202"/>
      <c r="L1421" s="202"/>
      <c r="M1421" s="202"/>
      <c r="N1421" s="202"/>
      <c r="O1421" s="202"/>
      <c r="P1421" s="202"/>
    </row>
    <row r="1426" spans="2:16" x14ac:dyDescent="0.25">
      <c r="E1426" s="203"/>
      <c r="F1426" s="203"/>
      <c r="G1426" s="203"/>
      <c r="H1426" s="203"/>
      <c r="I1426" s="203"/>
      <c r="J1426" s="203"/>
      <c r="K1426" s="203"/>
      <c r="L1426" s="203"/>
      <c r="M1426" s="203"/>
      <c r="N1426" s="203"/>
      <c r="O1426" s="203"/>
      <c r="P1426" s="203"/>
    </row>
    <row r="1427" spans="2:16" x14ac:dyDescent="0.25">
      <c r="E1427" s="203"/>
      <c r="F1427" s="203"/>
      <c r="G1427" s="203"/>
      <c r="H1427" s="203"/>
      <c r="I1427" s="203"/>
      <c r="J1427" s="203"/>
      <c r="K1427" s="203"/>
      <c r="L1427" s="203"/>
      <c r="M1427" s="203"/>
      <c r="N1427" s="203"/>
      <c r="O1427" s="203"/>
      <c r="P1427" s="203"/>
    </row>
    <row r="1428" spans="2:16" x14ac:dyDescent="0.25">
      <c r="E1428" s="203"/>
      <c r="F1428" s="203"/>
      <c r="G1428" s="203"/>
      <c r="H1428" s="203"/>
      <c r="I1428" s="203"/>
      <c r="J1428" s="203"/>
      <c r="K1428" s="203"/>
      <c r="L1428" s="203"/>
      <c r="M1428" s="203"/>
      <c r="N1428" s="203"/>
      <c r="O1428" s="203"/>
      <c r="P1428" s="203"/>
    </row>
    <row r="1437" spans="2:16" ht="13" x14ac:dyDescent="0.3">
      <c r="B1437" s="187"/>
      <c r="C1437" s="188"/>
      <c r="D1437" s="188"/>
      <c r="E1437" s="188"/>
      <c r="F1437" s="188"/>
      <c r="G1437" s="188"/>
      <c r="H1437" s="187"/>
      <c r="I1437" s="188"/>
    </row>
    <row r="1438" spans="2:16" x14ac:dyDescent="0.25">
      <c r="B1438" s="188"/>
      <c r="C1438" s="188"/>
      <c r="D1438" s="188"/>
      <c r="E1438" s="188"/>
      <c r="F1438" s="188"/>
      <c r="G1438" s="188"/>
      <c r="H1438" s="188"/>
      <c r="I1438" s="188"/>
    </row>
    <row r="1439" spans="2:16" x14ac:dyDescent="0.25">
      <c r="B1439" s="188"/>
      <c r="C1439" s="188"/>
      <c r="D1439" s="188"/>
      <c r="E1439" s="188"/>
      <c r="F1439" s="188"/>
      <c r="G1439" s="188"/>
      <c r="H1439" s="188"/>
      <c r="I1439" s="188"/>
    </row>
    <row r="1440" spans="2:16" ht="13" x14ac:dyDescent="0.3">
      <c r="B1440" s="186"/>
      <c r="C1440" s="188"/>
      <c r="D1440" s="188"/>
      <c r="E1440" s="188"/>
      <c r="F1440" s="188"/>
      <c r="G1440" s="188"/>
      <c r="H1440" s="186"/>
      <c r="I1440" s="188"/>
    </row>
    <row r="1441" spans="1:17" x14ac:dyDescent="0.25">
      <c r="B1441" s="188"/>
      <c r="C1441" s="188"/>
      <c r="D1441" s="188"/>
      <c r="E1441" s="188"/>
      <c r="F1441" s="188"/>
      <c r="G1441" s="188"/>
      <c r="H1441" s="188"/>
      <c r="I1441" s="188"/>
    </row>
    <row r="1442" spans="1:17" x14ac:dyDescent="0.25">
      <c r="B1442" s="188"/>
      <c r="C1442" s="188"/>
      <c r="D1442" s="188"/>
      <c r="E1442" s="188"/>
      <c r="F1442" s="188"/>
      <c r="G1442" s="188"/>
      <c r="H1442" s="188"/>
      <c r="I1442" s="188"/>
    </row>
    <row r="1443" spans="1:17" x14ac:dyDescent="0.25">
      <c r="B1443" s="188"/>
      <c r="C1443" s="188"/>
      <c r="F1443" s="188"/>
      <c r="G1443" s="188"/>
      <c r="H1443" s="188"/>
    </row>
    <row r="1444" spans="1:17" x14ac:dyDescent="0.25">
      <c r="B1444" s="206"/>
      <c r="C1444" s="188"/>
      <c r="D1444" s="188"/>
      <c r="E1444" s="188"/>
      <c r="F1444" s="188"/>
      <c r="G1444" s="188"/>
      <c r="H1444" s="206"/>
      <c r="I1444" s="188"/>
    </row>
    <row r="1445" spans="1:17" x14ac:dyDescent="0.25">
      <c r="B1445" s="188"/>
      <c r="C1445" s="188"/>
      <c r="D1445" s="188"/>
      <c r="E1445" s="188"/>
      <c r="F1445" s="188"/>
      <c r="G1445" s="188"/>
      <c r="H1445" s="188"/>
      <c r="I1445" s="188"/>
    </row>
    <row r="1446" spans="1:17" x14ac:dyDescent="0.25">
      <c r="A1446" s="206"/>
      <c r="B1446" s="206"/>
      <c r="C1446" s="188"/>
      <c r="D1446" s="188"/>
      <c r="E1446" s="188"/>
      <c r="F1446" s="188"/>
      <c r="G1446" s="188"/>
      <c r="H1446" s="188"/>
      <c r="I1446" s="188"/>
    </row>
    <row r="1447" spans="1:17" x14ac:dyDescent="0.25">
      <c r="A1447" s="5"/>
      <c r="B1447" s="5"/>
      <c r="C1447" s="5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5"/>
    </row>
    <row r="1448" spans="1:17" x14ac:dyDescent="0.25">
      <c r="A1448" s="23"/>
      <c r="B1448" s="23"/>
      <c r="C1448" s="23"/>
      <c r="D1448" s="13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x14ac:dyDescent="0.25">
      <c r="A1449" s="23"/>
      <c r="B1449" s="23"/>
      <c r="C1449" s="23"/>
    </row>
    <row r="1450" spans="1:17" x14ac:dyDescent="0.25">
      <c r="A1450" s="23"/>
      <c r="B1450" s="23"/>
      <c r="C1450" s="23"/>
    </row>
    <row r="1451" spans="1:17" x14ac:dyDescent="0.25">
      <c r="A1451" s="23"/>
      <c r="B1451" s="23"/>
      <c r="C1451" s="23"/>
    </row>
    <row r="1452" spans="1:17" x14ac:dyDescent="0.25">
      <c r="A1452" s="23"/>
      <c r="B1452" s="23"/>
      <c r="C1452" s="23"/>
    </row>
    <row r="1453" spans="1:17" x14ac:dyDescent="0.25">
      <c r="A1453" s="23"/>
      <c r="B1453" s="23"/>
      <c r="C1453" s="23"/>
    </row>
    <row r="1454" spans="1:17" x14ac:dyDescent="0.25">
      <c r="A1454" s="23"/>
      <c r="B1454" s="23"/>
      <c r="C1454" s="23"/>
    </row>
    <row r="1455" spans="1:17" x14ac:dyDescent="0.25">
      <c r="A1455" s="23"/>
      <c r="B1455" s="23"/>
      <c r="C1455" s="23"/>
    </row>
    <row r="1456" spans="1:17" x14ac:dyDescent="0.25">
      <c r="A1456" s="23"/>
      <c r="B1456" s="23"/>
      <c r="C1456" s="23"/>
    </row>
    <row r="1457" spans="1:16" x14ac:dyDescent="0.25">
      <c r="A1457" s="23"/>
      <c r="B1457" s="23"/>
      <c r="C1457" s="23"/>
    </row>
    <row r="1458" spans="1:16" x14ac:dyDescent="0.25">
      <c r="A1458" s="23"/>
      <c r="B1458" s="23"/>
      <c r="C1458" s="23"/>
    </row>
    <row r="1459" spans="1:16" x14ac:dyDescent="0.25">
      <c r="A1459" s="23"/>
      <c r="B1459" s="23"/>
      <c r="C1459" s="23"/>
    </row>
    <row r="1460" spans="1:16" x14ac:dyDescent="0.25">
      <c r="A1460" s="23"/>
      <c r="B1460" s="23"/>
      <c r="C1460" s="23"/>
    </row>
    <row r="1461" spans="1:16" x14ac:dyDescent="0.25">
      <c r="A1461" s="23"/>
      <c r="B1461" s="23"/>
      <c r="C1461" s="23"/>
    </row>
    <row r="1462" spans="1:16" x14ac:dyDescent="0.25">
      <c r="A1462" s="23"/>
      <c r="B1462" s="23"/>
      <c r="C1462" s="23"/>
      <c r="E1462" s="201"/>
      <c r="F1462" s="201"/>
      <c r="G1462" s="201"/>
      <c r="H1462" s="201"/>
      <c r="I1462" s="201"/>
      <c r="J1462" s="201"/>
      <c r="K1462" s="201"/>
      <c r="L1462" s="201"/>
      <c r="M1462" s="201"/>
      <c r="N1462" s="201"/>
      <c r="O1462" s="201"/>
      <c r="P1462" s="201"/>
    </row>
    <row r="1463" spans="1:16" x14ac:dyDescent="0.25">
      <c r="A1463" s="23"/>
      <c r="B1463" s="23"/>
      <c r="C1463" s="23"/>
    </row>
    <row r="1464" spans="1:16" x14ac:dyDescent="0.25">
      <c r="A1464" s="23"/>
      <c r="B1464" s="23"/>
      <c r="C1464" s="23"/>
    </row>
    <row r="1465" spans="1:16" x14ac:dyDescent="0.25">
      <c r="A1465" s="23"/>
      <c r="B1465" s="23"/>
      <c r="C1465" s="23"/>
      <c r="F1465" s="201"/>
      <c r="G1465" s="201"/>
      <c r="H1465" s="201"/>
      <c r="I1465" s="201"/>
      <c r="J1465" s="201"/>
      <c r="K1465" s="201"/>
      <c r="L1465" s="201"/>
      <c r="M1465" s="201"/>
      <c r="N1465" s="201"/>
      <c r="O1465" s="201"/>
      <c r="P1465" s="201"/>
    </row>
    <row r="1466" spans="1:16" x14ac:dyDescent="0.25">
      <c r="A1466" s="23"/>
      <c r="B1466" s="23"/>
      <c r="C1466" s="23"/>
    </row>
    <row r="1467" spans="1:16" x14ac:dyDescent="0.25">
      <c r="A1467" s="23"/>
      <c r="B1467" s="23"/>
      <c r="C1467" s="23"/>
    </row>
    <row r="1468" spans="1:16" x14ac:dyDescent="0.25">
      <c r="A1468" s="23"/>
      <c r="B1468" s="23"/>
      <c r="C1468" s="23"/>
    </row>
    <row r="1469" spans="1:16" x14ac:dyDescent="0.25">
      <c r="A1469" s="23"/>
      <c r="B1469" s="23"/>
      <c r="C1469" s="23"/>
    </row>
    <row r="1470" spans="1:16" x14ac:dyDescent="0.25">
      <c r="A1470" s="23"/>
      <c r="B1470" s="23"/>
      <c r="C1470" s="23"/>
    </row>
    <row r="1471" spans="1:16" x14ac:dyDescent="0.25">
      <c r="A1471" s="23"/>
      <c r="B1471" s="23"/>
      <c r="C1471" s="23"/>
      <c r="E1471" s="202"/>
      <c r="F1471" s="202"/>
      <c r="G1471" s="202"/>
      <c r="H1471" s="202"/>
      <c r="I1471" s="202"/>
      <c r="J1471" s="202"/>
      <c r="K1471" s="202"/>
      <c r="L1471" s="202"/>
      <c r="M1471" s="202"/>
      <c r="N1471" s="202"/>
      <c r="O1471" s="202"/>
      <c r="P1471" s="202"/>
    </row>
    <row r="1472" spans="1:16" x14ac:dyDescent="0.25">
      <c r="A1472" s="23"/>
      <c r="B1472" s="23"/>
      <c r="C1472" s="23"/>
      <c r="E1472" s="202"/>
      <c r="F1472" s="202"/>
      <c r="G1472" s="202"/>
      <c r="H1472" s="202"/>
      <c r="I1472" s="202"/>
      <c r="J1472" s="202"/>
      <c r="K1472" s="202"/>
      <c r="L1472" s="202"/>
      <c r="M1472" s="202"/>
      <c r="N1472" s="202"/>
      <c r="O1472" s="202"/>
      <c r="P1472" s="202"/>
    </row>
    <row r="1473" spans="1:16" x14ac:dyDescent="0.25">
      <c r="A1473" s="23"/>
      <c r="B1473" s="23"/>
      <c r="C1473" s="23"/>
    </row>
    <row r="1474" spans="1:16" x14ac:dyDescent="0.25">
      <c r="A1474" s="23"/>
      <c r="B1474" s="23"/>
      <c r="C1474" s="23"/>
    </row>
    <row r="1475" spans="1:16" x14ac:dyDescent="0.25">
      <c r="A1475" s="23"/>
      <c r="B1475" s="23"/>
      <c r="C1475" s="23"/>
    </row>
    <row r="1476" spans="1:16" x14ac:dyDescent="0.25">
      <c r="A1476" s="23"/>
      <c r="B1476" s="23"/>
      <c r="C1476" s="23"/>
    </row>
    <row r="1477" spans="1:16" x14ac:dyDescent="0.25">
      <c r="A1477" s="23"/>
      <c r="B1477" s="23"/>
      <c r="C1477" s="23"/>
      <c r="E1477" s="203"/>
      <c r="F1477" s="203"/>
      <c r="G1477" s="203"/>
      <c r="H1477" s="203"/>
      <c r="I1477" s="203"/>
      <c r="J1477" s="203"/>
      <c r="K1477" s="203"/>
      <c r="L1477" s="203"/>
      <c r="M1477" s="203"/>
      <c r="N1477" s="203"/>
      <c r="O1477" s="203"/>
      <c r="P1477" s="203"/>
    </row>
    <row r="1478" spans="1:16" x14ac:dyDescent="0.25">
      <c r="A1478" s="23"/>
      <c r="B1478" s="23"/>
      <c r="C1478" s="23"/>
      <c r="E1478" s="203"/>
      <c r="F1478" s="203"/>
      <c r="G1478" s="203"/>
      <c r="H1478" s="203"/>
      <c r="I1478" s="203"/>
      <c r="J1478" s="203"/>
      <c r="K1478" s="203"/>
      <c r="L1478" s="203"/>
      <c r="M1478" s="203"/>
      <c r="N1478" s="203"/>
      <c r="O1478" s="203"/>
      <c r="P1478" s="203"/>
    </row>
    <row r="1479" spans="1:16" x14ac:dyDescent="0.25">
      <c r="A1479" s="23"/>
      <c r="B1479" s="23"/>
      <c r="C1479" s="23"/>
      <c r="E1479" s="203"/>
      <c r="F1479" s="203"/>
      <c r="G1479" s="203"/>
      <c r="H1479" s="203"/>
      <c r="I1479" s="203"/>
      <c r="J1479" s="203"/>
      <c r="K1479" s="203"/>
      <c r="L1479" s="203"/>
      <c r="M1479" s="203"/>
      <c r="N1479" s="203"/>
      <c r="O1479" s="203"/>
      <c r="P1479" s="203"/>
    </row>
    <row r="1480" spans="1:16" x14ac:dyDescent="0.25">
      <c r="A1480" s="23"/>
      <c r="B1480" s="23"/>
      <c r="C1480" s="23"/>
    </row>
    <row r="1481" spans="1:16" x14ac:dyDescent="0.25">
      <c r="A1481" s="23"/>
      <c r="B1481" s="23"/>
      <c r="C1481" s="23"/>
    </row>
    <row r="1482" spans="1:16" x14ac:dyDescent="0.25">
      <c r="A1482" s="23"/>
      <c r="B1482" s="23"/>
      <c r="C1482" s="23"/>
    </row>
    <row r="1488" spans="1:16" ht="13" x14ac:dyDescent="0.3">
      <c r="B1488" s="187"/>
      <c r="C1488" s="188"/>
      <c r="D1488" s="188"/>
      <c r="E1488" s="188"/>
      <c r="F1488" s="188"/>
      <c r="G1488" s="188"/>
      <c r="H1488" s="187"/>
      <c r="I1488" s="188"/>
    </row>
    <row r="1489" spans="1:17" x14ac:dyDescent="0.25">
      <c r="B1489" s="188"/>
      <c r="C1489" s="188"/>
      <c r="D1489" s="188"/>
      <c r="E1489" s="188"/>
      <c r="F1489" s="188"/>
      <c r="G1489" s="188"/>
      <c r="H1489" s="188"/>
      <c r="I1489" s="188"/>
    </row>
    <row r="1490" spans="1:17" ht="13" x14ac:dyDescent="0.3">
      <c r="B1490" s="188"/>
      <c r="C1490" s="188"/>
      <c r="D1490" s="188"/>
      <c r="E1490" s="188"/>
      <c r="F1490" s="188"/>
      <c r="G1490" s="188"/>
      <c r="H1490" s="186"/>
      <c r="I1490" s="188"/>
    </row>
    <row r="1491" spans="1:17" ht="13" x14ac:dyDescent="0.3">
      <c r="B1491" s="186"/>
      <c r="C1491" s="188"/>
      <c r="D1491" s="188"/>
      <c r="E1491" s="188"/>
      <c r="F1491" s="188"/>
      <c r="G1491" s="188"/>
      <c r="H1491" s="186"/>
      <c r="I1491" s="188"/>
    </row>
    <row r="1492" spans="1:17" x14ac:dyDescent="0.25">
      <c r="B1492" s="188"/>
      <c r="C1492" s="188"/>
      <c r="D1492" s="188"/>
      <c r="E1492" s="188"/>
      <c r="F1492" s="188"/>
      <c r="G1492" s="188"/>
      <c r="H1492" s="188"/>
      <c r="I1492" s="188"/>
    </row>
    <row r="1493" spans="1:17" x14ac:dyDescent="0.25">
      <c r="B1493" s="188"/>
      <c r="C1493" s="188"/>
      <c r="D1493" s="188"/>
      <c r="E1493" s="188"/>
      <c r="F1493" s="188"/>
      <c r="G1493" s="188"/>
      <c r="H1493" s="188"/>
      <c r="I1493" s="188"/>
    </row>
    <row r="1494" spans="1:17" x14ac:dyDescent="0.25">
      <c r="B1494" s="188"/>
      <c r="C1494" s="188"/>
      <c r="F1494" s="188"/>
      <c r="G1494" s="188"/>
      <c r="H1494" s="188"/>
    </row>
    <row r="1495" spans="1:17" x14ac:dyDescent="0.25">
      <c r="B1495" s="206"/>
      <c r="C1495" s="188"/>
      <c r="D1495" s="188"/>
      <c r="E1495" s="188"/>
      <c r="F1495" s="188"/>
      <c r="G1495" s="188"/>
      <c r="H1495" s="206"/>
      <c r="I1495" s="188"/>
    </row>
    <row r="1496" spans="1:17" x14ac:dyDescent="0.25">
      <c r="B1496" s="188"/>
      <c r="C1496" s="188"/>
      <c r="D1496" s="188"/>
      <c r="E1496" s="188"/>
      <c r="F1496" s="188"/>
      <c r="G1496" s="188"/>
      <c r="H1496" s="188"/>
      <c r="I1496" s="188"/>
    </row>
    <row r="1497" spans="1:17" x14ac:dyDescent="0.25">
      <c r="A1497" s="206"/>
      <c r="B1497" s="206"/>
      <c r="C1497" s="188"/>
      <c r="D1497" s="188"/>
      <c r="E1497" s="188"/>
      <c r="F1497" s="188"/>
      <c r="G1497" s="188"/>
      <c r="H1497" s="188"/>
      <c r="I1497" s="188"/>
    </row>
    <row r="1498" spans="1:17" x14ac:dyDescent="0.25">
      <c r="A1498" s="5"/>
      <c r="B1498" s="5"/>
      <c r="C1498" s="5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5"/>
    </row>
    <row r="1499" spans="1:17" x14ac:dyDescent="0.25">
      <c r="A1499" s="23"/>
      <c r="B1499" s="23"/>
      <c r="C1499" s="23"/>
      <c r="D1499" s="13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</row>
    <row r="1500" spans="1:17" x14ac:dyDescent="0.25">
      <c r="A1500" s="23"/>
      <c r="B1500" s="23"/>
      <c r="C1500" s="23"/>
    </row>
    <row r="1501" spans="1:17" x14ac:dyDescent="0.25">
      <c r="A1501" s="23"/>
      <c r="B1501" s="23"/>
      <c r="C1501" s="23"/>
    </row>
    <row r="1502" spans="1:17" x14ac:dyDescent="0.25">
      <c r="A1502" s="23"/>
      <c r="B1502" s="23"/>
      <c r="C1502" s="23"/>
    </row>
    <row r="1503" spans="1:17" x14ac:dyDescent="0.25">
      <c r="A1503" s="23"/>
      <c r="B1503" s="23"/>
      <c r="C1503" s="23"/>
    </row>
    <row r="1504" spans="1:17" x14ac:dyDescent="0.25">
      <c r="A1504" s="23"/>
      <c r="B1504" s="23"/>
      <c r="C1504" s="23"/>
    </row>
    <row r="1505" spans="1:16" x14ac:dyDescent="0.25">
      <c r="A1505" s="23"/>
      <c r="B1505" s="23"/>
      <c r="C1505" s="23"/>
    </row>
    <row r="1506" spans="1:16" x14ac:dyDescent="0.25">
      <c r="A1506" s="23"/>
      <c r="B1506" s="23"/>
      <c r="C1506" s="23"/>
    </row>
    <row r="1507" spans="1:16" x14ac:dyDescent="0.25">
      <c r="A1507" s="23"/>
      <c r="B1507" s="23"/>
      <c r="C1507" s="23"/>
    </row>
    <row r="1508" spans="1:16" x14ac:dyDescent="0.25">
      <c r="A1508" s="23"/>
      <c r="B1508" s="23"/>
      <c r="C1508" s="23"/>
    </row>
    <row r="1509" spans="1:16" x14ac:dyDescent="0.25">
      <c r="A1509" s="23"/>
      <c r="B1509" s="23"/>
      <c r="C1509" s="23"/>
    </row>
    <row r="1510" spans="1:16" x14ac:dyDescent="0.25">
      <c r="A1510" s="23"/>
      <c r="B1510" s="23"/>
      <c r="C1510" s="23"/>
    </row>
    <row r="1511" spans="1:16" x14ac:dyDescent="0.25">
      <c r="A1511" s="23"/>
      <c r="B1511" s="23"/>
      <c r="C1511" s="23"/>
    </row>
    <row r="1512" spans="1:16" x14ac:dyDescent="0.25">
      <c r="A1512" s="23"/>
      <c r="B1512" s="23"/>
      <c r="C1512" s="23"/>
    </row>
    <row r="1513" spans="1:16" x14ac:dyDescent="0.25">
      <c r="A1513" s="23"/>
      <c r="B1513" s="23"/>
      <c r="C1513" s="23"/>
      <c r="E1513" s="201"/>
      <c r="F1513" s="201"/>
      <c r="G1513" s="201"/>
      <c r="H1513" s="201"/>
      <c r="I1513" s="201"/>
      <c r="J1513" s="201"/>
      <c r="K1513" s="201"/>
      <c r="L1513" s="201"/>
      <c r="M1513" s="201"/>
      <c r="N1513" s="201"/>
      <c r="O1513" s="201"/>
      <c r="P1513" s="201"/>
    </row>
    <row r="1514" spans="1:16" x14ac:dyDescent="0.25">
      <c r="A1514" s="23"/>
      <c r="B1514" s="23"/>
      <c r="C1514" s="23"/>
    </row>
    <row r="1515" spans="1:16" x14ac:dyDescent="0.25">
      <c r="A1515" s="23"/>
      <c r="B1515" s="23"/>
      <c r="C1515" s="23"/>
    </row>
    <row r="1516" spans="1:16" x14ac:dyDescent="0.25">
      <c r="A1516" s="23"/>
      <c r="B1516" s="23"/>
      <c r="C1516" s="23"/>
      <c r="F1516" s="201"/>
      <c r="G1516" s="201"/>
      <c r="H1516" s="201"/>
      <c r="I1516" s="201"/>
      <c r="J1516" s="201"/>
      <c r="K1516" s="201"/>
      <c r="L1516" s="201"/>
      <c r="M1516" s="201"/>
      <c r="N1516" s="201"/>
      <c r="O1516" s="201"/>
      <c r="P1516" s="201"/>
    </row>
    <row r="1517" spans="1:16" x14ac:dyDescent="0.25">
      <c r="A1517" s="23"/>
      <c r="B1517" s="23"/>
      <c r="C1517" s="23"/>
    </row>
    <row r="1518" spans="1:16" x14ac:dyDescent="0.25">
      <c r="A1518" s="23"/>
      <c r="B1518" s="23"/>
      <c r="C1518" s="23"/>
    </row>
    <row r="1519" spans="1:16" x14ac:dyDescent="0.25">
      <c r="A1519" s="23"/>
      <c r="B1519" s="23"/>
      <c r="C1519" s="23"/>
    </row>
    <row r="1520" spans="1:16" x14ac:dyDescent="0.25">
      <c r="A1520" s="23"/>
      <c r="B1520" s="23"/>
      <c r="C1520" s="23"/>
    </row>
    <row r="1521" spans="1:16" x14ac:dyDescent="0.25">
      <c r="A1521" s="23"/>
      <c r="B1521" s="23"/>
      <c r="C1521" s="23"/>
    </row>
    <row r="1522" spans="1:16" x14ac:dyDescent="0.25">
      <c r="A1522" s="23"/>
      <c r="B1522" s="23"/>
      <c r="C1522" s="23"/>
      <c r="E1522" s="202"/>
      <c r="F1522" s="202"/>
      <c r="G1522" s="202"/>
      <c r="H1522" s="202"/>
      <c r="I1522" s="202"/>
      <c r="J1522" s="202"/>
      <c r="K1522" s="202"/>
      <c r="L1522" s="202"/>
      <c r="M1522" s="202"/>
      <c r="N1522" s="202"/>
      <c r="O1522" s="202"/>
      <c r="P1522" s="202"/>
    </row>
    <row r="1523" spans="1:16" x14ac:dyDescent="0.25">
      <c r="A1523" s="23"/>
      <c r="B1523" s="23"/>
      <c r="C1523" s="23"/>
      <c r="E1523" s="202"/>
      <c r="F1523" s="202"/>
      <c r="G1523" s="202"/>
      <c r="H1523" s="202"/>
      <c r="I1523" s="202"/>
      <c r="J1523" s="202"/>
      <c r="K1523" s="202"/>
      <c r="L1523" s="202"/>
      <c r="M1523" s="202"/>
      <c r="N1523" s="202"/>
      <c r="O1523" s="202"/>
      <c r="P1523" s="202"/>
    </row>
    <row r="1524" spans="1:16" x14ac:dyDescent="0.25">
      <c r="A1524" s="23"/>
      <c r="B1524" s="23"/>
      <c r="C1524" s="23"/>
    </row>
    <row r="1525" spans="1:16" x14ac:dyDescent="0.25">
      <c r="A1525" s="23"/>
      <c r="B1525" s="23"/>
      <c r="C1525" s="23"/>
    </row>
    <row r="1526" spans="1:16" x14ac:dyDescent="0.25">
      <c r="A1526" s="23"/>
      <c r="B1526" s="23"/>
      <c r="C1526" s="23"/>
    </row>
    <row r="1527" spans="1:16" x14ac:dyDescent="0.25">
      <c r="A1527" s="23"/>
      <c r="B1527" s="23"/>
      <c r="C1527" s="23"/>
    </row>
    <row r="1528" spans="1:16" x14ac:dyDescent="0.25">
      <c r="A1528" s="23"/>
      <c r="B1528" s="23"/>
      <c r="C1528" s="23"/>
      <c r="E1528" s="203"/>
      <c r="F1528" s="203"/>
      <c r="G1528" s="203"/>
      <c r="H1528" s="203"/>
      <c r="I1528" s="203"/>
      <c r="J1528" s="203"/>
      <c r="K1528" s="203"/>
      <c r="L1528" s="203"/>
      <c r="M1528" s="203"/>
      <c r="N1528" s="203"/>
      <c r="O1528" s="203"/>
      <c r="P1528" s="203"/>
    </row>
    <row r="1529" spans="1:16" x14ac:dyDescent="0.25">
      <c r="A1529" s="23"/>
      <c r="B1529" s="23"/>
      <c r="C1529" s="23"/>
      <c r="E1529" s="203"/>
      <c r="F1529" s="203"/>
      <c r="G1529" s="203"/>
      <c r="H1529" s="203"/>
      <c r="I1529" s="203"/>
      <c r="J1529" s="203"/>
      <c r="K1529" s="203"/>
      <c r="L1529" s="203"/>
      <c r="M1529" s="203"/>
      <c r="N1529" s="203"/>
      <c r="O1529" s="203"/>
      <c r="P1529" s="203"/>
    </row>
    <row r="1530" spans="1:16" x14ac:dyDescent="0.25">
      <c r="A1530" s="23"/>
      <c r="B1530" s="23"/>
      <c r="C1530" s="23"/>
      <c r="E1530" s="203"/>
      <c r="F1530" s="203"/>
      <c r="G1530" s="203"/>
      <c r="H1530" s="203"/>
      <c r="I1530" s="203"/>
      <c r="J1530" s="203"/>
      <c r="K1530" s="203"/>
      <c r="L1530" s="203"/>
      <c r="M1530" s="203"/>
      <c r="N1530" s="203"/>
      <c r="O1530" s="203"/>
      <c r="P1530" s="203"/>
    </row>
    <row r="1531" spans="1:16" x14ac:dyDescent="0.25">
      <c r="A1531" s="23"/>
      <c r="B1531" s="23"/>
      <c r="C1531" s="23"/>
    </row>
    <row r="1532" spans="1:16" x14ac:dyDescent="0.25">
      <c r="A1532" s="23"/>
      <c r="B1532" s="23"/>
      <c r="C1532" s="23"/>
    </row>
    <row r="1533" spans="1:16" x14ac:dyDescent="0.25">
      <c r="A1533" s="23"/>
      <c r="B1533" s="23"/>
      <c r="C1533" s="23"/>
    </row>
    <row r="1539" spans="1:17" ht="13" x14ac:dyDescent="0.3">
      <c r="B1539" s="187"/>
      <c r="C1539" s="188"/>
      <c r="D1539" s="188"/>
      <c r="E1539" s="188"/>
      <c r="F1539" s="188"/>
      <c r="G1539" s="188"/>
      <c r="H1539" s="187"/>
      <c r="I1539" s="188"/>
    </row>
    <row r="1540" spans="1:17" x14ac:dyDescent="0.25">
      <c r="B1540" s="188"/>
      <c r="C1540" s="188"/>
      <c r="D1540" s="188"/>
      <c r="E1540" s="188"/>
      <c r="F1540" s="188"/>
      <c r="G1540" s="188"/>
      <c r="H1540" s="188"/>
      <c r="I1540" s="188"/>
    </row>
    <row r="1541" spans="1:17" ht="13" x14ac:dyDescent="0.3">
      <c r="B1541" s="188"/>
      <c r="C1541" s="188"/>
      <c r="D1541" s="188"/>
      <c r="E1541" s="188"/>
      <c r="F1541" s="188"/>
      <c r="G1541" s="188"/>
      <c r="H1541" s="186"/>
      <c r="I1541" s="188"/>
    </row>
    <row r="1542" spans="1:17" ht="13" x14ac:dyDescent="0.3">
      <c r="B1542" s="186"/>
      <c r="C1542" s="188"/>
      <c r="D1542" s="188"/>
      <c r="E1542" s="188"/>
      <c r="F1542" s="188"/>
      <c r="G1542" s="188"/>
      <c r="H1542" s="186"/>
      <c r="I1542" s="188"/>
    </row>
    <row r="1543" spans="1:17" x14ac:dyDescent="0.25">
      <c r="B1543" s="188"/>
      <c r="C1543" s="188"/>
      <c r="D1543" s="188"/>
      <c r="E1543" s="188"/>
      <c r="F1543" s="188"/>
      <c r="G1543" s="188"/>
      <c r="H1543" s="188"/>
      <c r="I1543" s="188"/>
    </row>
    <row r="1544" spans="1:17" x14ac:dyDescent="0.25">
      <c r="B1544" s="188"/>
      <c r="C1544" s="188"/>
      <c r="D1544" s="188"/>
      <c r="E1544" s="188"/>
      <c r="F1544" s="188"/>
      <c r="G1544" s="188"/>
      <c r="H1544" s="188"/>
      <c r="I1544" s="188"/>
    </row>
    <row r="1545" spans="1:17" x14ac:dyDescent="0.25">
      <c r="B1545" s="188"/>
      <c r="C1545" s="188"/>
      <c r="F1545" s="188"/>
      <c r="G1545" s="188"/>
      <c r="H1545" s="188"/>
    </row>
    <row r="1546" spans="1:17" x14ac:dyDescent="0.25">
      <c r="B1546" s="206"/>
      <c r="C1546" s="188"/>
      <c r="D1546" s="188"/>
      <c r="E1546" s="188"/>
      <c r="F1546" s="188"/>
      <c r="G1546" s="188"/>
      <c r="H1546" s="206"/>
      <c r="I1546" s="188"/>
    </row>
    <row r="1547" spans="1:17" x14ac:dyDescent="0.25">
      <c r="B1547" s="188"/>
      <c r="C1547" s="188"/>
      <c r="D1547" s="188"/>
      <c r="E1547" s="188"/>
      <c r="F1547" s="188"/>
      <c r="G1547" s="188"/>
      <c r="H1547" s="188"/>
      <c r="I1547" s="188"/>
    </row>
    <row r="1548" spans="1:17" x14ac:dyDescent="0.25">
      <c r="A1548" s="206"/>
      <c r="B1548" s="206"/>
      <c r="C1548" s="188"/>
      <c r="D1548" s="188"/>
      <c r="E1548" s="188"/>
      <c r="F1548" s="188"/>
      <c r="G1548" s="188"/>
      <c r="H1548" s="188"/>
      <c r="I1548" s="188"/>
    </row>
    <row r="1549" spans="1:17" x14ac:dyDescent="0.25">
      <c r="A1549" s="5"/>
      <c r="B1549" s="5"/>
      <c r="C1549" s="5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5"/>
    </row>
    <row r="1550" spans="1:17" x14ac:dyDescent="0.25">
      <c r="A1550" s="23"/>
      <c r="B1550" s="23"/>
      <c r="C1550" s="23"/>
      <c r="D1550" s="13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</row>
    <row r="1551" spans="1:17" x14ac:dyDescent="0.25">
      <c r="A1551" s="23"/>
      <c r="B1551" s="23"/>
      <c r="C1551" s="23"/>
    </row>
    <row r="1552" spans="1:17" x14ac:dyDescent="0.25">
      <c r="A1552" s="23"/>
      <c r="B1552" s="23"/>
      <c r="C1552" s="23"/>
    </row>
    <row r="1553" spans="1:16" x14ac:dyDescent="0.25">
      <c r="A1553" s="23"/>
      <c r="B1553" s="23"/>
      <c r="C1553" s="23"/>
    </row>
    <row r="1554" spans="1:16" x14ac:dyDescent="0.25">
      <c r="A1554" s="23"/>
      <c r="B1554" s="23"/>
      <c r="C1554" s="23"/>
    </row>
    <row r="1555" spans="1:16" x14ac:dyDescent="0.25">
      <c r="A1555" s="23"/>
      <c r="B1555" s="23"/>
      <c r="C1555" s="23"/>
    </row>
    <row r="1556" spans="1:16" x14ac:dyDescent="0.25">
      <c r="A1556" s="23"/>
      <c r="B1556" s="23"/>
      <c r="C1556" s="23"/>
    </row>
    <row r="1557" spans="1:16" x14ac:dyDescent="0.25">
      <c r="A1557" s="23"/>
      <c r="B1557" s="23"/>
      <c r="C1557" s="23"/>
    </row>
    <row r="1558" spans="1:16" x14ac:dyDescent="0.25">
      <c r="A1558" s="23"/>
      <c r="B1558" s="23"/>
      <c r="C1558" s="23"/>
    </row>
    <row r="1559" spans="1:16" x14ac:dyDescent="0.25">
      <c r="A1559" s="23"/>
      <c r="B1559" s="23"/>
      <c r="C1559" s="23"/>
    </row>
    <row r="1560" spans="1:16" x14ac:dyDescent="0.25">
      <c r="A1560" s="23"/>
      <c r="B1560" s="23"/>
      <c r="C1560" s="23"/>
    </row>
    <row r="1561" spans="1:16" x14ac:dyDescent="0.25">
      <c r="A1561" s="23"/>
      <c r="B1561" s="23"/>
      <c r="C1561" s="23"/>
    </row>
    <row r="1562" spans="1:16" x14ac:dyDescent="0.25">
      <c r="A1562" s="23"/>
      <c r="B1562" s="23"/>
      <c r="C1562" s="23"/>
    </row>
    <row r="1563" spans="1:16" x14ac:dyDescent="0.25">
      <c r="A1563" s="23"/>
      <c r="B1563" s="23"/>
      <c r="C1563" s="23"/>
    </row>
    <row r="1564" spans="1:16" x14ac:dyDescent="0.25">
      <c r="A1564" s="23"/>
      <c r="B1564" s="23"/>
      <c r="C1564" s="23"/>
      <c r="E1564" s="201"/>
      <c r="F1564" s="201"/>
      <c r="G1564" s="201"/>
      <c r="H1564" s="201"/>
      <c r="I1564" s="201"/>
      <c r="J1564" s="201"/>
      <c r="K1564" s="201"/>
      <c r="L1564" s="201"/>
      <c r="M1564" s="201"/>
      <c r="N1564" s="201"/>
      <c r="O1564" s="201"/>
      <c r="P1564" s="201"/>
    </row>
    <row r="1565" spans="1:16" x14ac:dyDescent="0.25">
      <c r="A1565" s="23"/>
      <c r="B1565" s="23"/>
      <c r="C1565" s="23"/>
    </row>
    <row r="1566" spans="1:16" x14ac:dyDescent="0.25">
      <c r="A1566" s="23"/>
      <c r="B1566" s="23"/>
      <c r="C1566" s="23"/>
    </row>
    <row r="1567" spans="1:16" x14ac:dyDescent="0.25">
      <c r="A1567" s="23"/>
      <c r="B1567" s="23"/>
      <c r="C1567" s="23"/>
      <c r="F1567" s="201"/>
      <c r="G1567" s="201"/>
      <c r="H1567" s="201"/>
      <c r="I1567" s="201"/>
      <c r="J1567" s="201"/>
      <c r="K1567" s="201"/>
      <c r="L1567" s="201"/>
      <c r="M1567" s="201"/>
      <c r="N1567" s="201"/>
      <c r="O1567" s="201"/>
      <c r="P1567" s="201"/>
    </row>
    <row r="1568" spans="1:16" x14ac:dyDescent="0.25">
      <c r="A1568" s="23"/>
      <c r="B1568" s="23"/>
      <c r="C1568" s="23"/>
    </row>
    <row r="1569" spans="1:16" x14ac:dyDescent="0.25">
      <c r="A1569" s="23"/>
      <c r="B1569" s="23"/>
      <c r="C1569" s="23"/>
    </row>
    <row r="1570" spans="1:16" x14ac:dyDescent="0.25">
      <c r="A1570" s="23"/>
      <c r="B1570" s="23"/>
      <c r="C1570" s="23"/>
    </row>
    <row r="1571" spans="1:16" x14ac:dyDescent="0.25">
      <c r="A1571" s="23"/>
      <c r="B1571" s="23"/>
      <c r="C1571" s="23"/>
    </row>
    <row r="1572" spans="1:16" x14ac:dyDescent="0.25">
      <c r="A1572" s="23"/>
      <c r="B1572" s="23"/>
      <c r="C1572" s="23"/>
    </row>
    <row r="1573" spans="1:16" x14ac:dyDescent="0.25">
      <c r="A1573" s="23"/>
      <c r="B1573" s="23"/>
      <c r="C1573" s="23"/>
      <c r="E1573" s="202"/>
      <c r="F1573" s="202"/>
      <c r="G1573" s="202"/>
      <c r="H1573" s="202"/>
      <c r="I1573" s="202"/>
      <c r="J1573" s="202"/>
      <c r="K1573" s="202"/>
      <c r="L1573" s="202"/>
      <c r="M1573" s="202"/>
      <c r="N1573" s="202"/>
      <c r="O1573" s="202"/>
      <c r="P1573" s="202"/>
    </row>
    <row r="1574" spans="1:16" x14ac:dyDescent="0.25">
      <c r="A1574" s="23"/>
      <c r="B1574" s="23"/>
      <c r="C1574" s="23"/>
      <c r="E1574" s="202"/>
      <c r="F1574" s="202"/>
      <c r="G1574" s="202"/>
      <c r="H1574" s="202"/>
      <c r="I1574" s="202"/>
      <c r="J1574" s="202"/>
      <c r="K1574" s="202"/>
      <c r="L1574" s="202"/>
      <c r="M1574" s="202"/>
      <c r="N1574" s="202"/>
      <c r="O1574" s="202"/>
      <c r="P1574" s="202"/>
    </row>
    <row r="1575" spans="1:16" x14ac:dyDescent="0.25">
      <c r="A1575" s="23"/>
      <c r="B1575" s="23"/>
      <c r="C1575" s="23"/>
    </row>
    <row r="1576" spans="1:16" x14ac:dyDescent="0.25">
      <c r="A1576" s="23"/>
      <c r="B1576" s="23"/>
      <c r="C1576" s="23"/>
    </row>
    <row r="1577" spans="1:16" x14ac:dyDescent="0.25">
      <c r="A1577" s="23"/>
      <c r="B1577" s="23"/>
      <c r="C1577" s="23"/>
    </row>
    <row r="1578" spans="1:16" x14ac:dyDescent="0.25">
      <c r="A1578" s="23"/>
      <c r="B1578" s="23"/>
      <c r="C1578" s="23"/>
    </row>
    <row r="1579" spans="1:16" x14ac:dyDescent="0.25">
      <c r="A1579" s="23"/>
      <c r="B1579" s="23"/>
      <c r="C1579" s="23"/>
      <c r="E1579" s="203"/>
      <c r="F1579" s="203"/>
      <c r="G1579" s="203"/>
      <c r="H1579" s="203"/>
      <c r="I1579" s="203"/>
      <c r="J1579" s="203"/>
      <c r="K1579" s="203"/>
      <c r="L1579" s="203"/>
      <c r="M1579" s="203"/>
      <c r="N1579" s="203"/>
      <c r="O1579" s="203"/>
      <c r="P1579" s="203"/>
    </row>
    <row r="1580" spans="1:16" x14ac:dyDescent="0.25">
      <c r="A1580" s="23"/>
      <c r="B1580" s="23"/>
      <c r="C1580" s="23"/>
      <c r="E1580" s="203"/>
      <c r="F1580" s="203"/>
      <c r="G1580" s="203"/>
      <c r="H1580" s="203"/>
      <c r="I1580" s="203"/>
      <c r="J1580" s="203"/>
      <c r="K1580" s="203"/>
      <c r="L1580" s="203"/>
      <c r="M1580" s="203"/>
      <c r="N1580" s="203"/>
      <c r="O1580" s="203"/>
      <c r="P1580" s="203"/>
    </row>
    <row r="1581" spans="1:16" x14ac:dyDescent="0.25">
      <c r="A1581" s="23"/>
      <c r="B1581" s="23"/>
      <c r="C1581" s="23"/>
      <c r="E1581" s="203"/>
      <c r="F1581" s="203"/>
      <c r="G1581" s="203"/>
      <c r="H1581" s="203"/>
      <c r="I1581" s="203"/>
      <c r="J1581" s="203"/>
      <c r="K1581" s="203"/>
      <c r="L1581" s="203"/>
      <c r="M1581" s="203"/>
      <c r="N1581" s="203"/>
      <c r="O1581" s="203"/>
      <c r="P1581" s="203"/>
    </row>
    <row r="1582" spans="1:16" x14ac:dyDescent="0.25">
      <c r="A1582" s="23"/>
      <c r="B1582" s="23"/>
      <c r="C1582" s="23"/>
    </row>
    <row r="1583" spans="1:16" x14ac:dyDescent="0.25">
      <c r="A1583" s="23"/>
      <c r="B1583" s="23"/>
      <c r="C1583" s="23"/>
    </row>
    <row r="1584" spans="1:16" x14ac:dyDescent="0.25">
      <c r="A1584" s="23"/>
      <c r="B1584" s="23"/>
      <c r="C1584" s="23"/>
    </row>
    <row r="1585" spans="1:17" x14ac:dyDescent="0.25">
      <c r="A1585" s="23"/>
      <c r="B1585" s="23"/>
      <c r="C1585" s="23"/>
    </row>
    <row r="1586" spans="1:17" x14ac:dyDescent="0.25">
      <c r="A1586" s="23"/>
      <c r="B1586" s="23"/>
      <c r="C1586" s="23"/>
    </row>
    <row r="1587" spans="1:17" x14ac:dyDescent="0.25">
      <c r="A1587" s="23"/>
      <c r="B1587" s="23"/>
      <c r="C1587" s="23"/>
    </row>
    <row r="1588" spans="1:17" x14ac:dyDescent="0.25">
      <c r="A1588" s="23"/>
      <c r="B1588" s="23"/>
      <c r="C1588" s="23"/>
    </row>
    <row r="1589" spans="1:17" x14ac:dyDescent="0.25">
      <c r="A1589" s="23"/>
      <c r="B1589" s="23"/>
      <c r="C1589" s="23"/>
    </row>
    <row r="1590" spans="1:17" ht="13" x14ac:dyDescent="0.3">
      <c r="B1590" s="187"/>
      <c r="C1590" s="188"/>
      <c r="D1590" s="188"/>
      <c r="E1590" s="188"/>
      <c r="F1590" s="188"/>
      <c r="G1590" s="188"/>
      <c r="H1590" s="187"/>
      <c r="I1590" s="188"/>
    </row>
    <row r="1591" spans="1:17" x14ac:dyDescent="0.25">
      <c r="B1591" s="188"/>
      <c r="C1591" s="188"/>
      <c r="D1591" s="188"/>
      <c r="E1591" s="188"/>
      <c r="F1591" s="188"/>
      <c r="G1591" s="188"/>
      <c r="H1591" s="188"/>
      <c r="I1591" s="188"/>
    </row>
    <row r="1592" spans="1:17" ht="13" x14ac:dyDescent="0.3">
      <c r="B1592" s="188"/>
      <c r="C1592" s="188"/>
      <c r="D1592" s="188"/>
      <c r="E1592" s="188"/>
      <c r="F1592" s="188"/>
      <c r="G1592" s="188"/>
      <c r="H1592" s="186"/>
      <c r="I1592" s="188"/>
    </row>
    <row r="1593" spans="1:17" ht="13" x14ac:dyDescent="0.3">
      <c r="B1593" s="186"/>
      <c r="C1593" s="188"/>
      <c r="D1593" s="188"/>
      <c r="E1593" s="188"/>
      <c r="F1593" s="188"/>
      <c r="G1593" s="188"/>
      <c r="H1593" s="186"/>
      <c r="I1593" s="188"/>
    </row>
    <row r="1594" spans="1:17" x14ac:dyDescent="0.25">
      <c r="B1594" s="188"/>
      <c r="C1594" s="188"/>
      <c r="D1594" s="188"/>
      <c r="E1594" s="188"/>
      <c r="F1594" s="188"/>
      <c r="G1594" s="188"/>
      <c r="H1594" s="188"/>
      <c r="I1594" s="188"/>
    </row>
    <row r="1595" spans="1:17" x14ac:dyDescent="0.25">
      <c r="B1595" s="188"/>
      <c r="C1595" s="188"/>
      <c r="D1595" s="188"/>
      <c r="E1595" s="188"/>
      <c r="F1595" s="188"/>
      <c r="G1595" s="188"/>
      <c r="H1595" s="188"/>
      <c r="I1595" s="188"/>
    </row>
    <row r="1596" spans="1:17" x14ac:dyDescent="0.25">
      <c r="B1596" s="188"/>
      <c r="C1596" s="188"/>
      <c r="F1596" s="188"/>
      <c r="G1596" s="188"/>
      <c r="H1596" s="188"/>
    </row>
    <row r="1597" spans="1:17" x14ac:dyDescent="0.25">
      <c r="B1597" s="206"/>
      <c r="C1597" s="188"/>
      <c r="D1597" s="188"/>
      <c r="E1597" s="188"/>
      <c r="F1597" s="188"/>
      <c r="G1597" s="188"/>
      <c r="H1597" s="206"/>
      <c r="I1597" s="188"/>
    </row>
    <row r="1598" spans="1:17" x14ac:dyDescent="0.25">
      <c r="B1598" s="188"/>
      <c r="C1598" s="188"/>
      <c r="D1598" s="188"/>
      <c r="E1598" s="188"/>
      <c r="F1598" s="188"/>
      <c r="G1598" s="188"/>
      <c r="H1598" s="188"/>
      <c r="I1598" s="188"/>
    </row>
    <row r="1599" spans="1:17" x14ac:dyDescent="0.25">
      <c r="A1599" s="206"/>
      <c r="B1599" s="206"/>
      <c r="C1599" s="188"/>
      <c r="D1599" s="188"/>
      <c r="E1599" s="188"/>
      <c r="F1599" s="188"/>
      <c r="G1599" s="188"/>
      <c r="H1599" s="188"/>
      <c r="I1599" s="188"/>
    </row>
    <row r="1600" spans="1:17" x14ac:dyDescent="0.25">
      <c r="A1600" s="5"/>
      <c r="B1600" s="5"/>
      <c r="C1600" s="5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5"/>
    </row>
    <row r="1601" spans="1:17" x14ac:dyDescent="0.25">
      <c r="A1601" s="23"/>
      <c r="B1601" s="23"/>
      <c r="C1601" s="23"/>
      <c r="D1601" s="13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</row>
    <row r="1602" spans="1:17" x14ac:dyDescent="0.25">
      <c r="A1602" s="23"/>
      <c r="B1602" s="23"/>
      <c r="C1602" s="23"/>
    </row>
    <row r="1603" spans="1:17" x14ac:dyDescent="0.25">
      <c r="A1603" s="23"/>
      <c r="B1603" s="23"/>
      <c r="C1603" s="23"/>
    </row>
    <row r="1604" spans="1:17" x14ac:dyDescent="0.25">
      <c r="A1604" s="23"/>
      <c r="B1604" s="23"/>
      <c r="C1604" s="23"/>
    </row>
    <row r="1605" spans="1:17" x14ac:dyDescent="0.25">
      <c r="A1605" s="23"/>
      <c r="B1605" s="23"/>
      <c r="C1605" s="23"/>
    </row>
    <row r="1606" spans="1:17" x14ac:dyDescent="0.25">
      <c r="A1606" s="23"/>
      <c r="B1606" s="23"/>
      <c r="C1606" s="23"/>
    </row>
    <row r="1607" spans="1:17" x14ac:dyDescent="0.25">
      <c r="A1607" s="23"/>
      <c r="B1607" s="23"/>
      <c r="C1607" s="23"/>
    </row>
    <row r="1608" spans="1:17" x14ac:dyDescent="0.25">
      <c r="A1608" s="23"/>
      <c r="B1608" s="23"/>
      <c r="C1608" s="23"/>
    </row>
    <row r="1609" spans="1:17" x14ac:dyDescent="0.25">
      <c r="A1609" s="23"/>
      <c r="B1609" s="23"/>
      <c r="C1609" s="23"/>
    </row>
    <row r="1610" spans="1:17" x14ac:dyDescent="0.25">
      <c r="A1610" s="23"/>
      <c r="B1610" s="23"/>
      <c r="C1610" s="23"/>
    </row>
    <row r="1611" spans="1:17" x14ac:dyDescent="0.25">
      <c r="A1611" s="23"/>
      <c r="B1611" s="23"/>
      <c r="C1611" s="23"/>
    </row>
    <row r="1612" spans="1:17" x14ac:dyDescent="0.25">
      <c r="A1612" s="23"/>
      <c r="B1612" s="23"/>
      <c r="C1612" s="23"/>
    </row>
    <row r="1613" spans="1:17" x14ac:dyDescent="0.25">
      <c r="A1613" s="23"/>
      <c r="B1613" s="23"/>
      <c r="C1613" s="23"/>
    </row>
    <row r="1614" spans="1:17" x14ac:dyDescent="0.25">
      <c r="A1614" s="23"/>
      <c r="B1614" s="23"/>
      <c r="C1614" s="23"/>
    </row>
    <row r="1615" spans="1:17" x14ac:dyDescent="0.25">
      <c r="A1615" s="23"/>
      <c r="B1615" s="23"/>
      <c r="C1615" s="23"/>
      <c r="E1615" s="201"/>
      <c r="F1615" s="201"/>
      <c r="G1615" s="201"/>
      <c r="H1615" s="201"/>
      <c r="I1615" s="201"/>
      <c r="J1615" s="201"/>
      <c r="K1615" s="201"/>
      <c r="L1615" s="201"/>
      <c r="M1615" s="201"/>
      <c r="N1615" s="201"/>
      <c r="O1615" s="201"/>
      <c r="P1615" s="201"/>
    </row>
    <row r="1616" spans="1:17" x14ac:dyDescent="0.25">
      <c r="A1616" s="23"/>
      <c r="B1616" s="23"/>
      <c r="C1616" s="23"/>
    </row>
    <row r="1617" spans="1:16" x14ac:dyDescent="0.25">
      <c r="A1617" s="23"/>
      <c r="B1617" s="23"/>
      <c r="C1617" s="23"/>
    </row>
    <row r="1618" spans="1:16" x14ac:dyDescent="0.25">
      <c r="A1618" s="23"/>
      <c r="B1618" s="23"/>
      <c r="C1618" s="23"/>
      <c r="F1618" s="201"/>
      <c r="G1618" s="201"/>
      <c r="H1618" s="201"/>
      <c r="I1618" s="201"/>
      <c r="J1618" s="201"/>
      <c r="K1618" s="201"/>
      <c r="L1618" s="201"/>
      <c r="M1618" s="201"/>
      <c r="N1618" s="201"/>
      <c r="O1618" s="201"/>
      <c r="P1618" s="201"/>
    </row>
    <row r="1619" spans="1:16" x14ac:dyDescent="0.25">
      <c r="A1619" s="23"/>
      <c r="B1619" s="23"/>
      <c r="C1619" s="23"/>
    </row>
    <row r="1620" spans="1:16" x14ac:dyDescent="0.25">
      <c r="A1620" s="23"/>
      <c r="B1620" s="23"/>
      <c r="C1620" s="23"/>
    </row>
    <row r="1621" spans="1:16" x14ac:dyDescent="0.25">
      <c r="A1621" s="23"/>
      <c r="B1621" s="23"/>
      <c r="C1621" s="23"/>
    </row>
    <row r="1622" spans="1:16" x14ac:dyDescent="0.25">
      <c r="A1622" s="23"/>
      <c r="B1622" s="23"/>
      <c r="C1622" s="23"/>
    </row>
    <row r="1623" spans="1:16" x14ac:dyDescent="0.25">
      <c r="A1623" s="23"/>
      <c r="B1623" s="23"/>
      <c r="C1623" s="23"/>
    </row>
    <row r="1624" spans="1:16" x14ac:dyDescent="0.25">
      <c r="A1624" s="23"/>
      <c r="B1624" s="23"/>
      <c r="C1624" s="23"/>
      <c r="E1624" s="202"/>
      <c r="F1624" s="202"/>
      <c r="G1624" s="202"/>
      <c r="H1624" s="202"/>
      <c r="I1624" s="202"/>
      <c r="J1624" s="202"/>
      <c r="K1624" s="202"/>
      <c r="L1624" s="202"/>
      <c r="M1624" s="202"/>
      <c r="N1624" s="202"/>
      <c r="O1624" s="202"/>
      <c r="P1624" s="202"/>
    </row>
    <row r="1625" spans="1:16" x14ac:dyDescent="0.25">
      <c r="A1625" s="23"/>
      <c r="B1625" s="23"/>
      <c r="C1625" s="23"/>
      <c r="E1625" s="202"/>
      <c r="F1625" s="202"/>
      <c r="G1625" s="202"/>
      <c r="H1625" s="202"/>
      <c r="I1625" s="202"/>
      <c r="J1625" s="202"/>
      <c r="K1625" s="202"/>
      <c r="L1625" s="202"/>
      <c r="M1625" s="202"/>
      <c r="N1625" s="202"/>
      <c r="O1625" s="202"/>
      <c r="P1625" s="202"/>
    </row>
    <row r="1626" spans="1:16" x14ac:dyDescent="0.25">
      <c r="A1626" s="23"/>
      <c r="B1626" s="23"/>
      <c r="C1626" s="23"/>
    </row>
    <row r="1627" spans="1:16" x14ac:dyDescent="0.25">
      <c r="A1627" s="23"/>
      <c r="B1627" s="23"/>
      <c r="C1627" s="23"/>
    </row>
    <row r="1628" spans="1:16" x14ac:dyDescent="0.25">
      <c r="A1628" s="23"/>
      <c r="B1628" s="23"/>
      <c r="C1628" s="23"/>
    </row>
    <row r="1629" spans="1:16" x14ac:dyDescent="0.25">
      <c r="A1629" s="23"/>
      <c r="B1629" s="23"/>
      <c r="C1629" s="23"/>
    </row>
    <row r="1630" spans="1:16" x14ac:dyDescent="0.25">
      <c r="A1630" s="23"/>
      <c r="B1630" s="23"/>
      <c r="C1630" s="23"/>
      <c r="E1630" s="203"/>
      <c r="F1630" s="203"/>
      <c r="G1630" s="203"/>
      <c r="H1630" s="203"/>
      <c r="I1630" s="203"/>
      <c r="J1630" s="203"/>
      <c r="K1630" s="203"/>
      <c r="L1630" s="203"/>
      <c r="M1630" s="203"/>
      <c r="N1630" s="203"/>
      <c r="O1630" s="203"/>
      <c r="P1630" s="203"/>
    </row>
    <row r="1631" spans="1:16" x14ac:dyDescent="0.25">
      <c r="A1631" s="23"/>
      <c r="B1631" s="23"/>
      <c r="C1631" s="23"/>
      <c r="E1631" s="203"/>
      <c r="F1631" s="203"/>
      <c r="G1631" s="203"/>
      <c r="H1631" s="203"/>
      <c r="I1631" s="203"/>
      <c r="J1631" s="203"/>
      <c r="K1631" s="203"/>
      <c r="L1631" s="203"/>
      <c r="M1631" s="203"/>
      <c r="N1631" s="203"/>
      <c r="O1631" s="203"/>
      <c r="P1631" s="203"/>
    </row>
    <row r="1632" spans="1:16" x14ac:dyDescent="0.25">
      <c r="A1632" s="23"/>
      <c r="B1632" s="23"/>
      <c r="C1632" s="23"/>
      <c r="E1632" s="203"/>
      <c r="F1632" s="203"/>
      <c r="G1632" s="203"/>
      <c r="H1632" s="203"/>
      <c r="I1632" s="203"/>
      <c r="J1632" s="203"/>
      <c r="K1632" s="203"/>
      <c r="L1632" s="203"/>
      <c r="M1632" s="203"/>
      <c r="N1632" s="203"/>
      <c r="O1632" s="203"/>
      <c r="P1632" s="203"/>
    </row>
    <row r="1633" spans="1:11" x14ac:dyDescent="0.25">
      <c r="A1633" s="23"/>
      <c r="B1633" s="23"/>
      <c r="C1633" s="23"/>
    </row>
    <row r="1634" spans="1:11" x14ac:dyDescent="0.25">
      <c r="A1634" s="23"/>
      <c r="B1634" s="23"/>
      <c r="C1634" s="23"/>
    </row>
    <row r="1635" spans="1:11" x14ac:dyDescent="0.25">
      <c r="A1635" s="23"/>
      <c r="B1635" s="23"/>
      <c r="C1635" s="23"/>
    </row>
    <row r="1641" spans="1:11" ht="13.5" customHeight="1" x14ac:dyDescent="0.25">
      <c r="H1641" s="211"/>
      <c r="I1641" s="211"/>
      <c r="J1641" s="211"/>
      <c r="K1641" s="211"/>
    </row>
    <row r="1642" spans="1:11" x14ac:dyDescent="0.25">
      <c r="H1642" s="211"/>
      <c r="I1642" s="211"/>
      <c r="J1642" s="211"/>
      <c r="K1642" s="211"/>
    </row>
    <row r="1643" spans="1:11" x14ac:dyDescent="0.25">
      <c r="H1643" s="211"/>
      <c r="I1643" s="211"/>
      <c r="J1643" s="211"/>
      <c r="K1643" s="211"/>
    </row>
    <row r="1644" spans="1:11" x14ac:dyDescent="0.25">
      <c r="H1644" s="211"/>
      <c r="I1644" s="211"/>
      <c r="J1644" s="211"/>
      <c r="K1644" s="211"/>
    </row>
    <row r="1646" spans="1:11" x14ac:dyDescent="0.25">
      <c r="H1646" s="211"/>
      <c r="I1646" s="211"/>
      <c r="J1646" s="211"/>
      <c r="K1646" s="211"/>
    </row>
    <row r="1647" spans="1:11" x14ac:dyDescent="0.25">
      <c r="H1647" s="211"/>
      <c r="I1647" s="211"/>
      <c r="J1647" s="211"/>
      <c r="K1647" s="211"/>
    </row>
    <row r="1648" spans="1:11" x14ac:dyDescent="0.25">
      <c r="H1648" s="211"/>
      <c r="I1648" s="211"/>
      <c r="J1648" s="211"/>
      <c r="K1648" s="211"/>
    </row>
    <row r="1649" spans="8:11" x14ac:dyDescent="0.25">
      <c r="H1649" s="211"/>
      <c r="I1649" s="211"/>
      <c r="J1649" s="211"/>
      <c r="K1649" s="211"/>
    </row>
    <row r="1675" spans="5:16" x14ac:dyDescent="0.25">
      <c r="E1675" s="202"/>
      <c r="F1675" s="202"/>
      <c r="G1675" s="202"/>
      <c r="H1675" s="202"/>
      <c r="I1675" s="202"/>
      <c r="J1675" s="202"/>
      <c r="K1675" s="202"/>
      <c r="L1675" s="202"/>
      <c r="M1675" s="202"/>
      <c r="N1675" s="202"/>
      <c r="O1675" s="202"/>
      <c r="P1675" s="202"/>
    </row>
    <row r="1681" spans="5:16" x14ac:dyDescent="0.25">
      <c r="E1681" s="203"/>
      <c r="F1681" s="203"/>
      <c r="G1681" s="203"/>
      <c r="H1681" s="203"/>
      <c r="I1681" s="203"/>
      <c r="J1681" s="203"/>
      <c r="K1681" s="203"/>
      <c r="L1681" s="203"/>
      <c r="M1681" s="203"/>
      <c r="N1681" s="203"/>
      <c r="O1681" s="203"/>
      <c r="P1681" s="203"/>
    </row>
    <row r="1682" spans="5:16" x14ac:dyDescent="0.25">
      <c r="E1682" s="203"/>
      <c r="F1682" s="203"/>
      <c r="G1682" s="203"/>
      <c r="H1682" s="203"/>
      <c r="I1682" s="203"/>
      <c r="J1682" s="203"/>
      <c r="K1682" s="203"/>
      <c r="L1682" s="203"/>
      <c r="M1682" s="203"/>
      <c r="N1682" s="203"/>
      <c r="O1682" s="203"/>
      <c r="P1682" s="203"/>
    </row>
    <row r="1689" spans="5:16" x14ac:dyDescent="0.25">
      <c r="H1689" s="211"/>
      <c r="I1689" s="211"/>
      <c r="J1689" s="211"/>
      <c r="K1689" s="211"/>
    </row>
    <row r="1690" spans="5:16" x14ac:dyDescent="0.25">
      <c r="H1690" s="211"/>
      <c r="I1690" s="211"/>
      <c r="J1690" s="211"/>
      <c r="K1690" s="211"/>
    </row>
    <row r="1691" spans="5:16" x14ac:dyDescent="0.25">
      <c r="H1691" s="211"/>
      <c r="I1691" s="211"/>
      <c r="J1691" s="211"/>
      <c r="K1691" s="211"/>
    </row>
    <row r="1692" spans="5:16" x14ac:dyDescent="0.25">
      <c r="H1692" s="211"/>
      <c r="I1692" s="211"/>
      <c r="J1692" s="211"/>
      <c r="K1692" s="211"/>
    </row>
    <row r="1694" spans="5:16" x14ac:dyDescent="0.25">
      <c r="H1694" s="211"/>
      <c r="I1694" s="211"/>
      <c r="J1694" s="211"/>
      <c r="K1694" s="211"/>
    </row>
    <row r="1695" spans="5:16" x14ac:dyDescent="0.25">
      <c r="H1695" s="211"/>
      <c r="I1695" s="211"/>
      <c r="J1695" s="211"/>
      <c r="K1695" s="211"/>
    </row>
    <row r="1696" spans="5:16" x14ac:dyDescent="0.25">
      <c r="H1696" s="211"/>
      <c r="I1696" s="211"/>
      <c r="J1696" s="211"/>
      <c r="K1696" s="211"/>
    </row>
    <row r="1697" spans="8:11" x14ac:dyDescent="0.25">
      <c r="H1697" s="211"/>
      <c r="I1697" s="211"/>
      <c r="J1697" s="211"/>
      <c r="K1697" s="211"/>
    </row>
    <row r="1723" spans="5:16" x14ac:dyDescent="0.25">
      <c r="E1723" s="202"/>
      <c r="F1723" s="202"/>
      <c r="G1723" s="202"/>
      <c r="H1723" s="202"/>
      <c r="I1723" s="202"/>
      <c r="J1723" s="202"/>
      <c r="K1723" s="202"/>
      <c r="L1723" s="202"/>
      <c r="M1723" s="202"/>
      <c r="N1723" s="202"/>
      <c r="O1723" s="202"/>
      <c r="P1723" s="202"/>
    </row>
    <row r="1729" spans="5:16" x14ac:dyDescent="0.25">
      <c r="E1729" s="203"/>
      <c r="F1729" s="203"/>
      <c r="G1729" s="203"/>
      <c r="H1729" s="203"/>
      <c r="I1729" s="203"/>
      <c r="J1729" s="203"/>
      <c r="K1729" s="203"/>
      <c r="L1729" s="203"/>
      <c r="M1729" s="203"/>
      <c r="N1729" s="203"/>
      <c r="O1729" s="203"/>
      <c r="P1729" s="203"/>
    </row>
    <row r="1730" spans="5:16" x14ac:dyDescent="0.25">
      <c r="E1730" s="203"/>
      <c r="F1730" s="203"/>
      <c r="G1730" s="203"/>
      <c r="H1730" s="203"/>
      <c r="I1730" s="203"/>
      <c r="J1730" s="203"/>
      <c r="K1730" s="203"/>
      <c r="L1730" s="203"/>
      <c r="M1730" s="203"/>
      <c r="N1730" s="203"/>
      <c r="O1730" s="203"/>
      <c r="P1730" s="203"/>
    </row>
    <row r="1736" spans="5:16" x14ac:dyDescent="0.25">
      <c r="H1736" s="211"/>
      <c r="I1736" s="211"/>
      <c r="J1736" s="211"/>
      <c r="K1736" s="211"/>
    </row>
    <row r="1737" spans="5:16" x14ac:dyDescent="0.25">
      <c r="H1737" s="211"/>
      <c r="I1737" s="211"/>
      <c r="J1737" s="211"/>
      <c r="K1737" s="211"/>
    </row>
    <row r="1738" spans="5:16" x14ac:dyDescent="0.25">
      <c r="H1738" s="211"/>
      <c r="I1738" s="211"/>
      <c r="J1738" s="211"/>
      <c r="K1738" s="211"/>
    </row>
    <row r="1739" spans="5:16" x14ac:dyDescent="0.25">
      <c r="H1739" s="211"/>
      <c r="I1739" s="211"/>
      <c r="J1739" s="211"/>
      <c r="K1739" s="211"/>
    </row>
    <row r="1741" spans="5:16" x14ac:dyDescent="0.25">
      <c r="H1741" s="211"/>
      <c r="I1741" s="211"/>
      <c r="J1741" s="211"/>
      <c r="K1741" s="211"/>
    </row>
    <row r="1742" spans="5:16" x14ac:dyDescent="0.25">
      <c r="H1742" s="211"/>
      <c r="I1742" s="211"/>
      <c r="J1742" s="211"/>
      <c r="K1742" s="211"/>
    </row>
    <row r="1743" spans="5:16" x14ac:dyDescent="0.25">
      <c r="H1743" s="211"/>
      <c r="I1743" s="211"/>
      <c r="J1743" s="211"/>
      <c r="K1743" s="211"/>
    </row>
    <row r="1744" spans="5:16" x14ac:dyDescent="0.25">
      <c r="H1744" s="211"/>
      <c r="I1744" s="211"/>
      <c r="J1744" s="211"/>
      <c r="K1744" s="211"/>
    </row>
    <row r="1770" spans="5:16" x14ac:dyDescent="0.25">
      <c r="E1770" s="202"/>
      <c r="F1770" s="202"/>
      <c r="G1770" s="202"/>
      <c r="H1770" s="202"/>
      <c r="I1770" s="202"/>
      <c r="J1770" s="202"/>
      <c r="K1770" s="202"/>
      <c r="L1770" s="202"/>
      <c r="M1770" s="202"/>
      <c r="N1770" s="202"/>
      <c r="O1770" s="202"/>
      <c r="P1770" s="202"/>
    </row>
    <row r="1776" spans="5:16" x14ac:dyDescent="0.25">
      <c r="E1776" s="203"/>
      <c r="F1776" s="203"/>
      <c r="G1776" s="203"/>
      <c r="H1776" s="203"/>
      <c r="I1776" s="203"/>
      <c r="J1776" s="203"/>
      <c r="K1776" s="203"/>
      <c r="L1776" s="203"/>
      <c r="M1776" s="203"/>
      <c r="N1776" s="203"/>
      <c r="O1776" s="203"/>
      <c r="P1776" s="203"/>
    </row>
    <row r="1777" spans="5:16" x14ac:dyDescent="0.25">
      <c r="E1777" s="203"/>
      <c r="F1777" s="203"/>
      <c r="G1777" s="203"/>
      <c r="H1777" s="203"/>
      <c r="I1777" s="203"/>
      <c r="J1777" s="203"/>
      <c r="K1777" s="203"/>
      <c r="L1777" s="203"/>
      <c r="M1777" s="203"/>
      <c r="N1777" s="203"/>
      <c r="O1777" s="203"/>
      <c r="P1777" s="203"/>
    </row>
    <row r="1784" spans="5:16" x14ac:dyDescent="0.25">
      <c r="H1784" s="211"/>
      <c r="I1784" s="211"/>
      <c r="J1784" s="211"/>
      <c r="K1784" s="211"/>
    </row>
    <row r="1785" spans="5:16" x14ac:dyDescent="0.25">
      <c r="H1785" s="211"/>
      <c r="I1785" s="211"/>
      <c r="J1785" s="211"/>
      <c r="K1785" s="211"/>
    </row>
    <row r="1786" spans="5:16" x14ac:dyDescent="0.25">
      <c r="H1786" s="211"/>
      <c r="I1786" s="211"/>
      <c r="J1786" s="211"/>
      <c r="K1786" s="211"/>
    </row>
    <row r="1787" spans="5:16" x14ac:dyDescent="0.25">
      <c r="H1787" s="211"/>
      <c r="I1787" s="211"/>
      <c r="J1787" s="211"/>
      <c r="K1787" s="211"/>
    </row>
    <row r="1789" spans="5:16" x14ac:dyDescent="0.25">
      <c r="H1789" s="211"/>
      <c r="I1789" s="211"/>
      <c r="J1789" s="211"/>
      <c r="K1789" s="211"/>
    </row>
    <row r="1790" spans="5:16" x14ac:dyDescent="0.25">
      <c r="H1790" s="211"/>
      <c r="I1790" s="211"/>
      <c r="J1790" s="211"/>
      <c r="K1790" s="211"/>
    </row>
    <row r="1792" spans="5:16" x14ac:dyDescent="0.25">
      <c r="H1792" s="211"/>
      <c r="I1792" s="211"/>
      <c r="J1792" s="211"/>
      <c r="K1792" s="211"/>
    </row>
    <row r="1818" spans="5:16" x14ac:dyDescent="0.25">
      <c r="E1818" s="202"/>
      <c r="F1818" s="202"/>
      <c r="G1818" s="202"/>
      <c r="H1818" s="202"/>
      <c r="I1818" s="202"/>
      <c r="J1818" s="202"/>
      <c r="K1818" s="202"/>
      <c r="L1818" s="202"/>
      <c r="M1818" s="202"/>
      <c r="N1818" s="202"/>
      <c r="O1818" s="202"/>
      <c r="P1818" s="202"/>
    </row>
    <row r="1824" spans="5:16" x14ac:dyDescent="0.25">
      <c r="E1824" s="203"/>
      <c r="F1824" s="203"/>
      <c r="G1824" s="203"/>
      <c r="H1824" s="203"/>
      <c r="I1824" s="203"/>
      <c r="J1824" s="203"/>
      <c r="K1824" s="203"/>
      <c r="L1824" s="203"/>
      <c r="M1824" s="203"/>
      <c r="N1824" s="203"/>
      <c r="O1824" s="203"/>
      <c r="P1824" s="203"/>
    </row>
    <row r="1825" spans="5:16" x14ac:dyDescent="0.25">
      <c r="E1825" s="203"/>
      <c r="F1825" s="203"/>
      <c r="G1825" s="203"/>
      <c r="H1825" s="203"/>
      <c r="I1825" s="203"/>
      <c r="J1825" s="203"/>
      <c r="K1825" s="203"/>
      <c r="L1825" s="203"/>
      <c r="M1825" s="203"/>
      <c r="N1825" s="203"/>
      <c r="O1825" s="203"/>
      <c r="P1825" s="203"/>
    </row>
    <row r="1834" spans="5:16" x14ac:dyDescent="0.25">
      <c r="H1834" s="211"/>
      <c r="I1834" s="211"/>
      <c r="J1834" s="211"/>
      <c r="K1834" s="211"/>
    </row>
    <row r="1835" spans="5:16" x14ac:dyDescent="0.25">
      <c r="H1835" s="211"/>
      <c r="I1835" s="211"/>
      <c r="J1835" s="211"/>
      <c r="K1835" s="211"/>
    </row>
    <row r="1836" spans="5:16" x14ac:dyDescent="0.25">
      <c r="H1836" s="211"/>
      <c r="I1836" s="211"/>
      <c r="J1836" s="211"/>
      <c r="K1836" s="211"/>
    </row>
    <row r="1837" spans="5:16" x14ac:dyDescent="0.25">
      <c r="H1837" s="211"/>
      <c r="I1837" s="211"/>
      <c r="J1837" s="211"/>
      <c r="K1837" s="211"/>
    </row>
    <row r="1839" spans="5:16" x14ac:dyDescent="0.25">
      <c r="H1839" s="211"/>
      <c r="I1839" s="211"/>
      <c r="J1839" s="211"/>
      <c r="K1839" s="211"/>
    </row>
    <row r="1840" spans="5:16" x14ac:dyDescent="0.25">
      <c r="H1840" s="211"/>
      <c r="I1840" s="211"/>
      <c r="J1840" s="211"/>
      <c r="K1840" s="211"/>
    </row>
    <row r="1842" spans="8:11" x14ac:dyDescent="0.25">
      <c r="H1842" s="211"/>
      <c r="I1842" s="211"/>
      <c r="J1842" s="211"/>
      <c r="K1842" s="211"/>
    </row>
    <row r="1868" spans="5:16" x14ac:dyDescent="0.25">
      <c r="E1868" s="202"/>
      <c r="F1868" s="202"/>
      <c r="G1868" s="202"/>
      <c r="H1868" s="202"/>
      <c r="I1868" s="202"/>
      <c r="J1868" s="202"/>
      <c r="K1868" s="202"/>
      <c r="L1868" s="202"/>
      <c r="M1868" s="202"/>
      <c r="N1868" s="202"/>
      <c r="O1868" s="202"/>
      <c r="P1868" s="202"/>
    </row>
    <row r="1874" spans="5:16" x14ac:dyDescent="0.25">
      <c r="E1874" s="203"/>
      <c r="F1874" s="203"/>
      <c r="G1874" s="203"/>
      <c r="H1874" s="203"/>
      <c r="I1874" s="203"/>
      <c r="J1874" s="203"/>
      <c r="K1874" s="203"/>
      <c r="L1874" s="203"/>
      <c r="M1874" s="203"/>
      <c r="N1874" s="203"/>
      <c r="O1874" s="203"/>
      <c r="P1874" s="203"/>
    </row>
    <row r="1875" spans="5:16" x14ac:dyDescent="0.25">
      <c r="E1875" s="203"/>
      <c r="F1875" s="203"/>
      <c r="G1875" s="203"/>
      <c r="H1875" s="203"/>
      <c r="I1875" s="203"/>
      <c r="J1875" s="203"/>
      <c r="K1875" s="203"/>
      <c r="L1875" s="203"/>
      <c r="M1875" s="203"/>
      <c r="N1875" s="203"/>
      <c r="O1875" s="203"/>
      <c r="P1875" s="203"/>
    </row>
    <row r="1883" spans="5:16" x14ac:dyDescent="0.25">
      <c r="H1883" s="211"/>
      <c r="I1883" s="211"/>
      <c r="J1883" s="211"/>
      <c r="K1883" s="211"/>
    </row>
    <row r="1884" spans="5:16" x14ac:dyDescent="0.25">
      <c r="H1884" s="211"/>
      <c r="I1884" s="211"/>
      <c r="J1884" s="211"/>
      <c r="K1884" s="211"/>
    </row>
    <row r="1885" spans="5:16" x14ac:dyDescent="0.25">
      <c r="H1885" s="211"/>
      <c r="I1885" s="211"/>
      <c r="J1885" s="211"/>
      <c r="K1885" s="211"/>
    </row>
    <row r="1886" spans="5:16" x14ac:dyDescent="0.25">
      <c r="H1886" s="211"/>
      <c r="I1886" s="211"/>
      <c r="J1886" s="211"/>
      <c r="K1886" s="211"/>
    </row>
    <row r="1888" spans="5:16" x14ac:dyDescent="0.25">
      <c r="H1888" s="211"/>
      <c r="I1888" s="211"/>
      <c r="J1888" s="211"/>
      <c r="K1888" s="211"/>
    </row>
    <row r="1889" spans="8:11" x14ac:dyDescent="0.25">
      <c r="H1889" s="211"/>
      <c r="I1889" s="211"/>
      <c r="J1889" s="211"/>
      <c r="K1889" s="211"/>
    </row>
    <row r="1891" spans="8:11" x14ac:dyDescent="0.25">
      <c r="H1891" s="211"/>
      <c r="I1891" s="211"/>
      <c r="J1891" s="211"/>
      <c r="K1891" s="211"/>
    </row>
    <row r="1917" spans="5:16" x14ac:dyDescent="0.25">
      <c r="E1917" s="202"/>
      <c r="F1917" s="202"/>
      <c r="G1917" s="202"/>
      <c r="H1917" s="202"/>
      <c r="I1917" s="202"/>
      <c r="J1917" s="202"/>
      <c r="K1917" s="202"/>
      <c r="L1917" s="202"/>
      <c r="M1917" s="202"/>
      <c r="N1917" s="202"/>
      <c r="O1917" s="202"/>
      <c r="P1917" s="202"/>
    </row>
    <row r="1923" spans="5:16" x14ac:dyDescent="0.25">
      <c r="E1923" s="203"/>
      <c r="F1923" s="203"/>
      <c r="G1923" s="203"/>
      <c r="H1923" s="203"/>
      <c r="I1923" s="203"/>
      <c r="J1923" s="203"/>
      <c r="K1923" s="203"/>
      <c r="L1923" s="203"/>
      <c r="M1923" s="203"/>
      <c r="N1923" s="203"/>
      <c r="O1923" s="203"/>
      <c r="P1923" s="203"/>
    </row>
    <row r="1924" spans="5:16" x14ac:dyDescent="0.25">
      <c r="E1924" s="203"/>
      <c r="F1924" s="203"/>
      <c r="G1924" s="203"/>
      <c r="H1924" s="203"/>
      <c r="I1924" s="203"/>
      <c r="J1924" s="203"/>
      <c r="K1924" s="203"/>
      <c r="L1924" s="203"/>
      <c r="M1924" s="203"/>
      <c r="N1924" s="203"/>
      <c r="O1924" s="203"/>
      <c r="P1924" s="203"/>
    </row>
    <row r="1933" spans="5:16" x14ac:dyDescent="0.25">
      <c r="H1933" s="211"/>
      <c r="I1933" s="211"/>
      <c r="J1933" s="211"/>
      <c r="K1933" s="211"/>
    </row>
    <row r="1934" spans="5:16" x14ac:dyDescent="0.25">
      <c r="H1934" s="211"/>
      <c r="I1934" s="211"/>
      <c r="J1934" s="211"/>
      <c r="K1934" s="211"/>
    </row>
    <row r="1935" spans="5:16" x14ac:dyDescent="0.25">
      <c r="H1935" s="211"/>
      <c r="I1935" s="211"/>
      <c r="J1935" s="211"/>
      <c r="K1935" s="211"/>
    </row>
    <row r="1936" spans="5:16" x14ac:dyDescent="0.25">
      <c r="H1936" s="211"/>
      <c r="I1936" s="211"/>
      <c r="J1936" s="211"/>
      <c r="K1936" s="211"/>
    </row>
    <row r="1938" spans="8:11" x14ac:dyDescent="0.25">
      <c r="H1938" s="211"/>
      <c r="I1938" s="211"/>
      <c r="J1938" s="211"/>
      <c r="K1938" s="211"/>
    </row>
    <row r="1939" spans="8:11" x14ac:dyDescent="0.25">
      <c r="H1939" s="211"/>
      <c r="I1939" s="211"/>
      <c r="J1939" s="211"/>
      <c r="K1939" s="211"/>
    </row>
    <row r="1940" spans="8:11" x14ac:dyDescent="0.25">
      <c r="H1940" s="211"/>
      <c r="I1940" s="211"/>
      <c r="J1940" s="211"/>
      <c r="K1940" s="211"/>
    </row>
    <row r="1941" spans="8:11" x14ac:dyDescent="0.25">
      <c r="H1941" s="211"/>
      <c r="I1941" s="211"/>
      <c r="J1941" s="211"/>
      <c r="K1941" s="211"/>
    </row>
    <row r="1967" spans="5:16" x14ac:dyDescent="0.25">
      <c r="E1967" s="202"/>
      <c r="F1967" s="202"/>
      <c r="G1967" s="202"/>
      <c r="H1967" s="202"/>
      <c r="I1967" s="202"/>
      <c r="J1967" s="202"/>
      <c r="K1967" s="202"/>
      <c r="L1967" s="202"/>
      <c r="M1967" s="202"/>
      <c r="N1967" s="202"/>
      <c r="O1967" s="202"/>
      <c r="P1967" s="202"/>
    </row>
    <row r="1973" spans="5:16" x14ac:dyDescent="0.25">
      <c r="E1973" s="203"/>
      <c r="F1973" s="203"/>
      <c r="G1973" s="203"/>
      <c r="H1973" s="203"/>
      <c r="I1973" s="203"/>
      <c r="J1973" s="203"/>
      <c r="K1973" s="203"/>
      <c r="L1973" s="203"/>
      <c r="M1973" s="203"/>
      <c r="N1973" s="203"/>
      <c r="O1973" s="203"/>
      <c r="P1973" s="203"/>
    </row>
    <row r="1974" spans="5:16" x14ac:dyDescent="0.25">
      <c r="E1974" s="203"/>
      <c r="F1974" s="203"/>
      <c r="G1974" s="203"/>
      <c r="H1974" s="203"/>
      <c r="I1974" s="203"/>
      <c r="J1974" s="203"/>
      <c r="K1974" s="203"/>
      <c r="L1974" s="203"/>
      <c r="M1974" s="203"/>
      <c r="N1974" s="203"/>
      <c r="O1974" s="203"/>
      <c r="P1974" s="203"/>
    </row>
    <row r="1983" spans="5:16" x14ac:dyDescent="0.25">
      <c r="H1983" s="211"/>
      <c r="I1983" s="211"/>
      <c r="J1983" s="211"/>
      <c r="K1983" s="211"/>
    </row>
    <row r="1984" spans="5:16" x14ac:dyDescent="0.25">
      <c r="H1984" s="211"/>
      <c r="I1984" s="211"/>
      <c r="J1984" s="211"/>
      <c r="K1984" s="211"/>
    </row>
    <row r="1985" spans="8:11" x14ac:dyDescent="0.25">
      <c r="H1985" s="211"/>
      <c r="I1985" s="211"/>
      <c r="J1985" s="211"/>
      <c r="K1985" s="211"/>
    </row>
    <row r="1986" spans="8:11" x14ac:dyDescent="0.25">
      <c r="H1986" s="211"/>
      <c r="I1986" s="211"/>
      <c r="J1986" s="211"/>
      <c r="K1986" s="211"/>
    </row>
    <row r="1988" spans="8:11" x14ac:dyDescent="0.25">
      <c r="H1988" s="211"/>
      <c r="I1988" s="211"/>
      <c r="J1988" s="211"/>
      <c r="K1988" s="211"/>
    </row>
    <row r="1989" spans="8:11" x14ac:dyDescent="0.25">
      <c r="H1989" s="211"/>
      <c r="I1989" s="211"/>
      <c r="J1989" s="211"/>
      <c r="K1989" s="211"/>
    </row>
    <row r="1990" spans="8:11" x14ac:dyDescent="0.25">
      <c r="H1990" s="211"/>
      <c r="I1990" s="211"/>
      <c r="J1990" s="211"/>
      <c r="K1990" s="211"/>
    </row>
    <row r="1991" spans="8:11" x14ac:dyDescent="0.25">
      <c r="H1991" s="211"/>
      <c r="I1991" s="211"/>
      <c r="J1991" s="211"/>
      <c r="K1991" s="211"/>
    </row>
    <row r="2017" spans="5:16" x14ac:dyDescent="0.25">
      <c r="E2017" s="202"/>
      <c r="F2017" s="202"/>
      <c r="G2017" s="202"/>
      <c r="H2017" s="202"/>
      <c r="I2017" s="202"/>
      <c r="J2017" s="202"/>
      <c r="K2017" s="202"/>
      <c r="L2017" s="202"/>
      <c r="M2017" s="202"/>
      <c r="N2017" s="202"/>
      <c r="O2017" s="202"/>
      <c r="P2017" s="202"/>
    </row>
    <row r="2023" spans="5:16" x14ac:dyDescent="0.25">
      <c r="E2023" s="203"/>
      <c r="F2023" s="203"/>
      <c r="G2023" s="203"/>
      <c r="H2023" s="203"/>
      <c r="I2023" s="203"/>
      <c r="J2023" s="203"/>
      <c r="K2023" s="203"/>
      <c r="L2023" s="203"/>
      <c r="M2023" s="203"/>
      <c r="N2023" s="203"/>
      <c r="O2023" s="203"/>
      <c r="P2023" s="203"/>
    </row>
    <row r="2024" spans="5:16" x14ac:dyDescent="0.25">
      <c r="E2024" s="203"/>
      <c r="F2024" s="203"/>
      <c r="G2024" s="203"/>
      <c r="H2024" s="203"/>
      <c r="I2024" s="203"/>
      <c r="J2024" s="203"/>
      <c r="K2024" s="203"/>
      <c r="L2024" s="203"/>
      <c r="M2024" s="203"/>
      <c r="N2024" s="203"/>
      <c r="O2024" s="203"/>
      <c r="P2024" s="203"/>
    </row>
    <row r="2033" spans="8:11" x14ac:dyDescent="0.25">
      <c r="H2033" s="211"/>
      <c r="I2033" s="211"/>
      <c r="J2033" s="211"/>
      <c r="K2033" s="211"/>
    </row>
    <row r="2034" spans="8:11" x14ac:dyDescent="0.25">
      <c r="H2034" s="211"/>
      <c r="I2034" s="211"/>
      <c r="J2034" s="211"/>
      <c r="K2034" s="211"/>
    </row>
    <row r="2035" spans="8:11" x14ac:dyDescent="0.25">
      <c r="H2035" s="211"/>
      <c r="I2035" s="211"/>
      <c r="J2035" s="211"/>
      <c r="K2035" s="211"/>
    </row>
    <row r="2036" spans="8:11" x14ac:dyDescent="0.25">
      <c r="H2036" s="211"/>
      <c r="I2036" s="211"/>
      <c r="J2036" s="211"/>
      <c r="K2036" s="211"/>
    </row>
    <row r="2038" spans="8:11" x14ac:dyDescent="0.25">
      <c r="H2038" s="211"/>
      <c r="I2038" s="211"/>
      <c r="J2038" s="211"/>
      <c r="K2038" s="211"/>
    </row>
    <row r="2039" spans="8:11" x14ac:dyDescent="0.25">
      <c r="H2039" s="211"/>
      <c r="I2039" s="211"/>
      <c r="J2039" s="211"/>
      <c r="K2039" s="211"/>
    </row>
    <row r="2040" spans="8:11" x14ac:dyDescent="0.25">
      <c r="H2040" s="211"/>
      <c r="I2040" s="211"/>
      <c r="J2040" s="211"/>
      <c r="K2040" s="211"/>
    </row>
    <row r="2041" spans="8:11" x14ac:dyDescent="0.25">
      <c r="H2041" s="211"/>
      <c r="I2041" s="211"/>
      <c r="J2041" s="211"/>
      <c r="K2041" s="211"/>
    </row>
    <row r="2067" spans="5:16" x14ac:dyDescent="0.25">
      <c r="E2067" s="202"/>
      <c r="F2067" s="202"/>
      <c r="G2067" s="202"/>
      <c r="H2067" s="202"/>
      <c r="I2067" s="202"/>
      <c r="J2067" s="202"/>
      <c r="K2067" s="202"/>
      <c r="L2067" s="202"/>
      <c r="M2067" s="202"/>
      <c r="N2067" s="202"/>
      <c r="O2067" s="202"/>
      <c r="P2067" s="202"/>
    </row>
    <row r="2073" spans="5:16" x14ac:dyDescent="0.25">
      <c r="E2073" s="203"/>
      <c r="F2073" s="203"/>
      <c r="G2073" s="203"/>
      <c r="H2073" s="203"/>
      <c r="I2073" s="203"/>
      <c r="J2073" s="203"/>
      <c r="K2073" s="203"/>
      <c r="L2073" s="203"/>
      <c r="M2073" s="203"/>
      <c r="N2073" s="203"/>
      <c r="O2073" s="203"/>
      <c r="P2073" s="203"/>
    </row>
    <row r="2074" spans="5:16" x14ac:dyDescent="0.25">
      <c r="E2074" s="203"/>
      <c r="F2074" s="203"/>
      <c r="G2074" s="203"/>
      <c r="H2074" s="203"/>
      <c r="I2074" s="203"/>
      <c r="J2074" s="203"/>
      <c r="K2074" s="203"/>
      <c r="L2074" s="203"/>
      <c r="M2074" s="203"/>
      <c r="N2074" s="203"/>
      <c r="O2074" s="203"/>
      <c r="P2074" s="203"/>
    </row>
    <row r="2082" spans="8:11" x14ac:dyDescent="0.25">
      <c r="H2082" s="211"/>
      <c r="I2082" s="211"/>
      <c r="J2082" s="211"/>
      <c r="K2082" s="211"/>
    </row>
    <row r="2083" spans="8:11" x14ac:dyDescent="0.25">
      <c r="H2083" s="211"/>
      <c r="I2083" s="211"/>
      <c r="J2083" s="211"/>
      <c r="K2083" s="211"/>
    </row>
    <row r="2084" spans="8:11" x14ac:dyDescent="0.25">
      <c r="H2084" s="211"/>
      <c r="I2084" s="211"/>
      <c r="J2084" s="211"/>
      <c r="K2084" s="211"/>
    </row>
    <row r="2085" spans="8:11" x14ac:dyDescent="0.25">
      <c r="H2085" s="211"/>
      <c r="I2085" s="211"/>
      <c r="J2085" s="211"/>
      <c r="K2085" s="211"/>
    </row>
    <row r="2087" spans="8:11" x14ac:dyDescent="0.25">
      <c r="H2087" s="211"/>
      <c r="I2087" s="211"/>
      <c r="J2087" s="211"/>
      <c r="K2087" s="211"/>
    </row>
    <row r="2088" spans="8:11" x14ac:dyDescent="0.25">
      <c r="H2088" s="211"/>
      <c r="I2088" s="211"/>
      <c r="J2088" s="211"/>
      <c r="K2088" s="211"/>
    </row>
    <row r="2089" spans="8:11" x14ac:dyDescent="0.25">
      <c r="H2089" s="211"/>
      <c r="I2089" s="211"/>
      <c r="J2089" s="211"/>
      <c r="K2089" s="211"/>
    </row>
    <row r="2090" spans="8:11" x14ac:dyDescent="0.25">
      <c r="H2090" s="211"/>
      <c r="I2090" s="211"/>
      <c r="J2090" s="211"/>
      <c r="K2090" s="211"/>
    </row>
    <row r="2116" spans="5:16" x14ac:dyDescent="0.25">
      <c r="E2116" s="202"/>
      <c r="F2116" s="202"/>
      <c r="G2116" s="202"/>
      <c r="H2116" s="202"/>
      <c r="I2116" s="202"/>
      <c r="J2116" s="202"/>
      <c r="K2116" s="202"/>
      <c r="L2116" s="202"/>
      <c r="M2116" s="202"/>
      <c r="N2116" s="202"/>
      <c r="O2116" s="202"/>
      <c r="P2116" s="202"/>
    </row>
    <row r="2122" spans="5:16" x14ac:dyDescent="0.25">
      <c r="E2122" s="203"/>
      <c r="F2122" s="203"/>
      <c r="G2122" s="203"/>
      <c r="H2122" s="203"/>
      <c r="I2122" s="203"/>
      <c r="J2122" s="203"/>
      <c r="K2122" s="203"/>
      <c r="L2122" s="203"/>
      <c r="M2122" s="203"/>
      <c r="N2122" s="203"/>
      <c r="O2122" s="203"/>
      <c r="P2122" s="203"/>
    </row>
    <row r="2123" spans="5:16" x14ac:dyDescent="0.25">
      <c r="E2123" s="203"/>
      <c r="F2123" s="203"/>
      <c r="G2123" s="203"/>
      <c r="H2123" s="203"/>
      <c r="I2123" s="203"/>
      <c r="J2123" s="203"/>
      <c r="K2123" s="203"/>
      <c r="L2123" s="203"/>
      <c r="M2123" s="203"/>
      <c r="N2123" s="203"/>
      <c r="O2123" s="203"/>
      <c r="P2123" s="203"/>
    </row>
    <row r="2131" spans="8:11" x14ac:dyDescent="0.25">
      <c r="H2131" s="211"/>
      <c r="I2131" s="211"/>
      <c r="J2131" s="211"/>
      <c r="K2131" s="211"/>
    </row>
    <row r="2132" spans="8:11" x14ac:dyDescent="0.25">
      <c r="H2132" s="211"/>
      <c r="I2132" s="211"/>
      <c r="J2132" s="211"/>
      <c r="K2132" s="211"/>
    </row>
    <row r="2133" spans="8:11" x14ac:dyDescent="0.25">
      <c r="H2133" s="211"/>
      <c r="I2133" s="211"/>
      <c r="J2133" s="211"/>
      <c r="K2133" s="211"/>
    </row>
    <row r="2134" spans="8:11" x14ac:dyDescent="0.25">
      <c r="H2134" s="211"/>
      <c r="I2134" s="211"/>
      <c r="J2134" s="211"/>
      <c r="K2134" s="211"/>
    </row>
    <row r="2136" spans="8:11" x14ac:dyDescent="0.25">
      <c r="H2136" s="211"/>
      <c r="I2136" s="211"/>
      <c r="J2136" s="211"/>
      <c r="K2136" s="211"/>
    </row>
    <row r="2137" spans="8:11" x14ac:dyDescent="0.25">
      <c r="H2137" s="211"/>
      <c r="I2137" s="211"/>
      <c r="J2137" s="211"/>
      <c r="K2137" s="211"/>
    </row>
    <row r="2138" spans="8:11" x14ac:dyDescent="0.25">
      <c r="H2138" s="211"/>
      <c r="I2138" s="211"/>
      <c r="J2138" s="211"/>
      <c r="K2138" s="211"/>
    </row>
    <row r="2139" spans="8:11" x14ac:dyDescent="0.25">
      <c r="H2139" s="211"/>
      <c r="I2139" s="211"/>
      <c r="J2139" s="211"/>
      <c r="K2139" s="211"/>
    </row>
    <row r="2165" spans="5:16" x14ac:dyDescent="0.25">
      <c r="E2165" s="202"/>
      <c r="F2165" s="202"/>
      <c r="G2165" s="202"/>
      <c r="H2165" s="202"/>
      <c r="I2165" s="202"/>
      <c r="J2165" s="202"/>
      <c r="K2165" s="202"/>
      <c r="L2165" s="202"/>
      <c r="M2165" s="202"/>
      <c r="N2165" s="202"/>
      <c r="O2165" s="202"/>
      <c r="P2165" s="202"/>
    </row>
    <row r="2171" spans="5:16" x14ac:dyDescent="0.25">
      <c r="E2171" s="203"/>
      <c r="F2171" s="203"/>
      <c r="G2171" s="203"/>
      <c r="H2171" s="203"/>
      <c r="I2171" s="203"/>
      <c r="J2171" s="203"/>
      <c r="K2171" s="203"/>
      <c r="L2171" s="203"/>
      <c r="M2171" s="203"/>
      <c r="N2171" s="203"/>
      <c r="O2171" s="203"/>
      <c r="P2171" s="203"/>
    </row>
    <row r="2172" spans="5:16" x14ac:dyDescent="0.25">
      <c r="E2172" s="203"/>
      <c r="F2172" s="203"/>
      <c r="G2172" s="203"/>
      <c r="H2172" s="203"/>
      <c r="I2172" s="203"/>
      <c r="J2172" s="203"/>
      <c r="K2172" s="203"/>
      <c r="L2172" s="203"/>
      <c r="M2172" s="203"/>
      <c r="N2172" s="203"/>
      <c r="O2172" s="203"/>
      <c r="P2172" s="203"/>
    </row>
    <row r="2180" spans="8:11" x14ac:dyDescent="0.25">
      <c r="H2180" s="211"/>
      <c r="I2180" s="211"/>
      <c r="J2180" s="211"/>
      <c r="K2180" s="211"/>
    </row>
    <row r="2181" spans="8:11" x14ac:dyDescent="0.25">
      <c r="H2181" s="211"/>
      <c r="I2181" s="211"/>
      <c r="J2181" s="211"/>
      <c r="K2181" s="211"/>
    </row>
    <row r="2182" spans="8:11" x14ac:dyDescent="0.25">
      <c r="H2182" s="211"/>
      <c r="I2182" s="211"/>
      <c r="J2182" s="211"/>
      <c r="K2182" s="211"/>
    </row>
    <row r="2183" spans="8:11" x14ac:dyDescent="0.25">
      <c r="H2183" s="211"/>
      <c r="I2183" s="211"/>
      <c r="J2183" s="211"/>
      <c r="K2183" s="211"/>
    </row>
    <row r="2185" spans="8:11" x14ac:dyDescent="0.25">
      <c r="H2185" s="211"/>
      <c r="I2185" s="211"/>
      <c r="J2185" s="211"/>
      <c r="K2185" s="211"/>
    </row>
    <row r="2186" spans="8:11" x14ac:dyDescent="0.25">
      <c r="H2186" s="211"/>
      <c r="I2186" s="211"/>
      <c r="J2186" s="211"/>
      <c r="K2186" s="211"/>
    </row>
    <row r="2187" spans="8:11" x14ac:dyDescent="0.25">
      <c r="H2187" s="211"/>
      <c r="I2187" s="211"/>
      <c r="J2187" s="211"/>
      <c r="K2187" s="211"/>
    </row>
    <row r="2188" spans="8:11" x14ac:dyDescent="0.25">
      <c r="H2188" s="211"/>
      <c r="I2188" s="211"/>
      <c r="J2188" s="211"/>
      <c r="K2188" s="211"/>
    </row>
    <row r="2214" spans="5:16" x14ac:dyDescent="0.25">
      <c r="E2214" s="202"/>
      <c r="F2214" s="202"/>
      <c r="G2214" s="202"/>
      <c r="H2214" s="202"/>
      <c r="I2214" s="202"/>
      <c r="J2214" s="202"/>
      <c r="K2214" s="202"/>
      <c r="L2214" s="202"/>
      <c r="M2214" s="202"/>
      <c r="N2214" s="202"/>
      <c r="O2214" s="202"/>
      <c r="P2214" s="202"/>
    </row>
    <row r="2220" spans="5:16" x14ac:dyDescent="0.25">
      <c r="E2220" s="203"/>
      <c r="F2220" s="203"/>
      <c r="G2220" s="203"/>
      <c r="H2220" s="203"/>
      <c r="I2220" s="203"/>
      <c r="J2220" s="203"/>
      <c r="K2220" s="203"/>
      <c r="L2220" s="203"/>
      <c r="M2220" s="203"/>
      <c r="N2220" s="203"/>
      <c r="O2220" s="203"/>
      <c r="P2220" s="203"/>
    </row>
    <row r="2221" spans="5:16" x14ac:dyDescent="0.25">
      <c r="E2221" s="203"/>
      <c r="F2221" s="203"/>
      <c r="G2221" s="203"/>
      <c r="H2221" s="203"/>
      <c r="I2221" s="203"/>
      <c r="J2221" s="203"/>
      <c r="K2221" s="203"/>
      <c r="L2221" s="203"/>
      <c r="M2221" s="203"/>
      <c r="N2221" s="203"/>
      <c r="O2221" s="203"/>
      <c r="P2221" s="203"/>
    </row>
  </sheetData>
  <mergeCells count="270">
    <mergeCell ref="H2183:K2183"/>
    <mergeCell ref="H2185:K2185"/>
    <mergeCell ref="H2186:K2186"/>
    <mergeCell ref="H2187:K2187"/>
    <mergeCell ref="H2188:K2188"/>
    <mergeCell ref="H2137:K2137"/>
    <mergeCell ref="H2138:K2138"/>
    <mergeCell ref="H2139:K2139"/>
    <mergeCell ref="H2180:K2180"/>
    <mergeCell ref="H2181:K2181"/>
    <mergeCell ref="H2182:K2182"/>
    <mergeCell ref="H2090:K2090"/>
    <mergeCell ref="H2131:K2131"/>
    <mergeCell ref="H2132:K2132"/>
    <mergeCell ref="H2133:K2133"/>
    <mergeCell ref="H2134:K2134"/>
    <mergeCell ref="H2136:K2136"/>
    <mergeCell ref="H2083:K2083"/>
    <mergeCell ref="H2084:K2084"/>
    <mergeCell ref="H2085:K2085"/>
    <mergeCell ref="H2087:K2087"/>
    <mergeCell ref="H2088:K2088"/>
    <mergeCell ref="H2089:K2089"/>
    <mergeCell ref="H2036:K2036"/>
    <mergeCell ref="H2038:K2038"/>
    <mergeCell ref="H2039:K2039"/>
    <mergeCell ref="H2040:K2040"/>
    <mergeCell ref="H2041:K2041"/>
    <mergeCell ref="H2082:K2082"/>
    <mergeCell ref="H1989:K1989"/>
    <mergeCell ref="H1990:K1990"/>
    <mergeCell ref="H1991:K1991"/>
    <mergeCell ref="H2033:K2033"/>
    <mergeCell ref="H2034:K2034"/>
    <mergeCell ref="H2035:K2035"/>
    <mergeCell ref="H1941:K1941"/>
    <mergeCell ref="H1983:K1983"/>
    <mergeCell ref="H1984:K1984"/>
    <mergeCell ref="H1985:K1985"/>
    <mergeCell ref="H1986:K1986"/>
    <mergeCell ref="H1988:K1988"/>
    <mergeCell ref="H1934:K1934"/>
    <mergeCell ref="H1935:K1935"/>
    <mergeCell ref="H1936:K1936"/>
    <mergeCell ref="H1938:K1938"/>
    <mergeCell ref="H1939:K1939"/>
    <mergeCell ref="H1940:K1940"/>
    <mergeCell ref="H1885:K1885"/>
    <mergeCell ref="H1886:K1886"/>
    <mergeCell ref="H1888:K1888"/>
    <mergeCell ref="H1889:K1889"/>
    <mergeCell ref="H1891:K1891"/>
    <mergeCell ref="H1933:K1933"/>
    <mergeCell ref="H1837:K1837"/>
    <mergeCell ref="H1839:K1839"/>
    <mergeCell ref="H1840:K1840"/>
    <mergeCell ref="H1842:K1842"/>
    <mergeCell ref="H1883:K1883"/>
    <mergeCell ref="H1884:K1884"/>
    <mergeCell ref="H1789:K1789"/>
    <mergeCell ref="H1790:K1790"/>
    <mergeCell ref="H1792:K1792"/>
    <mergeCell ref="H1834:K1834"/>
    <mergeCell ref="H1835:K1835"/>
    <mergeCell ref="H1836:K1836"/>
    <mergeCell ref="H1743:K1743"/>
    <mergeCell ref="H1744:K1744"/>
    <mergeCell ref="H1784:K1784"/>
    <mergeCell ref="H1785:K1785"/>
    <mergeCell ref="H1786:K1786"/>
    <mergeCell ref="H1787:K1787"/>
    <mergeCell ref="H1736:K1736"/>
    <mergeCell ref="H1737:K1737"/>
    <mergeCell ref="H1738:K1738"/>
    <mergeCell ref="H1739:K1739"/>
    <mergeCell ref="H1741:K1741"/>
    <mergeCell ref="H1742:K1742"/>
    <mergeCell ref="H1691:K1691"/>
    <mergeCell ref="H1692:K1692"/>
    <mergeCell ref="H1694:K1694"/>
    <mergeCell ref="H1695:K1695"/>
    <mergeCell ref="H1696:K1696"/>
    <mergeCell ref="H1697:K1697"/>
    <mergeCell ref="H1646:K1646"/>
    <mergeCell ref="H1647:K1647"/>
    <mergeCell ref="H1648:K1648"/>
    <mergeCell ref="H1649:K1649"/>
    <mergeCell ref="H1689:K1689"/>
    <mergeCell ref="H1690:K1690"/>
    <mergeCell ref="A1392:Q1392"/>
    <mergeCell ref="A1394:Q1394"/>
    <mergeCell ref="H1641:K1641"/>
    <mergeCell ref="H1642:K1642"/>
    <mergeCell ref="H1643:K1643"/>
    <mergeCell ref="H1644:K1644"/>
    <mergeCell ref="A1343:Q1343"/>
    <mergeCell ref="A1345:Q1345"/>
    <mergeCell ref="A1388:Q1388"/>
    <mergeCell ref="A1389:Q1389"/>
    <mergeCell ref="A1390:Q1390"/>
    <mergeCell ref="A1391:Q1391"/>
    <mergeCell ref="A1294:Q1294"/>
    <mergeCell ref="A1296:Q1296"/>
    <mergeCell ref="A1339:Q1339"/>
    <mergeCell ref="A1340:Q1340"/>
    <mergeCell ref="A1341:Q1341"/>
    <mergeCell ref="A1342:Q1342"/>
    <mergeCell ref="A1245:Q1245"/>
    <mergeCell ref="A1247:Q1247"/>
    <mergeCell ref="A1290:Q1290"/>
    <mergeCell ref="A1291:Q1291"/>
    <mergeCell ref="A1292:Q1292"/>
    <mergeCell ref="A1293:Q1293"/>
    <mergeCell ref="A1196:Q1196"/>
    <mergeCell ref="A1198:Q1198"/>
    <mergeCell ref="A1241:Q1241"/>
    <mergeCell ref="A1242:Q1242"/>
    <mergeCell ref="A1243:Q1243"/>
    <mergeCell ref="A1244:Q1244"/>
    <mergeCell ref="A1147:Q1147"/>
    <mergeCell ref="A1149:Q1149"/>
    <mergeCell ref="A1192:Q1192"/>
    <mergeCell ref="A1193:Q1193"/>
    <mergeCell ref="A1194:Q1194"/>
    <mergeCell ref="A1195:Q1195"/>
    <mergeCell ref="A1098:Q1098"/>
    <mergeCell ref="A1100:Q1100"/>
    <mergeCell ref="A1143:Q1143"/>
    <mergeCell ref="A1144:Q1144"/>
    <mergeCell ref="A1145:Q1145"/>
    <mergeCell ref="A1146:Q1146"/>
    <mergeCell ref="A1049:Q1049"/>
    <mergeCell ref="A1051:Q1051"/>
    <mergeCell ref="A1094:Q1094"/>
    <mergeCell ref="A1095:Q1095"/>
    <mergeCell ref="A1096:Q1096"/>
    <mergeCell ref="A1097:Q1097"/>
    <mergeCell ref="A1000:Q1000"/>
    <mergeCell ref="A1002:Q1002"/>
    <mergeCell ref="A1045:Q1045"/>
    <mergeCell ref="A1046:Q1046"/>
    <mergeCell ref="A1047:Q1047"/>
    <mergeCell ref="A1048:Q1048"/>
    <mergeCell ref="A951:Q951"/>
    <mergeCell ref="A953:Q953"/>
    <mergeCell ref="A996:Q996"/>
    <mergeCell ref="A997:Q997"/>
    <mergeCell ref="A998:Q998"/>
    <mergeCell ref="A999:Q999"/>
    <mergeCell ref="A903:Q903"/>
    <mergeCell ref="A905:Q905"/>
    <mergeCell ref="A947:Q947"/>
    <mergeCell ref="A948:Q948"/>
    <mergeCell ref="A949:Q949"/>
    <mergeCell ref="A950:Q950"/>
    <mergeCell ref="A854:Q854"/>
    <mergeCell ref="A856:Q856"/>
    <mergeCell ref="A899:Q899"/>
    <mergeCell ref="A900:Q900"/>
    <mergeCell ref="A901:Q901"/>
    <mergeCell ref="A902:Q902"/>
    <mergeCell ref="A805:Q805"/>
    <mergeCell ref="A807:Q807"/>
    <mergeCell ref="A850:Q850"/>
    <mergeCell ref="A851:Q851"/>
    <mergeCell ref="A852:Q852"/>
    <mergeCell ref="A853:Q853"/>
    <mergeCell ref="A756:Q756"/>
    <mergeCell ref="A758:Q758"/>
    <mergeCell ref="A801:Q801"/>
    <mergeCell ref="A802:Q802"/>
    <mergeCell ref="A803:Q803"/>
    <mergeCell ref="A804:Q804"/>
    <mergeCell ref="A707:Q707"/>
    <mergeCell ref="A709:Q709"/>
    <mergeCell ref="A752:Q752"/>
    <mergeCell ref="A753:Q753"/>
    <mergeCell ref="A754:Q754"/>
    <mergeCell ref="A755:Q755"/>
    <mergeCell ref="A658:Q658"/>
    <mergeCell ref="A660:Q660"/>
    <mergeCell ref="A703:Q703"/>
    <mergeCell ref="A704:Q704"/>
    <mergeCell ref="A705:Q705"/>
    <mergeCell ref="A706:Q706"/>
    <mergeCell ref="A609:Q609"/>
    <mergeCell ref="A611:Q611"/>
    <mergeCell ref="A654:Q654"/>
    <mergeCell ref="A655:Q655"/>
    <mergeCell ref="A656:Q656"/>
    <mergeCell ref="A657:Q657"/>
    <mergeCell ref="A560:Q560"/>
    <mergeCell ref="A562:Q562"/>
    <mergeCell ref="A605:Q605"/>
    <mergeCell ref="A606:Q606"/>
    <mergeCell ref="A607:Q607"/>
    <mergeCell ref="A608:Q608"/>
    <mergeCell ref="A513:Q513"/>
    <mergeCell ref="A515:Q515"/>
    <mergeCell ref="A556:Q556"/>
    <mergeCell ref="A557:Q557"/>
    <mergeCell ref="A558:Q558"/>
    <mergeCell ref="A559:Q559"/>
    <mergeCell ref="A464:Q464"/>
    <mergeCell ref="A466:Q466"/>
    <mergeCell ref="A509:Q509"/>
    <mergeCell ref="A510:Q510"/>
    <mergeCell ref="A511:Q511"/>
    <mergeCell ref="A512:Q512"/>
    <mergeCell ref="A415:Q415"/>
    <mergeCell ref="A417:Q417"/>
    <mergeCell ref="A460:Q460"/>
    <mergeCell ref="A461:Q461"/>
    <mergeCell ref="A462:Q462"/>
    <mergeCell ref="A463:Q463"/>
    <mergeCell ref="A367:Q367"/>
    <mergeCell ref="A369:Q369"/>
    <mergeCell ref="A411:Q411"/>
    <mergeCell ref="A412:Q412"/>
    <mergeCell ref="A413:Q413"/>
    <mergeCell ref="A414:Q414"/>
    <mergeCell ref="A321:Q321"/>
    <mergeCell ref="A323:Q323"/>
    <mergeCell ref="A363:Q363"/>
    <mergeCell ref="A364:Q364"/>
    <mergeCell ref="A365:Q365"/>
    <mergeCell ref="A366:Q366"/>
    <mergeCell ref="A273:Q273"/>
    <mergeCell ref="A275:Q275"/>
    <mergeCell ref="A317:Q317"/>
    <mergeCell ref="A318:Q318"/>
    <mergeCell ref="A319:Q319"/>
    <mergeCell ref="A320:Q320"/>
    <mergeCell ref="A226:Q226"/>
    <mergeCell ref="A228:Q228"/>
    <mergeCell ref="A269:Q269"/>
    <mergeCell ref="A270:Q270"/>
    <mergeCell ref="A271:Q271"/>
    <mergeCell ref="A272:Q272"/>
    <mergeCell ref="A178:Q178"/>
    <mergeCell ref="T178:AM178"/>
    <mergeCell ref="A222:Q222"/>
    <mergeCell ref="A223:Q223"/>
    <mergeCell ref="A224:Q224"/>
    <mergeCell ref="A225:Q225"/>
    <mergeCell ref="A174:Q174"/>
    <mergeCell ref="T174:AM174"/>
    <mergeCell ref="A175:Q175"/>
    <mergeCell ref="T175:AM175"/>
    <mergeCell ref="A176:Q176"/>
    <mergeCell ref="T176:AM176"/>
    <mergeCell ref="A124:Q124"/>
    <mergeCell ref="A125:Q125"/>
    <mergeCell ref="A127:Q127"/>
    <mergeCell ref="A172:Q172"/>
    <mergeCell ref="T172:AM172"/>
    <mergeCell ref="A173:Q173"/>
    <mergeCell ref="T173:AM173"/>
    <mergeCell ref="A78:Q78"/>
    <mergeCell ref="A79:Q79"/>
    <mergeCell ref="A81:Q81"/>
    <mergeCell ref="A121:Q121"/>
    <mergeCell ref="A122:Q122"/>
    <mergeCell ref="A123:Q123"/>
    <mergeCell ref="A8:Q8"/>
    <mergeCell ref="A9:Q9"/>
    <mergeCell ref="A10:Q10"/>
    <mergeCell ref="A75:Q75"/>
    <mergeCell ref="A76:Q76"/>
    <mergeCell ref="A77:Q77"/>
  </mergeCells>
  <pageMargins left="0.5" right="0.5" top="1" bottom="0.75" header="0.55000000000000004" footer="0.3"/>
  <pageSetup scale="50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22" manualBreakCount="22">
    <brk id="219" max="16" man="1"/>
    <brk id="267" max="16" man="1"/>
    <brk id="314" max="16" man="1"/>
    <brk id="408" max="16" man="1"/>
    <brk id="457" max="16" man="1"/>
    <brk id="506" max="16" man="1"/>
    <brk id="554" max="16" man="1"/>
    <brk id="602" max="16" man="1"/>
    <brk id="651" max="16" man="1"/>
    <brk id="700" max="16" man="1"/>
    <brk id="749" max="16" man="1"/>
    <brk id="798" max="16" man="1"/>
    <brk id="848" max="16" man="1"/>
    <brk id="897" max="16" man="1"/>
    <brk id="945" max="16" man="1"/>
    <brk id="993" max="16" man="1"/>
    <brk id="1042" max="16" man="1"/>
    <brk id="1091" max="16" man="1"/>
    <brk id="1140" max="16" man="1"/>
    <brk id="1189" max="16" man="1"/>
    <brk id="1237" max="16" man="1"/>
    <brk id="1287" max="1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72A2-CABC-453C-B78E-5D7806616CD6}">
  <sheetPr transitionEvaluation="1" transitionEntry="1"/>
  <dimension ref="A1:AF475"/>
  <sheetViews>
    <sheetView showGridLines="0" defaultGridColor="0" view="pageBreakPreview" topLeftCell="A11" colorId="8" zoomScaleNormal="60" zoomScaleSheetLayoutView="100" workbookViewId="0">
      <selection activeCell="Q28" sqref="Q28"/>
    </sheetView>
  </sheetViews>
  <sheetFormatPr defaultColWidth="11.58203125" defaultRowHeight="12.5" x14ac:dyDescent="0.25"/>
  <cols>
    <col min="1" max="1" width="4.58203125" style="1" customWidth="1"/>
    <col min="2" max="2" width="3.58203125" style="1" customWidth="1"/>
    <col min="3" max="3" width="33.58203125" style="1" customWidth="1"/>
    <col min="4" max="4" width="15.08203125" style="1" customWidth="1"/>
    <col min="5" max="16" width="12.08203125" style="1" bestFit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8.33203125" style="1" bestFit="1" customWidth="1"/>
    <col min="21" max="21" width="18.83203125" style="1" bestFit="1" customWidth="1"/>
    <col min="22" max="23" width="16.75" style="1" bestFit="1" customWidth="1"/>
    <col min="24" max="32" width="9.3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27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350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144305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144305</v>
      </c>
    </row>
    <row r="16" spans="1:19" x14ac:dyDescent="0.25">
      <c r="A16" s="13"/>
      <c r="B16" s="23" t="s">
        <v>264</v>
      </c>
      <c r="C16" s="23" t="s">
        <v>265</v>
      </c>
      <c r="E16" s="1">
        <v>144305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144305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27">
        <v>852460.86</v>
      </c>
      <c r="E20" s="27">
        <f t="shared" ref="E20:M20" si="0">D20+E16-E17</f>
        <v>996765.86</v>
      </c>
      <c r="F20" s="1">
        <f t="shared" si="0"/>
        <v>996765.86</v>
      </c>
      <c r="G20" s="1">
        <f t="shared" si="0"/>
        <v>996765.86</v>
      </c>
      <c r="H20" s="1">
        <f t="shared" si="0"/>
        <v>996765.86</v>
      </c>
      <c r="I20" s="1">
        <f t="shared" si="0"/>
        <v>996765.86</v>
      </c>
      <c r="J20" s="1">
        <f t="shared" si="0"/>
        <v>996765.86</v>
      </c>
      <c r="K20" s="1">
        <f t="shared" si="0"/>
        <v>996765.86</v>
      </c>
      <c r="L20" s="1">
        <f t="shared" si="0"/>
        <v>996765.86</v>
      </c>
      <c r="M20" s="1">
        <f t="shared" si="0"/>
        <v>996765.86</v>
      </c>
      <c r="N20" s="1">
        <f>M20+N16-N17</f>
        <v>996765.86</v>
      </c>
      <c r="O20" s="1">
        <f>N20+O16-O17</f>
        <v>996765.86</v>
      </c>
      <c r="P20" s="1">
        <f>O20+P16-P17</f>
        <v>996765.86</v>
      </c>
      <c r="T20" s="1">
        <f>SUM(U20:AF20)</f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x14ac:dyDescent="0.25">
      <c r="A21" s="13">
        <v>3</v>
      </c>
      <c r="B21" s="23" t="s">
        <v>273</v>
      </c>
      <c r="C21" s="13"/>
      <c r="D21" s="240">
        <v>-50033.887790669272</v>
      </c>
      <c r="E21" s="27">
        <f t="shared" ref="E21:M21" si="1">D21-E33-E35+E17+E18-E19</f>
        <v>-53115.932293182159</v>
      </c>
      <c r="F21" s="1">
        <f t="shared" si="1"/>
        <v>-56438.485126623294</v>
      </c>
      <c r="G21" s="1">
        <f t="shared" si="1"/>
        <v>-59761.03796006443</v>
      </c>
      <c r="H21" s="1">
        <f t="shared" si="1"/>
        <v>-63083.590793505566</v>
      </c>
      <c r="I21" s="1">
        <f t="shared" si="1"/>
        <v>-66406.143626946709</v>
      </c>
      <c r="J21" s="1">
        <f t="shared" si="1"/>
        <v>-69728.696460387844</v>
      </c>
      <c r="K21" s="1">
        <f t="shared" si="1"/>
        <v>-73051.24929382898</v>
      </c>
      <c r="L21" s="1">
        <f t="shared" si="1"/>
        <v>-76373.802127270115</v>
      </c>
      <c r="M21" s="1">
        <f t="shared" si="1"/>
        <v>-79696.354960711251</v>
      </c>
      <c r="N21" s="1">
        <f>M21-N33-N35+N17+N18-N19</f>
        <v>-83018.907794152386</v>
      </c>
      <c r="O21" s="1">
        <f>N21-O33-O35+O17+O18-O19</f>
        <v>-86341.460627593522</v>
      </c>
      <c r="P21" s="1">
        <f>O21-P33-P35+P17+P18-P19</f>
        <v>-89664.013461034658</v>
      </c>
      <c r="T21" s="1">
        <f>SUM(U21:AF21)</f>
        <v>0.11999999996623956</v>
      </c>
      <c r="U21" s="1">
        <v>1.0000000002037268E-2</v>
      </c>
      <c r="V21" s="1">
        <v>1.0000000002037268E-2</v>
      </c>
      <c r="W21" s="1">
        <v>1.0000000002037268E-2</v>
      </c>
      <c r="X21" s="1">
        <v>1.0000000002037268E-2</v>
      </c>
      <c r="Y21" s="1">
        <v>9.9999999947613105E-3</v>
      </c>
      <c r="Z21" s="1">
        <v>9.9999999947613105E-3</v>
      </c>
      <c r="AA21" s="1">
        <v>9.9999999947613105E-3</v>
      </c>
      <c r="AB21" s="1">
        <v>9.9999999947613105E-3</v>
      </c>
      <c r="AC21" s="1">
        <v>9.9999999947613105E-3</v>
      </c>
      <c r="AD21" s="1">
        <v>9.9999999947613105E-3</v>
      </c>
      <c r="AE21" s="1">
        <v>9.9999999947613105E-3</v>
      </c>
      <c r="AF21" s="1">
        <v>9.9999999947613105E-3</v>
      </c>
    </row>
    <row r="22" spans="1:32" x14ac:dyDescent="0.25">
      <c r="A22" s="13">
        <v>4</v>
      </c>
      <c r="B22" s="23" t="s">
        <v>274</v>
      </c>
      <c r="C22" s="13"/>
      <c r="D22" s="27">
        <v>396464.48</v>
      </c>
      <c r="E22" s="27">
        <f t="shared" ref="E22:P22" si="2">D22+E15-E16</f>
        <v>396464.48</v>
      </c>
      <c r="F22" s="1">
        <f t="shared" si="2"/>
        <v>396464.48</v>
      </c>
      <c r="G22" s="1">
        <f t="shared" si="2"/>
        <v>396464.48</v>
      </c>
      <c r="H22" s="1">
        <f t="shared" si="2"/>
        <v>396464.48</v>
      </c>
      <c r="I22" s="1">
        <f t="shared" si="2"/>
        <v>396464.48</v>
      </c>
      <c r="J22" s="1">
        <f t="shared" si="2"/>
        <v>396464.48</v>
      </c>
      <c r="K22" s="1">
        <f t="shared" si="2"/>
        <v>396464.48</v>
      </c>
      <c r="L22" s="1">
        <f t="shared" si="2"/>
        <v>396464.48</v>
      </c>
      <c r="M22" s="1">
        <f t="shared" si="2"/>
        <v>396464.48</v>
      </c>
      <c r="N22" s="1">
        <f t="shared" si="2"/>
        <v>396464.48</v>
      </c>
      <c r="O22" s="1">
        <f t="shared" si="2"/>
        <v>396464.48</v>
      </c>
      <c r="P22" s="1">
        <f t="shared" si="2"/>
        <v>396464.48</v>
      </c>
      <c r="T22" s="1">
        <f>SUM(U22:AF22)</f>
        <v>0.36000000033527613</v>
      </c>
      <c r="U22" s="1">
        <v>3.0000000027939677E-2</v>
      </c>
      <c r="V22" s="1">
        <v>3.0000000027939677E-2</v>
      </c>
      <c r="W22" s="1">
        <v>3.0000000027939677E-2</v>
      </c>
      <c r="X22" s="1">
        <v>3.0000000027939677E-2</v>
      </c>
      <c r="Y22" s="1">
        <v>3.0000000027939677E-2</v>
      </c>
      <c r="Z22" s="1">
        <v>3.0000000027939677E-2</v>
      </c>
      <c r="AA22" s="1">
        <v>3.0000000027939677E-2</v>
      </c>
      <c r="AB22" s="1">
        <v>3.0000000027939677E-2</v>
      </c>
      <c r="AC22" s="1">
        <v>3.0000000027939677E-2</v>
      </c>
      <c r="AD22" s="1">
        <v>3.0000000027939677E-2</v>
      </c>
      <c r="AE22" s="1">
        <v>3.0000000027939677E-2</v>
      </c>
      <c r="AF22" s="1">
        <v>3.0000000027939677E-2</v>
      </c>
    </row>
    <row r="23" spans="1:32" x14ac:dyDescent="0.25">
      <c r="A23" s="13">
        <v>5</v>
      </c>
      <c r="B23" s="23" t="s">
        <v>351</v>
      </c>
      <c r="C23" s="13"/>
      <c r="D23" s="241">
        <v>0</v>
      </c>
      <c r="E23" s="241">
        <f>2405287.73+E37-E34</f>
        <v>2401278.9171500001</v>
      </c>
      <c r="F23" s="199">
        <f t="shared" ref="F23:P23" si="3">E23-F34+F37</f>
        <v>2451042.9778666669</v>
      </c>
      <c r="G23" s="199">
        <f t="shared" si="3"/>
        <v>2474764.9153333334</v>
      </c>
      <c r="H23" s="199">
        <f t="shared" si="3"/>
        <v>2459149.4672333333</v>
      </c>
      <c r="I23" s="199">
        <f t="shared" si="3"/>
        <v>2498267.8826166666</v>
      </c>
      <c r="J23" s="199">
        <f>I23-J34+J37</f>
        <v>2590006.7773833331</v>
      </c>
      <c r="K23" s="199">
        <f t="shared" si="3"/>
        <v>2611216.6721499995</v>
      </c>
      <c r="L23" s="199">
        <f t="shared" si="3"/>
        <v>2630415.566916666</v>
      </c>
      <c r="M23" s="199">
        <f t="shared" si="3"/>
        <v>2636964.4616833325</v>
      </c>
      <c r="N23" s="199">
        <f t="shared" si="3"/>
        <v>2643513.3564499989</v>
      </c>
      <c r="O23" s="199">
        <f t="shared" si="3"/>
        <v>7000262.2512166649</v>
      </c>
      <c r="P23" s="199">
        <f t="shared" si="3"/>
        <v>8839288.5160277318</v>
      </c>
    </row>
    <row r="24" spans="1:32" x14ac:dyDescent="0.25">
      <c r="A24" s="13">
        <v>6</v>
      </c>
      <c r="B24" s="23" t="s">
        <v>275</v>
      </c>
      <c r="C24" s="13"/>
      <c r="D24" s="241">
        <f t="shared" ref="D24:P24" si="4">SUM(D20:D23)</f>
        <v>1198891.4522093306</v>
      </c>
      <c r="E24" s="241">
        <f t="shared" si="4"/>
        <v>3741393.3248568177</v>
      </c>
      <c r="F24" s="199">
        <f t="shared" si="4"/>
        <v>3787834.8327400433</v>
      </c>
      <c r="G24" s="199">
        <f t="shared" si="4"/>
        <v>3808234.2173732687</v>
      </c>
      <c r="H24" s="199">
        <f t="shared" si="4"/>
        <v>3789296.2164398278</v>
      </c>
      <c r="I24" s="199">
        <f t="shared" si="4"/>
        <v>3825092.07898972</v>
      </c>
      <c r="J24" s="199">
        <f t="shared" si="4"/>
        <v>3913508.4209229453</v>
      </c>
      <c r="K24" s="199">
        <f t="shared" si="4"/>
        <v>3931395.7628561705</v>
      </c>
      <c r="L24" s="199">
        <f t="shared" si="4"/>
        <v>3947272.1047893958</v>
      </c>
      <c r="M24" s="199">
        <f t="shared" si="4"/>
        <v>3950498.4467226211</v>
      </c>
      <c r="N24" s="199">
        <f t="shared" si="4"/>
        <v>3953724.7886558464</v>
      </c>
      <c r="O24" s="199">
        <f t="shared" si="4"/>
        <v>8307151.1305890717</v>
      </c>
      <c r="P24" s="199">
        <f t="shared" si="4"/>
        <v>10142854.842566697</v>
      </c>
    </row>
    <row r="25" spans="1:32" x14ac:dyDescent="0.25">
      <c r="A25" s="13"/>
      <c r="B25" s="23"/>
      <c r="D25" s="27"/>
      <c r="E25" s="27"/>
    </row>
    <row r="26" spans="1:32" x14ac:dyDescent="0.25">
      <c r="A26" s="13">
        <v>7</v>
      </c>
      <c r="B26" s="23" t="s">
        <v>276</v>
      </c>
      <c r="C26" s="23"/>
      <c r="E26" s="1">
        <f>(D24+E24)/2</f>
        <v>2470142.3885330744</v>
      </c>
      <c r="F26" s="1">
        <f t="shared" ref="F26:P26" si="5">(E24+F24)/2</f>
        <v>3764614.0787984305</v>
      </c>
      <c r="G26" s="1">
        <f t="shared" si="5"/>
        <v>3798034.525056656</v>
      </c>
      <c r="H26" s="1">
        <f t="shared" si="5"/>
        <v>3798765.2169065485</v>
      </c>
      <c r="I26" s="1">
        <f t="shared" si="5"/>
        <v>3807194.1477147741</v>
      </c>
      <c r="J26" s="1">
        <f t="shared" si="5"/>
        <v>3869300.2499563326</v>
      </c>
      <c r="K26" s="1">
        <f t="shared" si="5"/>
        <v>3922452.0918895579</v>
      </c>
      <c r="L26" s="1">
        <f t="shared" si="5"/>
        <v>3939333.9338227832</v>
      </c>
      <c r="M26" s="1">
        <f t="shared" si="5"/>
        <v>3948885.2757560085</v>
      </c>
      <c r="N26" s="1">
        <f t="shared" si="5"/>
        <v>3952111.6176892337</v>
      </c>
      <c r="O26" s="1">
        <f t="shared" si="5"/>
        <v>6130437.9596224595</v>
      </c>
      <c r="P26" s="1">
        <f t="shared" si="5"/>
        <v>9225002.9865778834</v>
      </c>
    </row>
    <row r="27" spans="1:32" x14ac:dyDescent="0.25">
      <c r="A27" s="200"/>
      <c r="B27" s="20"/>
      <c r="S27" s="1" t="s">
        <v>352</v>
      </c>
      <c r="T27" s="1" t="s">
        <v>353</v>
      </c>
      <c r="U27" s="1" t="s">
        <v>354</v>
      </c>
      <c r="V27" s="1" t="s">
        <v>355</v>
      </c>
      <c r="W27" s="1" t="s">
        <v>356</v>
      </c>
    </row>
    <row r="28" spans="1:32" x14ac:dyDescent="0.25">
      <c r="A28" s="13">
        <v>8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S28" s="242">
        <v>43861</v>
      </c>
      <c r="T28" s="1">
        <v>0</v>
      </c>
      <c r="U28" s="1">
        <v>2405287.71</v>
      </c>
      <c r="V28" s="1">
        <v>4008.8128500000003</v>
      </c>
      <c r="W28" s="1">
        <v>2401278.8971500001</v>
      </c>
    </row>
    <row r="29" spans="1:32" x14ac:dyDescent="0.25">
      <c r="A29" s="200"/>
      <c r="B29" s="23" t="s">
        <v>262</v>
      </c>
      <c r="C29" s="23" t="s">
        <v>278</v>
      </c>
      <c r="E29" s="1">
        <v>11372.535556806273</v>
      </c>
      <c r="F29" s="1">
        <v>17332.283218787972</v>
      </c>
      <c r="G29" s="1">
        <v>17486.150953360844</v>
      </c>
      <c r="H29" s="1">
        <v>17489.515058637746</v>
      </c>
      <c r="I29" s="1">
        <v>17528.321856078819</v>
      </c>
      <c r="J29" s="1">
        <v>17814.258350798955</v>
      </c>
      <c r="K29" s="1">
        <v>18784.623068059092</v>
      </c>
      <c r="L29" s="1">
        <v>18865.47020907731</v>
      </c>
      <c r="M29" s="1">
        <v>18911.211585595524</v>
      </c>
      <c r="N29" s="1">
        <v>18926.662537113742</v>
      </c>
      <c r="O29" s="1">
        <v>29358.667388631959</v>
      </c>
      <c r="P29" s="1">
        <v>44178.539302721481</v>
      </c>
      <c r="Q29" s="1">
        <f>ROUND(SUM(E29:P29),2)</f>
        <v>248048.24</v>
      </c>
      <c r="S29" s="242">
        <v>43890</v>
      </c>
      <c r="T29" s="1">
        <v>2401278.8971500001</v>
      </c>
      <c r="U29" s="1">
        <v>57878.150000000009</v>
      </c>
      <c r="V29" s="1">
        <v>8114.0892833333346</v>
      </c>
      <c r="W29" s="1">
        <v>2451042.9578666668</v>
      </c>
    </row>
    <row r="30" spans="1:32" x14ac:dyDescent="0.25">
      <c r="A30" s="200"/>
      <c r="B30" s="23" t="s">
        <v>264</v>
      </c>
      <c r="C30" s="23" t="s">
        <v>279</v>
      </c>
      <c r="E30" s="1">
        <v>2870.3054554754326</v>
      </c>
      <c r="F30" s="1">
        <v>4374.4815595637765</v>
      </c>
      <c r="G30" s="1">
        <v>4413.3161181158348</v>
      </c>
      <c r="H30" s="1">
        <v>4414.1651820454099</v>
      </c>
      <c r="I30" s="1">
        <v>4423.9595996445678</v>
      </c>
      <c r="J30" s="1">
        <v>4496.126890449259</v>
      </c>
      <c r="K30" s="1">
        <v>4114.6522443921467</v>
      </c>
      <c r="L30" s="1">
        <v>4132.3612965800994</v>
      </c>
      <c r="M30" s="1">
        <v>4142.3806542680531</v>
      </c>
      <c r="N30" s="1">
        <v>4145.7650869560066</v>
      </c>
      <c r="O30" s="1">
        <v>6430.8294196439601</v>
      </c>
      <c r="P30" s="1">
        <v>9677.0281329202007</v>
      </c>
      <c r="Q30" s="1">
        <f>ROUND(SUM(E30:P30),2)</f>
        <v>57635.37</v>
      </c>
      <c r="S30" s="242">
        <v>43921</v>
      </c>
      <c r="T30" s="1">
        <v>2451042.9578666668</v>
      </c>
      <c r="U30" s="1">
        <v>31985.800000000003</v>
      </c>
      <c r="V30" s="1">
        <v>8263.862533333333</v>
      </c>
      <c r="W30" s="1">
        <v>2474764.8953333334</v>
      </c>
    </row>
    <row r="31" spans="1:32" x14ac:dyDescent="0.25">
      <c r="A31" s="200"/>
      <c r="B31" s="202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S31" s="242">
        <v>43951</v>
      </c>
      <c r="T31" s="1">
        <v>2474764.8953333334</v>
      </c>
      <c r="U31" s="1">
        <v>-7310.4600000000064</v>
      </c>
      <c r="V31" s="1">
        <v>8304.9880999999987</v>
      </c>
      <c r="W31" s="1">
        <v>2459149.4472333333</v>
      </c>
    </row>
    <row r="32" spans="1:32" x14ac:dyDescent="0.25">
      <c r="A32" s="13">
        <v>9</v>
      </c>
      <c r="B32" s="23" t="s">
        <v>280</v>
      </c>
      <c r="S32" s="242">
        <v>43982</v>
      </c>
      <c r="T32" s="1">
        <v>2459149.4472333333</v>
      </c>
      <c r="U32" s="1">
        <v>47490.37</v>
      </c>
      <c r="V32" s="1">
        <v>8371.954616666666</v>
      </c>
      <c r="W32" s="1">
        <v>2498267.8626166666</v>
      </c>
    </row>
    <row r="33" spans="1:23" x14ac:dyDescent="0.25">
      <c r="A33" s="200"/>
      <c r="B33" s="23" t="s">
        <v>262</v>
      </c>
      <c r="C33" s="23" t="s">
        <v>281</v>
      </c>
      <c r="E33" s="1">
        <v>3082.0445025128879</v>
      </c>
      <c r="F33" s="1">
        <v>3322.5528334411379</v>
      </c>
      <c r="G33" s="1">
        <v>3322.5528334411379</v>
      </c>
      <c r="H33" s="1">
        <v>3322.5528334411379</v>
      </c>
      <c r="I33" s="1">
        <v>3322.5528334411379</v>
      </c>
      <c r="J33" s="1">
        <v>3322.5528334411379</v>
      </c>
      <c r="K33" s="1">
        <v>3322.5528334411379</v>
      </c>
      <c r="L33" s="1">
        <v>3322.5528334411379</v>
      </c>
      <c r="M33" s="1">
        <v>3322.5528334411379</v>
      </c>
      <c r="N33" s="1">
        <v>3322.5528334411379</v>
      </c>
      <c r="O33" s="1">
        <v>3322.5528334411379</v>
      </c>
      <c r="P33" s="1">
        <v>3322.5528334411379</v>
      </c>
      <c r="Q33" s="1">
        <f>SUM(E33:P33)</f>
        <v>39630.1256703654</v>
      </c>
      <c r="S33" s="242">
        <v>44012</v>
      </c>
      <c r="T33" s="1">
        <v>2498267.8626166666</v>
      </c>
      <c r="U33" s="1">
        <v>0</v>
      </c>
      <c r="V33" s="1">
        <v>8451.1052333333337</v>
      </c>
      <c r="W33" s="1">
        <v>2489816.7573833331</v>
      </c>
    </row>
    <row r="34" spans="1:23" x14ac:dyDescent="0.25">
      <c r="A34" s="200"/>
      <c r="B34" s="23" t="s">
        <v>264</v>
      </c>
      <c r="C34" s="23" t="s">
        <v>282</v>
      </c>
      <c r="E34" s="1">
        <f>V28</f>
        <v>4008.8128500000003</v>
      </c>
      <c r="F34" s="1">
        <f>V29</f>
        <v>8114.0892833333346</v>
      </c>
      <c r="G34" s="1">
        <f>V30</f>
        <v>8263.862533333333</v>
      </c>
      <c r="H34" s="1">
        <f>V31</f>
        <v>8304.9880999999987</v>
      </c>
      <c r="I34" s="1">
        <f>$V32</f>
        <v>8371.954616666666</v>
      </c>
      <c r="J34" s="1">
        <f>$V33</f>
        <v>8451.1052333333337</v>
      </c>
      <c r="K34" s="1">
        <f>$V34</f>
        <v>8451.1052333333337</v>
      </c>
      <c r="L34" s="1">
        <f>$V35</f>
        <v>8451.1052333333337</v>
      </c>
      <c r="M34" s="1">
        <f>$V36</f>
        <v>8451.1052333333337</v>
      </c>
      <c r="N34" s="1">
        <f>$V37</f>
        <v>8451.1052333333337</v>
      </c>
      <c r="O34" s="1">
        <f>$V38</f>
        <v>8451.1052333333337</v>
      </c>
      <c r="P34" s="1">
        <f>$V39</f>
        <v>8451.1052333333337</v>
      </c>
      <c r="Q34" s="1">
        <f>SUM(E34:P34)</f>
        <v>96221.444016666675</v>
      </c>
      <c r="S34" s="242">
        <v>44043</v>
      </c>
      <c r="T34" s="1">
        <v>2489816.7573833331</v>
      </c>
      <c r="U34" s="1">
        <v>0</v>
      </c>
      <c r="V34" s="1">
        <v>8451.1052333333337</v>
      </c>
      <c r="W34" s="1">
        <v>2481365.6521499995</v>
      </c>
    </row>
    <row r="35" spans="1:23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  <c r="S35" s="242">
        <v>44074</v>
      </c>
      <c r="T35" s="1">
        <v>2481365.6521499995</v>
      </c>
      <c r="U35" s="1">
        <v>0</v>
      </c>
      <c r="V35" s="1">
        <v>8451.1052333333337</v>
      </c>
      <c r="W35" s="1">
        <v>2472914.546916666</v>
      </c>
    </row>
    <row r="36" spans="1:23" x14ac:dyDescent="0.25">
      <c r="A36" s="200"/>
      <c r="B36" s="23" t="s">
        <v>268</v>
      </c>
      <c r="C36" s="23" t="s">
        <v>284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SUM(E36:P36)</f>
        <v>0</v>
      </c>
      <c r="S36" s="242">
        <v>44104</v>
      </c>
      <c r="T36" s="1">
        <v>2472914.546916666</v>
      </c>
      <c r="U36" s="1">
        <v>0</v>
      </c>
      <c r="V36" s="1">
        <v>8451.1052333333337</v>
      </c>
      <c r="W36" s="1">
        <v>2464463.4416833324</v>
      </c>
    </row>
    <row r="37" spans="1:23" x14ac:dyDescent="0.25">
      <c r="A37" s="200"/>
      <c r="B37" s="23" t="s">
        <v>270</v>
      </c>
      <c r="C37" s="23" t="s">
        <v>285</v>
      </c>
      <c r="E37" s="199">
        <v>0</v>
      </c>
      <c r="F37" s="199">
        <f>U29</f>
        <v>57878.150000000009</v>
      </c>
      <c r="G37" s="199">
        <f>U30</f>
        <v>31985.800000000003</v>
      </c>
      <c r="H37" s="199">
        <f>U31</f>
        <v>-7310.4600000000064</v>
      </c>
      <c r="I37" s="199">
        <f>U32</f>
        <v>47490.37</v>
      </c>
      <c r="J37" s="199">
        <v>100190</v>
      </c>
      <c r="K37" s="199">
        <v>29661</v>
      </c>
      <c r="L37" s="199">
        <v>27650</v>
      </c>
      <c r="M37" s="199">
        <v>15000</v>
      </c>
      <c r="N37" s="199">
        <v>15000</v>
      </c>
      <c r="O37" s="199">
        <v>4365200</v>
      </c>
      <c r="P37" s="199">
        <v>1847477.3700444</v>
      </c>
      <c r="Q37" s="199">
        <f>SUM(E37:P37)</f>
        <v>6530222.2300444003</v>
      </c>
      <c r="S37" s="242">
        <v>44135</v>
      </c>
      <c r="T37" s="1">
        <v>2464463.4416833324</v>
      </c>
      <c r="U37" s="1">
        <v>0</v>
      </c>
      <c r="V37" s="1">
        <v>8451.1052333333337</v>
      </c>
      <c r="W37" s="1">
        <v>2456012.3364499989</v>
      </c>
    </row>
    <row r="38" spans="1:23" x14ac:dyDescent="0.25">
      <c r="A38" s="200"/>
      <c r="B38" s="202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S38" s="242">
        <v>44165</v>
      </c>
      <c r="T38" s="1">
        <v>2456012.3364499989</v>
      </c>
      <c r="U38" s="1">
        <v>0</v>
      </c>
      <c r="V38" s="1">
        <v>8451.1052333333337</v>
      </c>
      <c r="W38" s="1">
        <v>2447561.2312166654</v>
      </c>
    </row>
    <row r="39" spans="1:23" x14ac:dyDescent="0.25">
      <c r="A39" s="13">
        <v>10</v>
      </c>
      <c r="B39" s="23" t="s">
        <v>286</v>
      </c>
      <c r="E39" s="1">
        <f>SUM(E29:E36)</f>
        <v>21333.698364794596</v>
      </c>
      <c r="F39" s="1">
        <f t="shared" ref="F39:P39" si="6">SUM(F29:F36)</f>
        <v>33143.406895126223</v>
      </c>
      <c r="G39" s="1">
        <f t="shared" si="6"/>
        <v>33485.882438251152</v>
      </c>
      <c r="H39" s="1">
        <f t="shared" si="6"/>
        <v>33531.221174124294</v>
      </c>
      <c r="I39" s="1">
        <f t="shared" si="6"/>
        <v>33646.788905831192</v>
      </c>
      <c r="J39" s="1">
        <f t="shared" si="6"/>
        <v>34084.043308022687</v>
      </c>
      <c r="K39" s="1">
        <f t="shared" si="6"/>
        <v>34672.933379225709</v>
      </c>
      <c r="L39" s="1">
        <f t="shared" si="6"/>
        <v>34771.489572431885</v>
      </c>
      <c r="M39" s="1">
        <f t="shared" si="6"/>
        <v>34827.250306638052</v>
      </c>
      <c r="N39" s="1">
        <f t="shared" si="6"/>
        <v>34846.085690844222</v>
      </c>
      <c r="O39" s="1">
        <f t="shared" si="6"/>
        <v>47563.154875050386</v>
      </c>
      <c r="P39" s="1">
        <f t="shared" si="6"/>
        <v>65629.225502416157</v>
      </c>
      <c r="Q39" s="1">
        <f>SUM(E39:P39)</f>
        <v>441535.18041275663</v>
      </c>
      <c r="S39" s="242">
        <v>44196</v>
      </c>
      <c r="T39" s="1">
        <v>2447561.2312166654</v>
      </c>
      <c r="U39" s="1">
        <v>0</v>
      </c>
      <c r="V39" s="1">
        <v>8451.1052333333337</v>
      </c>
      <c r="W39" s="1">
        <v>2439110.1259833318</v>
      </c>
    </row>
    <row r="40" spans="1:23" x14ac:dyDescent="0.25">
      <c r="A40" s="200"/>
      <c r="B40" s="23" t="s">
        <v>262</v>
      </c>
      <c r="C40" s="23" t="s">
        <v>160</v>
      </c>
      <c r="E40" s="1">
        <f>E39*1/13</f>
        <v>1641.053720368815</v>
      </c>
      <c r="F40" s="1">
        <f t="shared" ref="F40:P40" si="7">F39*1/13</f>
        <v>2549.4928380866327</v>
      </c>
      <c r="G40" s="1">
        <f t="shared" si="7"/>
        <v>2575.837110634704</v>
      </c>
      <c r="H40" s="1">
        <f t="shared" si="7"/>
        <v>2579.3247057018689</v>
      </c>
      <c r="I40" s="1">
        <f t="shared" si="7"/>
        <v>2588.214531217784</v>
      </c>
      <c r="J40" s="1">
        <f t="shared" si="7"/>
        <v>2621.8494852325143</v>
      </c>
      <c r="K40" s="1">
        <f t="shared" si="7"/>
        <v>2667.1487214789008</v>
      </c>
      <c r="L40" s="1">
        <f t="shared" si="7"/>
        <v>2674.729967110145</v>
      </c>
      <c r="M40" s="1">
        <f t="shared" si="7"/>
        <v>2679.0192543567732</v>
      </c>
      <c r="N40" s="1">
        <f t="shared" si="7"/>
        <v>2680.4681300649399</v>
      </c>
      <c r="O40" s="1">
        <f t="shared" si="7"/>
        <v>3658.7042211577218</v>
      </c>
      <c r="P40" s="1">
        <f t="shared" si="7"/>
        <v>5048.4019617243193</v>
      </c>
      <c r="Q40" s="1">
        <f>SUM(E40:P40)</f>
        <v>33964.244647135114</v>
      </c>
    </row>
    <row r="41" spans="1:23" x14ac:dyDescent="0.25">
      <c r="A41" s="200"/>
      <c r="B41" s="23" t="s">
        <v>264</v>
      </c>
      <c r="C41" s="23" t="s">
        <v>161</v>
      </c>
      <c r="E41" s="1">
        <f>E39-E40</f>
        <v>19692.644644425782</v>
      </c>
      <c r="F41" s="1">
        <f t="shared" ref="F41:P41" si="8">F39-F40</f>
        <v>30593.91405703959</v>
      </c>
      <c r="G41" s="1">
        <f t="shared" si="8"/>
        <v>30910.045327616448</v>
      </c>
      <c r="H41" s="1">
        <f t="shared" si="8"/>
        <v>30951.896468422427</v>
      </c>
      <c r="I41" s="1">
        <f t="shared" si="8"/>
        <v>31058.574374613407</v>
      </c>
      <c r="J41" s="1">
        <f t="shared" si="8"/>
        <v>31462.193822790174</v>
      </c>
      <c r="K41" s="1">
        <f t="shared" si="8"/>
        <v>32005.784657746808</v>
      </c>
      <c r="L41" s="1">
        <f t="shared" si="8"/>
        <v>32096.759605321738</v>
      </c>
      <c r="M41" s="1">
        <f t="shared" si="8"/>
        <v>32148.23105228128</v>
      </c>
      <c r="N41" s="1">
        <f t="shared" si="8"/>
        <v>32165.617560779283</v>
      </c>
      <c r="O41" s="1">
        <f t="shared" si="8"/>
        <v>43904.450653892665</v>
      </c>
      <c r="P41" s="1">
        <f t="shared" si="8"/>
        <v>60580.823540691839</v>
      </c>
      <c r="Q41" s="1">
        <f>SUM(E41:P41)</f>
        <v>407570.93576562149</v>
      </c>
    </row>
    <row r="42" spans="1:23" x14ac:dyDescent="0.25">
      <c r="A42" s="200"/>
      <c r="B42" s="20"/>
      <c r="C42" s="202"/>
    </row>
    <row r="43" spans="1:23" x14ac:dyDescent="0.25">
      <c r="A43" s="13">
        <v>11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23" x14ac:dyDescent="0.25">
      <c r="A44" s="13">
        <v>12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23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23" x14ac:dyDescent="0.25">
      <c r="A46" s="13">
        <v>13</v>
      </c>
      <c r="B46" s="23" t="s">
        <v>289</v>
      </c>
      <c r="E46" s="1">
        <v>1643.0229848332576</v>
      </c>
      <c r="F46" s="1">
        <v>2552.5522294923367</v>
      </c>
      <c r="G46" s="1">
        <v>2578.9281151674659</v>
      </c>
      <c r="H46" s="1">
        <v>2582.4198953487112</v>
      </c>
      <c r="I46" s="1">
        <v>2591.3203886552456</v>
      </c>
      <c r="J46" s="1">
        <v>2624.9957046147938</v>
      </c>
      <c r="K46" s="1">
        <v>2670.3492999446757</v>
      </c>
      <c r="L46" s="1">
        <v>2677.9396430706774</v>
      </c>
      <c r="M46" s="1">
        <v>2682.2340774620016</v>
      </c>
      <c r="N46" s="1">
        <v>2683.6846918210181</v>
      </c>
      <c r="O46" s="1">
        <v>3663.0946662231113</v>
      </c>
      <c r="P46" s="1">
        <v>5054.4600440783888</v>
      </c>
      <c r="Q46" s="1">
        <f>ROUND(SUM(E46:P46),2)</f>
        <v>34005</v>
      </c>
    </row>
    <row r="47" spans="1:23" x14ac:dyDescent="0.25">
      <c r="A47" s="13">
        <v>14</v>
      </c>
      <c r="B47" s="23" t="s">
        <v>290</v>
      </c>
      <c r="E47" s="199">
        <f>E41*E44</f>
        <v>19147.999263701506</v>
      </c>
      <c r="F47" s="199">
        <f t="shared" ref="F47:P47" si="9">F41*F44</f>
        <v>29747.76899778983</v>
      </c>
      <c r="G47" s="199">
        <f t="shared" si="9"/>
        <v>30055.156930976962</v>
      </c>
      <c r="H47" s="199">
        <f t="shared" si="9"/>
        <v>30095.850582226329</v>
      </c>
      <c r="I47" s="199">
        <f t="shared" si="9"/>
        <v>30199.578065562411</v>
      </c>
      <c r="J47" s="199">
        <f t="shared" si="9"/>
        <v>30592.034489575119</v>
      </c>
      <c r="K47" s="199">
        <f t="shared" si="9"/>
        <v>31120.591069732109</v>
      </c>
      <c r="L47" s="199">
        <f t="shared" si="9"/>
        <v>31209.049895889475</v>
      </c>
      <c r="M47" s="199">
        <f t="shared" si="9"/>
        <v>31259.097781599023</v>
      </c>
      <c r="N47" s="199">
        <f t="shared" si="9"/>
        <v>31276.003426215542</v>
      </c>
      <c r="O47" s="199">
        <f t="shared" si="9"/>
        <v>42690.172090822758</v>
      </c>
      <c r="P47" s="199">
        <f t="shared" si="9"/>
        <v>58905.32152977986</v>
      </c>
      <c r="Q47" s="199">
        <f>SUM(E47:P47)</f>
        <v>396298.62412387098</v>
      </c>
    </row>
    <row r="48" spans="1:23" ht="13" thickBot="1" x14ac:dyDescent="0.3">
      <c r="A48" s="13">
        <v>15</v>
      </c>
      <c r="B48" s="23" t="s">
        <v>291</v>
      </c>
      <c r="E48" s="204">
        <f>SUM(E46:E47)</f>
        <v>20791.022248534762</v>
      </c>
      <c r="F48" s="204">
        <f t="shared" ref="F48:Q48" si="10">SUM(F46:F47)</f>
        <v>32300.321227282166</v>
      </c>
      <c r="G48" s="204">
        <f t="shared" si="10"/>
        <v>32634.085046144428</v>
      </c>
      <c r="H48" s="204">
        <f t="shared" si="10"/>
        <v>32678.270477575039</v>
      </c>
      <c r="I48" s="204">
        <f t="shared" si="10"/>
        <v>32790.898454217655</v>
      </c>
      <c r="J48" s="204">
        <f t="shared" si="10"/>
        <v>33217.030194189909</v>
      </c>
      <c r="K48" s="204">
        <f t="shared" si="10"/>
        <v>33790.940369676784</v>
      </c>
      <c r="L48" s="204">
        <f t="shared" si="10"/>
        <v>33886.989538960152</v>
      </c>
      <c r="M48" s="204">
        <f t="shared" si="10"/>
        <v>33941.331859061022</v>
      </c>
      <c r="N48" s="204">
        <f t="shared" si="10"/>
        <v>33959.68811803656</v>
      </c>
      <c r="O48" s="204">
        <f t="shared" si="10"/>
        <v>46353.266757045873</v>
      </c>
      <c r="P48" s="204">
        <f t="shared" si="10"/>
        <v>63959.78157385825</v>
      </c>
      <c r="Q48" s="204">
        <f t="shared" si="10"/>
        <v>430303.62412387098</v>
      </c>
    </row>
    <row r="49" spans="1:17" ht="13" thickTop="1" x14ac:dyDescent="0.25">
      <c r="A49" s="200"/>
      <c r="B49" s="200"/>
    </row>
    <row r="50" spans="1:17" x14ac:dyDescent="0.25">
      <c r="A50" s="210" t="s">
        <v>76</v>
      </c>
      <c r="B50" s="13"/>
    </row>
    <row r="51" spans="1:17" x14ac:dyDescent="0.25">
      <c r="A51" s="23" t="s">
        <v>168</v>
      </c>
      <c r="B51" s="23" t="s">
        <v>292</v>
      </c>
    </row>
    <row r="52" spans="1:17" x14ac:dyDescent="0.25">
      <c r="A52" s="23" t="s">
        <v>170</v>
      </c>
      <c r="B52" s="11" t="s">
        <v>293</v>
      </c>
    </row>
    <row r="53" spans="1:17" x14ac:dyDescent="0.25">
      <c r="A53" s="23" t="s">
        <v>255</v>
      </c>
      <c r="B53" s="23" t="s">
        <v>294</v>
      </c>
    </row>
    <row r="54" spans="1:17" x14ac:dyDescent="0.25">
      <c r="A54" s="23" t="s">
        <v>295</v>
      </c>
      <c r="B54" s="23" t="s">
        <v>296</v>
      </c>
    </row>
    <row r="55" spans="1:17" x14ac:dyDescent="0.25">
      <c r="A55" s="23" t="s">
        <v>297</v>
      </c>
      <c r="B55" s="11" t="s">
        <v>298</v>
      </c>
    </row>
    <row r="56" spans="1:17" x14ac:dyDescent="0.25">
      <c r="A56" s="23" t="s">
        <v>299</v>
      </c>
      <c r="B56" s="23" t="s">
        <v>300</v>
      </c>
    </row>
    <row r="57" spans="1:17" x14ac:dyDescent="0.25">
      <c r="A57" s="23" t="s">
        <v>301</v>
      </c>
      <c r="B57" s="23" t="s">
        <v>302</v>
      </c>
    </row>
    <row r="58" spans="1:17" x14ac:dyDescent="0.25">
      <c r="A58" s="23" t="s">
        <v>303</v>
      </c>
      <c r="B58" s="23" t="s">
        <v>304</v>
      </c>
    </row>
    <row r="59" spans="1:17" x14ac:dyDescent="0.25">
      <c r="A59" s="23" t="s">
        <v>305</v>
      </c>
      <c r="B59" s="23" t="s">
        <v>306</v>
      </c>
    </row>
    <row r="60" spans="1:17" x14ac:dyDescent="0.25">
      <c r="A60" s="11" t="s">
        <v>307</v>
      </c>
      <c r="B60" s="23" t="s">
        <v>308</v>
      </c>
    </row>
    <row r="61" spans="1:17" x14ac:dyDescent="0.25">
      <c r="A61" s="11" t="s">
        <v>309</v>
      </c>
      <c r="B61" s="23" t="s">
        <v>310</v>
      </c>
    </row>
    <row r="62" spans="1:17" x14ac:dyDescent="0.25">
      <c r="A62" s="23"/>
      <c r="B62" s="23"/>
    </row>
    <row r="63" spans="1:17" x14ac:dyDescent="0.25">
      <c r="A63" s="13"/>
      <c r="B63" s="13"/>
      <c r="C63" s="13"/>
      <c r="D63" s="13"/>
      <c r="E63" s="13"/>
      <c r="F63" s="13"/>
      <c r="G63" s="13"/>
      <c r="H63" s="13"/>
      <c r="I63" s="13"/>
      <c r="Q63" s="13"/>
    </row>
    <row r="64" spans="1:17" x14ac:dyDescent="0.2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</row>
    <row r="65" spans="1:17" x14ac:dyDescent="0.2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</row>
    <row r="66" spans="1:17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x14ac:dyDescent="0.2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</row>
    <row r="69" spans="1:17" x14ac:dyDescent="0.2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1" spans="1:17" x14ac:dyDescent="0.2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86" spans="5:16" x14ac:dyDescent="0.25"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</row>
    <row r="89" spans="5:16" x14ac:dyDescent="0.25"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4" spans="5:16" x14ac:dyDescent="0.25"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5:16" x14ac:dyDescent="0.25"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5:16" x14ac:dyDescent="0.25"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101" spans="1:16" x14ac:dyDescent="0.25"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</row>
    <row r="102" spans="1:16" x14ac:dyDescent="0.25"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</row>
    <row r="103" spans="1:16" x14ac:dyDescent="0.25"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9" spans="1:16" x14ac:dyDescent="0.25">
      <c r="A109" s="210"/>
      <c r="B109" s="13"/>
    </row>
    <row r="110" spans="1:16" x14ac:dyDescent="0.25">
      <c r="A110" s="23"/>
      <c r="B110" s="23"/>
    </row>
    <row r="111" spans="1:16" x14ac:dyDescent="0.25">
      <c r="A111" s="23"/>
      <c r="B111" s="23"/>
    </row>
    <row r="112" spans="1:16" x14ac:dyDescent="0.25">
      <c r="A112" s="23"/>
      <c r="B112" s="23"/>
    </row>
    <row r="113" spans="1:17" x14ac:dyDescent="0.25">
      <c r="A113" s="23"/>
      <c r="B113" s="23"/>
    </row>
    <row r="114" spans="1:17" x14ac:dyDescent="0.25">
      <c r="A114" s="23"/>
      <c r="B114" s="23"/>
    </row>
    <row r="115" spans="1:17" x14ac:dyDescent="0.25">
      <c r="A115" s="23"/>
      <c r="B115" s="23"/>
    </row>
    <row r="116" spans="1:17" x14ac:dyDescent="0.25">
      <c r="A116" s="23"/>
      <c r="B116" s="23"/>
    </row>
    <row r="117" spans="1:17" x14ac:dyDescent="0.25">
      <c r="A117" s="23"/>
      <c r="B117" s="23"/>
    </row>
    <row r="118" spans="1:17" x14ac:dyDescent="0.25">
      <c r="A118" s="23"/>
      <c r="B118" s="23"/>
    </row>
    <row r="122" spans="1:17" x14ac:dyDescent="0.2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</row>
    <row r="123" spans="1:17" x14ac:dyDescent="0.2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</row>
    <row r="124" spans="1:17" x14ac:dyDescent="0.2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</row>
    <row r="125" spans="1:17" x14ac:dyDescent="0.2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</row>
    <row r="126" spans="1:17" x14ac:dyDescent="0.2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</row>
    <row r="128" spans="1:17" x14ac:dyDescent="0.2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</row>
    <row r="130" spans="4:17" x14ac:dyDescent="0.2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4:17" x14ac:dyDescent="0.25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45" spans="5:16" x14ac:dyDescent="0.25"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</row>
    <row r="148" spans="5:16" x14ac:dyDescent="0.25"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</row>
    <row r="153" spans="5:16" x14ac:dyDescent="0.25"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</row>
    <row r="154" spans="5:16" x14ac:dyDescent="0.25"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</row>
    <row r="155" spans="5:16" x14ac:dyDescent="0.25"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</row>
    <row r="160" spans="5:16" x14ac:dyDescent="0.25"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16" x14ac:dyDescent="0.25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</row>
    <row r="162" spans="1:16" x14ac:dyDescent="0.25"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</row>
    <row r="168" spans="1:16" x14ac:dyDescent="0.25">
      <c r="A168" s="210"/>
      <c r="B168" s="13"/>
    </row>
    <row r="169" spans="1:16" x14ac:dyDescent="0.25">
      <c r="A169" s="23"/>
      <c r="B169" s="23"/>
    </row>
    <row r="170" spans="1:16" x14ac:dyDescent="0.25">
      <c r="A170" s="23"/>
      <c r="B170" s="23"/>
    </row>
    <row r="171" spans="1:16" x14ac:dyDescent="0.25">
      <c r="A171" s="23"/>
      <c r="B171" s="23"/>
    </row>
    <row r="172" spans="1:16" x14ac:dyDescent="0.25">
      <c r="A172" s="23"/>
      <c r="B172" s="23"/>
    </row>
    <row r="173" spans="1:16" x14ac:dyDescent="0.25">
      <c r="A173" s="23"/>
      <c r="B173" s="23"/>
    </row>
    <row r="174" spans="1:16" x14ac:dyDescent="0.25">
      <c r="A174" s="23"/>
      <c r="B174" s="23"/>
    </row>
    <row r="175" spans="1:16" x14ac:dyDescent="0.25">
      <c r="A175" s="23"/>
      <c r="B175" s="23"/>
    </row>
    <row r="176" spans="1:16" x14ac:dyDescent="0.25">
      <c r="A176" s="23"/>
      <c r="B176" s="23"/>
    </row>
    <row r="177" spans="1:17" x14ac:dyDescent="0.25">
      <c r="A177" s="23"/>
      <c r="B177" s="23"/>
    </row>
    <row r="181" spans="1:17" x14ac:dyDescent="0.2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</row>
    <row r="182" spans="1:17" x14ac:dyDescent="0.2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</row>
    <row r="183" spans="1:17" x14ac:dyDescent="0.2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</row>
    <row r="184" spans="1:17" x14ac:dyDescent="0.2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</row>
    <row r="185" spans="1:17" x14ac:dyDescent="0.2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</row>
    <row r="187" spans="1:17" x14ac:dyDescent="0.2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</row>
    <row r="189" spans="1:17" x14ac:dyDescent="0.25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x14ac:dyDescent="0.25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204" spans="5:16" x14ac:dyDescent="0.25"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</row>
    <row r="207" spans="5:16" x14ac:dyDescent="0.25"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</row>
    <row r="212" spans="5:16" x14ac:dyDescent="0.25"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</row>
    <row r="213" spans="5:16" x14ac:dyDescent="0.25"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</row>
    <row r="214" spans="5:16" x14ac:dyDescent="0.25"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</row>
    <row r="219" spans="5:16" x14ac:dyDescent="0.25"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</row>
    <row r="220" spans="5:16" x14ac:dyDescent="0.25"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</row>
    <row r="221" spans="5:16" x14ac:dyDescent="0.25"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</row>
    <row r="227" spans="1:17" x14ac:dyDescent="0.25">
      <c r="A227" s="210"/>
      <c r="B227" s="13"/>
    </row>
    <row r="228" spans="1:17" x14ac:dyDescent="0.25">
      <c r="A228" s="23"/>
      <c r="B228" s="23"/>
    </row>
    <row r="229" spans="1:17" x14ac:dyDescent="0.25">
      <c r="A229" s="23"/>
      <c r="B229" s="23"/>
    </row>
    <row r="230" spans="1:17" x14ac:dyDescent="0.25">
      <c r="A230" s="23"/>
      <c r="B230" s="23"/>
    </row>
    <row r="231" spans="1:17" x14ac:dyDescent="0.25">
      <c r="A231" s="23"/>
      <c r="B231" s="23"/>
    </row>
    <row r="232" spans="1:17" x14ac:dyDescent="0.25">
      <c r="A232" s="23"/>
      <c r="B232" s="23"/>
    </row>
    <row r="233" spans="1:17" x14ac:dyDescent="0.25">
      <c r="A233" s="23"/>
      <c r="B233" s="23"/>
    </row>
    <row r="234" spans="1:17" x14ac:dyDescent="0.25">
      <c r="A234" s="23"/>
      <c r="B234" s="23"/>
    </row>
    <row r="235" spans="1:17" x14ac:dyDescent="0.25">
      <c r="A235" s="23"/>
      <c r="B235" s="23"/>
    </row>
    <row r="236" spans="1:17" x14ac:dyDescent="0.25">
      <c r="A236" s="23"/>
      <c r="B236" s="23"/>
    </row>
    <row r="240" spans="1:17" x14ac:dyDescent="0.2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1:17" x14ac:dyDescent="0.25">
      <c r="A241" s="211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1:17" x14ac:dyDescent="0.25">
      <c r="A242" s="211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1:17" x14ac:dyDescent="0.25">
      <c r="A243" s="211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1:17" x14ac:dyDescent="0.25">
      <c r="A244" s="211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</row>
    <row r="246" spans="1:17" x14ac:dyDescent="0.2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</row>
    <row r="248" spans="1:17" x14ac:dyDescent="0.25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x14ac:dyDescent="0.25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63" spans="5:16" x14ac:dyDescent="0.25"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</row>
    <row r="266" spans="5:16" x14ac:dyDescent="0.25"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</row>
    <row r="271" spans="5:16" x14ac:dyDescent="0.25"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</row>
    <row r="272" spans="5:16" x14ac:dyDescent="0.25"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</row>
    <row r="273" spans="1:16" x14ac:dyDescent="0.25"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</row>
    <row r="278" spans="1:16" x14ac:dyDescent="0.25"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</row>
    <row r="279" spans="1:16" x14ac:dyDescent="0.25"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</row>
    <row r="280" spans="1:16" x14ac:dyDescent="0.25"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</row>
    <row r="286" spans="1:16" x14ac:dyDescent="0.25">
      <c r="A286" s="210"/>
      <c r="B286" s="13"/>
    </row>
    <row r="287" spans="1:16" x14ac:dyDescent="0.25">
      <c r="A287" s="23"/>
      <c r="B287" s="23"/>
    </row>
    <row r="288" spans="1:16" x14ac:dyDescent="0.25">
      <c r="A288" s="23"/>
      <c r="B288" s="23"/>
    </row>
    <row r="289" spans="1:17" x14ac:dyDescent="0.25">
      <c r="A289" s="23"/>
      <c r="B289" s="23"/>
    </row>
    <row r="290" spans="1:17" x14ac:dyDescent="0.25">
      <c r="A290" s="23"/>
      <c r="B290" s="23"/>
    </row>
    <row r="291" spans="1:17" x14ac:dyDescent="0.25">
      <c r="A291" s="23"/>
      <c r="B291" s="23"/>
    </row>
    <row r="292" spans="1:17" x14ac:dyDescent="0.25">
      <c r="A292" s="23"/>
      <c r="B292" s="23"/>
    </row>
    <row r="293" spans="1:17" x14ac:dyDescent="0.25">
      <c r="A293" s="23"/>
      <c r="B293" s="23"/>
    </row>
    <row r="294" spans="1:17" x14ac:dyDescent="0.25">
      <c r="A294" s="23"/>
      <c r="B294" s="23"/>
    </row>
    <row r="295" spans="1:17" x14ac:dyDescent="0.25">
      <c r="A295" s="23"/>
      <c r="B295" s="23"/>
    </row>
    <row r="300" spans="1:17" x14ac:dyDescent="0.25">
      <c r="A300" s="211"/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</row>
    <row r="301" spans="1:17" x14ac:dyDescent="0.25">
      <c r="A301" s="211"/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</row>
    <row r="302" spans="1:17" x14ac:dyDescent="0.25">
      <c r="A302" s="211"/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</row>
    <row r="303" spans="1:17" x14ac:dyDescent="0.25">
      <c r="A303" s="211"/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</row>
    <row r="304" spans="1:17" x14ac:dyDescent="0.25">
      <c r="A304" s="211"/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</row>
    <row r="306" spans="1:17" x14ac:dyDescent="0.2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</row>
    <row r="308" spans="1:17" x14ac:dyDescent="0.25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x14ac:dyDescent="0.25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23" spans="5:16" x14ac:dyDescent="0.25"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</row>
    <row r="326" spans="5:16" x14ac:dyDescent="0.25"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</row>
    <row r="331" spans="5:16" x14ac:dyDescent="0.25"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</row>
    <row r="332" spans="5:16" x14ac:dyDescent="0.25"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</row>
    <row r="333" spans="5:16" x14ac:dyDescent="0.25"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</row>
    <row r="338" spans="1:16" x14ac:dyDescent="0.25"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</row>
    <row r="339" spans="1:16" x14ac:dyDescent="0.25"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</row>
    <row r="340" spans="1:16" x14ac:dyDescent="0.25"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</row>
    <row r="346" spans="1:16" x14ac:dyDescent="0.25">
      <c r="A346" s="210"/>
      <c r="B346" s="13"/>
    </row>
    <row r="347" spans="1:16" x14ac:dyDescent="0.25">
      <c r="A347" s="23"/>
      <c r="B347" s="23"/>
    </row>
    <row r="348" spans="1:16" x14ac:dyDescent="0.25">
      <c r="A348" s="23"/>
      <c r="B348" s="23"/>
    </row>
    <row r="349" spans="1:16" x14ac:dyDescent="0.25">
      <c r="A349" s="23"/>
      <c r="B349" s="23"/>
    </row>
    <row r="350" spans="1:16" x14ac:dyDescent="0.25">
      <c r="A350" s="23"/>
      <c r="B350" s="23"/>
    </row>
    <row r="351" spans="1:16" x14ac:dyDescent="0.25">
      <c r="A351" s="23"/>
      <c r="B351" s="23"/>
    </row>
    <row r="352" spans="1:16" x14ac:dyDescent="0.25">
      <c r="A352" s="23"/>
      <c r="B352" s="23"/>
    </row>
    <row r="353" spans="1:17" x14ac:dyDescent="0.25">
      <c r="A353" s="23"/>
      <c r="B353" s="23"/>
    </row>
    <row r="354" spans="1:17" x14ac:dyDescent="0.25">
      <c r="A354" s="23"/>
      <c r="B354" s="23"/>
    </row>
    <row r="355" spans="1:17" x14ac:dyDescent="0.25">
      <c r="A355" s="23"/>
      <c r="B355" s="23"/>
    </row>
    <row r="360" spans="1:17" x14ac:dyDescent="0.25">
      <c r="A360" s="211"/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</row>
    <row r="361" spans="1:17" x14ac:dyDescent="0.25">
      <c r="A361" s="211"/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</row>
    <row r="362" spans="1:17" x14ac:dyDescent="0.25">
      <c r="A362" s="211"/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</row>
    <row r="363" spans="1:17" x14ac:dyDescent="0.25">
      <c r="A363" s="211"/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</row>
    <row r="364" spans="1:17" x14ac:dyDescent="0.25">
      <c r="A364" s="211"/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</row>
    <row r="366" spans="1:17" x14ac:dyDescent="0.25">
      <c r="A366" s="211"/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</row>
    <row r="368" spans="1:17" x14ac:dyDescent="0.25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4:17" x14ac:dyDescent="0.25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83" spans="4:17" x14ac:dyDescent="0.25"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</row>
    <row r="386" spans="5:16" x14ac:dyDescent="0.25"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</row>
    <row r="391" spans="5:16" x14ac:dyDescent="0.25"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</row>
    <row r="392" spans="5:16" x14ac:dyDescent="0.25"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</row>
    <row r="393" spans="5:16" x14ac:dyDescent="0.25"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</row>
    <row r="398" spans="5:16" x14ac:dyDescent="0.25"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</row>
    <row r="399" spans="5:16" x14ac:dyDescent="0.25"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</row>
    <row r="400" spans="5:16" x14ac:dyDescent="0.25"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</row>
    <row r="406" spans="1:2" x14ac:dyDescent="0.25">
      <c r="A406" s="210"/>
      <c r="B406" s="13"/>
    </row>
    <row r="407" spans="1:2" x14ac:dyDescent="0.25">
      <c r="A407" s="23"/>
      <c r="B407" s="23"/>
    </row>
    <row r="408" spans="1:2" x14ac:dyDescent="0.25">
      <c r="A408" s="23"/>
      <c r="B408" s="23"/>
    </row>
    <row r="409" spans="1:2" x14ac:dyDescent="0.25">
      <c r="A409" s="23"/>
      <c r="B409" s="23"/>
    </row>
    <row r="410" spans="1:2" x14ac:dyDescent="0.25">
      <c r="A410" s="23"/>
      <c r="B410" s="23"/>
    </row>
    <row r="411" spans="1:2" x14ac:dyDescent="0.25">
      <c r="A411" s="23"/>
      <c r="B411" s="23"/>
    </row>
    <row r="412" spans="1:2" x14ac:dyDescent="0.25">
      <c r="A412" s="23"/>
      <c r="B412" s="23"/>
    </row>
    <row r="413" spans="1:2" x14ac:dyDescent="0.25">
      <c r="A413" s="23"/>
      <c r="B413" s="23"/>
    </row>
    <row r="414" spans="1:2" x14ac:dyDescent="0.25">
      <c r="A414" s="23"/>
      <c r="B414" s="23"/>
    </row>
    <row r="415" spans="1:2" x14ac:dyDescent="0.25">
      <c r="A415" s="23"/>
      <c r="B415" s="23"/>
    </row>
    <row r="420" spans="1:17" x14ac:dyDescent="0.25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</row>
    <row r="421" spans="1:17" x14ac:dyDescent="0.25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</row>
    <row r="422" spans="1:17" x14ac:dyDescent="0.25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</row>
    <row r="423" spans="1:17" x14ac:dyDescent="0.25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</row>
    <row r="424" spans="1:17" x14ac:dyDescent="0.25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</row>
    <row r="426" spans="1:17" x14ac:dyDescent="0.25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</row>
    <row r="428" spans="1:17" x14ac:dyDescent="0.25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 x14ac:dyDescent="0.25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43" spans="5:16" x14ac:dyDescent="0.25"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</row>
    <row r="446" spans="5:16" x14ac:dyDescent="0.25"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</row>
    <row r="451" spans="5:16" x14ac:dyDescent="0.25"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</row>
    <row r="452" spans="5:16" x14ac:dyDescent="0.25"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</row>
    <row r="453" spans="5:16" x14ac:dyDescent="0.25"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</row>
    <row r="458" spans="5:16" x14ac:dyDescent="0.25"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</row>
    <row r="459" spans="5:16" x14ac:dyDescent="0.25"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</row>
    <row r="460" spans="5:16" x14ac:dyDescent="0.25"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</row>
    <row r="466" spans="1:2" x14ac:dyDescent="0.25">
      <c r="A466" s="210"/>
      <c r="B466" s="13"/>
    </row>
    <row r="467" spans="1:2" x14ac:dyDescent="0.25">
      <c r="A467" s="23"/>
      <c r="B467" s="23"/>
    </row>
    <row r="468" spans="1:2" x14ac:dyDescent="0.25">
      <c r="A468" s="23"/>
      <c r="B468" s="23"/>
    </row>
    <row r="469" spans="1:2" x14ac:dyDescent="0.25">
      <c r="A469" s="23"/>
      <c r="B469" s="23"/>
    </row>
    <row r="470" spans="1:2" x14ac:dyDescent="0.25">
      <c r="A470" s="23"/>
      <c r="B470" s="23"/>
    </row>
    <row r="471" spans="1:2" x14ac:dyDescent="0.25">
      <c r="A471" s="23"/>
      <c r="B471" s="23"/>
    </row>
    <row r="472" spans="1:2" x14ac:dyDescent="0.25">
      <c r="A472" s="23"/>
      <c r="B472" s="23"/>
    </row>
    <row r="473" spans="1:2" x14ac:dyDescent="0.25">
      <c r="A473" s="23"/>
      <c r="B473" s="23"/>
    </row>
    <row r="474" spans="1:2" x14ac:dyDescent="0.25">
      <c r="A474" s="23"/>
      <c r="B474" s="23"/>
    </row>
    <row r="475" spans="1:2" x14ac:dyDescent="0.25">
      <c r="A475" s="23"/>
      <c r="B475" s="23"/>
    </row>
  </sheetData>
  <mergeCells count="44">
    <mergeCell ref="A424:Q424"/>
    <mergeCell ref="A426:Q426"/>
    <mergeCell ref="A364:Q364"/>
    <mergeCell ref="A366:Q366"/>
    <mergeCell ref="A420:Q420"/>
    <mergeCell ref="A421:Q421"/>
    <mergeCell ref="A422:Q422"/>
    <mergeCell ref="A423:Q423"/>
    <mergeCell ref="A304:Q304"/>
    <mergeCell ref="A306:Q306"/>
    <mergeCell ref="A360:Q360"/>
    <mergeCell ref="A361:Q361"/>
    <mergeCell ref="A362:Q362"/>
    <mergeCell ref="A363:Q363"/>
    <mergeCell ref="A244:Q244"/>
    <mergeCell ref="A246:Q246"/>
    <mergeCell ref="A300:Q300"/>
    <mergeCell ref="A301:Q301"/>
    <mergeCell ref="A302:Q302"/>
    <mergeCell ref="A303:Q303"/>
    <mergeCell ref="A185:Q185"/>
    <mergeCell ref="A187:Q187"/>
    <mergeCell ref="A240:Q240"/>
    <mergeCell ref="A241:Q241"/>
    <mergeCell ref="A242:Q242"/>
    <mergeCell ref="A243:Q243"/>
    <mergeCell ref="A126:Q126"/>
    <mergeCell ref="A128:Q128"/>
    <mergeCell ref="A181:Q181"/>
    <mergeCell ref="A182:Q182"/>
    <mergeCell ref="A183:Q183"/>
    <mergeCell ref="A184:Q184"/>
    <mergeCell ref="A67:Q67"/>
    <mergeCell ref="A69:Q69"/>
    <mergeCell ref="A122:Q122"/>
    <mergeCell ref="A123:Q123"/>
    <mergeCell ref="A124:Q124"/>
    <mergeCell ref="A125:Q125"/>
    <mergeCell ref="A8:Q8"/>
    <mergeCell ref="A9:Q9"/>
    <mergeCell ref="A10:Q10"/>
    <mergeCell ref="A64:Q64"/>
    <mergeCell ref="A65:Q65"/>
    <mergeCell ref="A66:Q66"/>
  </mergeCells>
  <pageMargins left="0.5" right="0.5" top="1" bottom="0.75" header="0.55000000000000004" footer="0.3"/>
  <pageSetup scale="54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667D-A3C1-418C-B7AD-2656CD5418CF}">
  <sheetPr transitionEvaluation="1" transitionEntry="1"/>
  <dimension ref="A1:AM1851"/>
  <sheetViews>
    <sheetView showGridLines="0" defaultGridColor="0" view="pageBreakPreview" topLeftCell="E2" colorId="8" zoomScale="90" zoomScaleNormal="85" zoomScaleSheetLayoutView="90" workbookViewId="0">
      <selection activeCell="Q28" sqref="Q28"/>
    </sheetView>
  </sheetViews>
  <sheetFormatPr defaultColWidth="11.58203125" defaultRowHeight="12.5" x14ac:dyDescent="0.25"/>
  <cols>
    <col min="1" max="1" width="4.5" style="1" customWidth="1"/>
    <col min="2" max="2" width="3.58203125" style="1" customWidth="1"/>
    <col min="3" max="3" width="32.58203125" style="1" customWidth="1"/>
    <col min="4" max="4" width="17" style="1" customWidth="1"/>
    <col min="5" max="5" width="12.25" style="1" customWidth="1"/>
    <col min="6" max="6" width="12.58203125" style="1" bestFit="1" customWidth="1"/>
    <col min="7" max="7" width="12.33203125" style="1" customWidth="1"/>
    <col min="8" max="8" width="12.58203125" style="1" customWidth="1"/>
    <col min="9" max="10" width="12.25" style="1" customWidth="1"/>
    <col min="11" max="11" width="12.58203125" style="1" customWidth="1"/>
    <col min="12" max="12" width="12.5" style="1" customWidth="1"/>
    <col min="13" max="13" width="12.75" style="1" customWidth="1"/>
    <col min="14" max="15" width="13.75" style="1" customWidth="1"/>
    <col min="16" max="16" width="12.7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10.83203125" style="1" bestFit="1" customWidth="1"/>
    <col min="21" max="21" width="12.58203125" style="1" bestFit="1" customWidth="1"/>
    <col min="22" max="22" width="13.58203125" style="1" bestFit="1" customWidth="1"/>
    <col min="23" max="23" width="13.33203125" style="1" bestFit="1" customWidth="1"/>
    <col min="24" max="24" width="16.83203125" style="1" bestFit="1" customWidth="1"/>
    <col min="25" max="25" width="12.33203125" style="1" customWidth="1"/>
    <col min="26" max="26" width="14" style="1" bestFit="1" customWidth="1"/>
    <col min="27" max="28" width="12.25" style="1" bestFit="1" customWidth="1"/>
    <col min="29" max="29" width="14" style="1" bestFit="1" customWidth="1"/>
    <col min="30" max="30" width="12.25" style="1" bestFit="1" customWidth="1"/>
    <col min="31" max="31" width="12.25" style="1" customWidth="1"/>
    <col min="32" max="35" width="12.25" style="1" bestFit="1" customWidth="1"/>
    <col min="36" max="38" width="11.58203125" style="1"/>
    <col min="39" max="39" width="13.58203125" style="1" bestFit="1" customWidth="1"/>
    <col min="40" max="16384" width="11.58203125" style="1"/>
  </cols>
  <sheetData>
    <row r="1" spans="1:25" ht="13" x14ac:dyDescent="0.3">
      <c r="Q1" s="2"/>
    </row>
    <row r="2" spans="1:25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28</v>
      </c>
    </row>
    <row r="3" spans="1:25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5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5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5" ht="18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5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5" x14ac:dyDescent="0.25">
      <c r="A8" s="211" t="s">
        <v>357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5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25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5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5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5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5" x14ac:dyDescent="0.25">
      <c r="A14" s="13">
        <v>1</v>
      </c>
      <c r="B14" s="23" t="s">
        <v>261</v>
      </c>
      <c r="C14" s="13"/>
    </row>
    <row r="15" spans="1:25" x14ac:dyDescent="0.25">
      <c r="A15" s="13"/>
      <c r="B15" s="23" t="s">
        <v>262</v>
      </c>
      <c r="C15" s="23" t="s">
        <v>263</v>
      </c>
      <c r="E15" s="1">
        <v>3015036.0599999926</v>
      </c>
      <c r="F15" s="1">
        <v>1132005.01</v>
      </c>
      <c r="G15" s="1">
        <v>1467295.69</v>
      </c>
      <c r="H15" s="1">
        <v>3483565.33</v>
      </c>
      <c r="I15" s="1">
        <v>7458849.4199999999</v>
      </c>
      <c r="J15" s="1">
        <v>5411989.9253058005</v>
      </c>
      <c r="K15" s="1">
        <v>1658469.356806</v>
      </c>
      <c r="L15" s="1">
        <v>4798456.6774915</v>
      </c>
      <c r="M15" s="1">
        <v>3264213.7547980999</v>
      </c>
      <c r="N15" s="1">
        <v>2138421.2428146</v>
      </c>
      <c r="O15" s="1">
        <v>2432472.2290248</v>
      </c>
      <c r="P15" s="1">
        <v>3022142.6826919001</v>
      </c>
      <c r="Q15" s="1">
        <f t="shared" ref="Q15:Q20" si="0">SUM(E15:P15)</f>
        <v>39282917.378932692</v>
      </c>
      <c r="U15" s="13"/>
      <c r="V15" s="13"/>
      <c r="W15" s="13"/>
      <c r="X15" s="13"/>
      <c r="Y15" s="13"/>
    </row>
    <row r="16" spans="1:25" x14ac:dyDescent="0.25">
      <c r="A16" s="13"/>
      <c r="B16" s="23" t="s">
        <v>264</v>
      </c>
      <c r="C16" s="23" t="s">
        <v>265</v>
      </c>
      <c r="E16" s="1">
        <v>-658050.71</v>
      </c>
      <c r="F16" s="1">
        <v>-231446.29</v>
      </c>
      <c r="G16" s="1">
        <v>-640898.12999999989</v>
      </c>
      <c r="H16" s="1">
        <v>-57163.220000000205</v>
      </c>
      <c r="I16" s="1">
        <v>17118088.549999997</v>
      </c>
      <c r="J16" s="1">
        <v>0</v>
      </c>
      <c r="K16" s="1">
        <v>9131445</v>
      </c>
      <c r="L16" s="1">
        <v>123473</v>
      </c>
      <c r="M16" s="1">
        <v>248610</v>
      </c>
      <c r="N16" s="1">
        <v>16808710</v>
      </c>
      <c r="O16" s="1">
        <v>20946582.5</v>
      </c>
      <c r="P16" s="1">
        <v>879544</v>
      </c>
      <c r="Q16" s="1">
        <f t="shared" si="0"/>
        <v>63668894.699999996</v>
      </c>
      <c r="U16" s="5"/>
      <c r="V16" s="5"/>
      <c r="W16" s="5"/>
      <c r="X16" s="5"/>
      <c r="Y16" s="5"/>
    </row>
    <row r="17" spans="1:35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5" x14ac:dyDescent="0.25">
      <c r="A18" s="13"/>
      <c r="B18" s="23" t="s">
        <v>268</v>
      </c>
      <c r="C18" s="23" t="s">
        <v>269</v>
      </c>
      <c r="E18" s="1">
        <v>0</v>
      </c>
      <c r="F18" s="1">
        <v>118910.34999999999</v>
      </c>
      <c r="G18" s="1">
        <v>80798.450000000012</v>
      </c>
      <c r="H18" s="1">
        <v>60495.32</v>
      </c>
      <c r="I18" s="1">
        <v>231813.94</v>
      </c>
      <c r="J18" s="1">
        <v>2747811.3369</v>
      </c>
      <c r="K18" s="1">
        <v>332859.5568429</v>
      </c>
      <c r="L18" s="1">
        <v>582859.5568429</v>
      </c>
      <c r="M18" s="1">
        <v>582859.5568429</v>
      </c>
      <c r="N18" s="1">
        <v>582859.5568429</v>
      </c>
      <c r="O18" s="1">
        <v>407345.5568429</v>
      </c>
      <c r="P18" s="1">
        <v>740954.45571429993</v>
      </c>
      <c r="Q18" s="1">
        <f t="shared" si="0"/>
        <v>6469567.6368287997</v>
      </c>
    </row>
    <row r="19" spans="1:35" x14ac:dyDescent="0.25">
      <c r="A19" s="13"/>
      <c r="B19" s="23" t="s">
        <v>270</v>
      </c>
      <c r="C19" s="23" t="s">
        <v>348</v>
      </c>
      <c r="E19" s="1" t="s">
        <v>8</v>
      </c>
      <c r="F19" s="1">
        <v>0</v>
      </c>
      <c r="G19" s="1">
        <v>0</v>
      </c>
      <c r="H19" s="1">
        <v>0</v>
      </c>
      <c r="I19" s="1">
        <f>-14664652.54</f>
        <v>-14664652.539999999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-14664652.539999999</v>
      </c>
    </row>
    <row r="20" spans="1:35" x14ac:dyDescent="0.25">
      <c r="A20" s="13"/>
      <c r="B20" s="23" t="s">
        <v>313</v>
      </c>
      <c r="C20" s="23" t="s">
        <v>349</v>
      </c>
      <c r="E20" s="1">
        <f>-49330.21-26072.74-695.67</f>
        <v>-76098.62</v>
      </c>
      <c r="F20" s="1">
        <v>0</v>
      </c>
      <c r="G20" s="1">
        <v>0</v>
      </c>
      <c r="H20" s="1">
        <v>0</v>
      </c>
      <c r="I20" s="1">
        <f>-183226.31</f>
        <v>-183226.31</v>
      </c>
      <c r="J20" s="1">
        <v>0</v>
      </c>
      <c r="K20" s="1">
        <v>0.28499999999999998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-259324.64499999999</v>
      </c>
    </row>
    <row r="21" spans="1:35" x14ac:dyDescent="0.25">
      <c r="A21" s="13">
        <v>2</v>
      </c>
      <c r="B21" s="23" t="s">
        <v>272</v>
      </c>
      <c r="C21" s="13"/>
      <c r="D21" s="1">
        <v>19585346.6942105</v>
      </c>
      <c r="E21" s="27">
        <f>D21+E16-E17+E19</f>
        <v>18927295.984210499</v>
      </c>
      <c r="F21" s="1">
        <f t="shared" ref="F21:P21" si="1">E21+F16-F17</f>
        <v>18695849.6942105</v>
      </c>
      <c r="G21" s="1">
        <f t="shared" si="1"/>
        <v>18054951.564210501</v>
      </c>
      <c r="H21" s="1">
        <f t="shared" si="1"/>
        <v>17997788.344210502</v>
      </c>
      <c r="I21" s="27">
        <f>H21+I16-I17+I19</f>
        <v>20451224.354210503</v>
      </c>
      <c r="J21" s="1">
        <f>I21+J16-J17+14664652.54</f>
        <v>35115876.894210503</v>
      </c>
      <c r="K21" s="1">
        <f t="shared" si="1"/>
        <v>44247321.894210503</v>
      </c>
      <c r="L21" s="1">
        <f t="shared" si="1"/>
        <v>44370794.894210503</v>
      </c>
      <c r="M21" s="1">
        <f t="shared" si="1"/>
        <v>44619404.894210503</v>
      </c>
      <c r="N21" s="1">
        <f t="shared" si="1"/>
        <v>61428114.894210503</v>
      </c>
      <c r="O21" s="1">
        <f t="shared" si="1"/>
        <v>82374697.394210503</v>
      </c>
      <c r="P21" s="1">
        <f t="shared" si="1"/>
        <v>83254241.394210503</v>
      </c>
      <c r="W21" s="1">
        <f>SUM(X21:AI21)</f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</row>
    <row r="22" spans="1:35" x14ac:dyDescent="0.25">
      <c r="A22" s="13">
        <v>3</v>
      </c>
      <c r="B22" s="23" t="s">
        <v>273</v>
      </c>
      <c r="C22" s="13"/>
      <c r="D22" s="1">
        <v>-34638588.265941523</v>
      </c>
      <c r="E22" s="27">
        <f>D22-E34-E35-E36+E17+E18+E20</f>
        <v>-34810018.853861794</v>
      </c>
      <c r="F22" s="1">
        <f>E22-F34-F35-F36+F17+F18+F20</f>
        <v>-34785538.913116887</v>
      </c>
      <c r="G22" s="1">
        <f>F22-G34-G36+G18+G19-G20</f>
        <v>-34798375.347742356</v>
      </c>
      <c r="H22" s="1">
        <f>G22-H34-H36+H18+H19-H20</f>
        <v>-34830875.022808626</v>
      </c>
      <c r="I22" s="27">
        <f>H22-I34-I36+I17+I18+I20</f>
        <v>-34877453.468257524</v>
      </c>
      <c r="J22" s="1">
        <f>I22-J34-J36+J17+J18+J20</f>
        <v>-32248907.863776173</v>
      </c>
      <c r="K22" s="1">
        <f t="shared" ref="K22:P22" si="2">J22-K34-K36+K17+K18+K20</f>
        <v>-32060170.658519179</v>
      </c>
      <c r="L22" s="1">
        <f t="shared" si="2"/>
        <v>-31633002.385762181</v>
      </c>
      <c r="M22" s="1">
        <f t="shared" si="2"/>
        <v>-31206299.216755185</v>
      </c>
      <c r="N22" s="1">
        <f t="shared" si="2"/>
        <v>-30823742.697748188</v>
      </c>
      <c r="O22" s="1">
        <f t="shared" si="2"/>
        <v>-30701019.294366192</v>
      </c>
      <c r="P22" s="1">
        <f t="shared" si="2"/>
        <v>-30286269.650237795</v>
      </c>
      <c r="W22" s="1">
        <f>SUM(X22:AI22)</f>
        <v>1.4757153019309044</v>
      </c>
      <c r="X22" s="1">
        <v>-3.3332705497741699E-3</v>
      </c>
      <c r="Y22" s="1">
        <v>-3.3332705497741699E-3</v>
      </c>
      <c r="Z22" s="1">
        <v>-3.333263099193573E-3</v>
      </c>
      <c r="AA22" s="1">
        <v>-0.13333326578140259</v>
      </c>
      <c r="AB22" s="1">
        <v>-3.3332705497741699E-3</v>
      </c>
      <c r="AC22" s="1">
        <v>-3.3332668244838715E-3</v>
      </c>
      <c r="AD22" s="1">
        <v>0.28166673332452774</v>
      </c>
      <c r="AE22" s="1">
        <v>0.27738103270530701</v>
      </c>
      <c r="AF22" s="1">
        <v>0.27309533208608627</v>
      </c>
      <c r="AG22" s="1">
        <v>0.26880963891744614</v>
      </c>
      <c r="AH22" s="1">
        <v>0.2645239382982254</v>
      </c>
      <c r="AI22" s="1">
        <v>0.26023823395371437</v>
      </c>
    </row>
    <row r="23" spans="1:35" x14ac:dyDescent="0.25">
      <c r="A23" s="13">
        <v>4</v>
      </c>
      <c r="B23" s="23" t="s">
        <v>274</v>
      </c>
      <c r="C23" s="13"/>
      <c r="D23" s="1">
        <v>72965700.761052608</v>
      </c>
      <c r="E23" s="1">
        <f>D23+E15-E16</f>
        <v>76638787.531052589</v>
      </c>
      <c r="F23" s="1">
        <f t="shared" ref="F23:P23" si="3">E23+F15-F16</f>
        <v>78002238.831052601</v>
      </c>
      <c r="G23" s="1">
        <f t="shared" si="3"/>
        <v>80110432.651052594</v>
      </c>
      <c r="H23" s="1">
        <f t="shared" si="3"/>
        <v>83651161.201052591</v>
      </c>
      <c r="I23" s="1">
        <f t="shared" si="3"/>
        <v>73991922.071052596</v>
      </c>
      <c r="J23" s="1">
        <f>I23+J15-J16</f>
        <v>79403911.996358395</v>
      </c>
      <c r="K23" s="1">
        <f t="shared" si="3"/>
        <v>71930936.35316439</v>
      </c>
      <c r="L23" s="1">
        <f t="shared" si="3"/>
        <v>76605920.030655891</v>
      </c>
      <c r="M23" s="1">
        <f t="shared" si="3"/>
        <v>79621523.78545399</v>
      </c>
      <c r="N23" s="1">
        <f t="shared" si="3"/>
        <v>64951235.028268591</v>
      </c>
      <c r="O23" s="1">
        <f t="shared" si="3"/>
        <v>46437124.757293388</v>
      </c>
      <c r="P23" s="1">
        <f t="shared" si="3"/>
        <v>48579723.43998529</v>
      </c>
      <c r="W23" s="1">
        <f>SUM(X23:AI23)</f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</row>
    <row r="24" spans="1:35" x14ac:dyDescent="0.25">
      <c r="A24" s="13">
        <v>5</v>
      </c>
      <c r="B24" s="23" t="s">
        <v>358</v>
      </c>
      <c r="C24" s="13"/>
      <c r="D24" s="199">
        <v>11167690.09</v>
      </c>
      <c r="E24" s="199">
        <f>D24-E35+E38</f>
        <v>11534777.709999999</v>
      </c>
      <c r="F24" s="199">
        <f t="shared" ref="F24:P24" si="4">E24-F35+F38</f>
        <v>11925968.27</v>
      </c>
      <c r="G24" s="199">
        <f>F24-G35+G38</f>
        <v>12346551.259783333</v>
      </c>
      <c r="H24" s="199">
        <f t="shared" si="4"/>
        <v>12651770.298533333</v>
      </c>
      <c r="I24" s="199">
        <f t="shared" si="4"/>
        <v>13673164.877283335</v>
      </c>
      <c r="J24" s="199">
        <f>I24-J35+J38</f>
        <v>14856053.787249967</v>
      </c>
      <c r="K24" s="199">
        <f t="shared" si="4"/>
        <v>21834714.216873102</v>
      </c>
      <c r="L24" s="199">
        <f t="shared" si="4"/>
        <v>26230296.440710835</v>
      </c>
      <c r="M24" s="199">
        <f t="shared" si="4"/>
        <v>30829690.634548567</v>
      </c>
      <c r="N24" s="199">
        <f t="shared" si="4"/>
        <v>34706544.2883863</v>
      </c>
      <c r="O24" s="199">
        <f t="shared" si="4"/>
        <v>37716239.072224036</v>
      </c>
      <c r="P24" s="199">
        <f t="shared" si="4"/>
        <v>40179025.886061773</v>
      </c>
    </row>
    <row r="25" spans="1:35" x14ac:dyDescent="0.25">
      <c r="A25" s="13">
        <v>6</v>
      </c>
      <c r="B25" s="23" t="s">
        <v>275</v>
      </c>
      <c r="C25" s="13"/>
      <c r="D25" s="199">
        <f>SUM(D21:D24)</f>
        <v>69080149.279321581</v>
      </c>
      <c r="E25" s="199">
        <f>SUM(E21:E24)</f>
        <v>72290842.371401295</v>
      </c>
      <c r="F25" s="199">
        <f t="shared" ref="F25:P25" si="5">SUM(F21:F24)</f>
        <v>73838517.882146209</v>
      </c>
      <c r="G25" s="199">
        <f t="shared" si="5"/>
        <v>75713560.127304062</v>
      </c>
      <c r="H25" s="199">
        <f t="shared" si="5"/>
        <v>79469844.820987806</v>
      </c>
      <c r="I25" s="199">
        <f t="shared" si="5"/>
        <v>73238857.83428891</v>
      </c>
      <c r="J25" s="199">
        <f t="shared" si="5"/>
        <v>97126934.814042687</v>
      </c>
      <c r="K25" s="199">
        <f t="shared" si="5"/>
        <v>105952801.80572882</v>
      </c>
      <c r="L25" s="199">
        <f t="shared" si="5"/>
        <v>115574008.97981504</v>
      </c>
      <c r="M25" s="199">
        <f t="shared" si="5"/>
        <v>123864320.09745789</v>
      </c>
      <c r="N25" s="199">
        <f t="shared" si="5"/>
        <v>130262151.51311721</v>
      </c>
      <c r="O25" s="199">
        <f t="shared" si="5"/>
        <v>135827041.92936173</v>
      </c>
      <c r="P25" s="199">
        <f t="shared" si="5"/>
        <v>141726721.07001978</v>
      </c>
    </row>
    <row r="26" spans="1:35" x14ac:dyDescent="0.25">
      <c r="A26" s="13"/>
      <c r="B26" s="23"/>
    </row>
    <row r="27" spans="1:35" x14ac:dyDescent="0.25">
      <c r="A27" s="13">
        <v>7</v>
      </c>
      <c r="B27" s="23" t="s">
        <v>276</v>
      </c>
      <c r="C27" s="23"/>
      <c r="E27" s="1">
        <f>(D25+E25)/2</f>
        <v>70685495.825361431</v>
      </c>
      <c r="F27" s="1">
        <f t="shared" ref="F27:P27" si="6">(E25+F25)/2</f>
        <v>73064680.126773745</v>
      </c>
      <c r="G27" s="1">
        <f t="shared" si="6"/>
        <v>74776039.004725128</v>
      </c>
      <c r="H27" s="1">
        <f t="shared" si="6"/>
        <v>77591702.474145934</v>
      </c>
      <c r="I27" s="1">
        <f t="shared" si="6"/>
        <v>76354351.327638358</v>
      </c>
      <c r="J27" s="1">
        <f t="shared" si="6"/>
        <v>85182896.324165791</v>
      </c>
      <c r="K27" s="1">
        <f t="shared" si="6"/>
        <v>101539868.30988576</v>
      </c>
      <c r="L27" s="1">
        <f t="shared" si="6"/>
        <v>110763405.39277193</v>
      </c>
      <c r="M27" s="1">
        <f t="shared" si="6"/>
        <v>119719164.53863646</v>
      </c>
      <c r="N27" s="1">
        <f t="shared" si="6"/>
        <v>127063235.80528754</v>
      </c>
      <c r="O27" s="1">
        <f t="shared" si="6"/>
        <v>133044596.72123948</v>
      </c>
      <c r="P27" s="1">
        <f t="shared" si="6"/>
        <v>138776881.49969077</v>
      </c>
    </row>
    <row r="28" spans="1:35" x14ac:dyDescent="0.25">
      <c r="A28" s="200"/>
      <c r="B28" s="20"/>
    </row>
    <row r="29" spans="1:35" x14ac:dyDescent="0.25">
      <c r="A29" s="13">
        <v>8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T29" s="243" t="s">
        <v>359</v>
      </c>
      <c r="U29" s="243"/>
      <c r="V29" s="243"/>
      <c r="W29" s="243"/>
      <c r="X29" s="243"/>
      <c r="Z29" s="243" t="s">
        <v>360</v>
      </c>
      <c r="AA29" s="243"/>
      <c r="AB29" s="243"/>
      <c r="AC29" s="243"/>
    </row>
    <row r="30" spans="1:35" ht="25" x14ac:dyDescent="0.25">
      <c r="A30" s="200"/>
      <c r="B30" s="23" t="s">
        <v>262</v>
      </c>
      <c r="C30" s="23" t="s">
        <v>278</v>
      </c>
      <c r="E30" s="1">
        <v>325436.02277996397</v>
      </c>
      <c r="F30" s="1">
        <v>336389.78730366629</v>
      </c>
      <c r="G30" s="1">
        <v>344268.88357775449</v>
      </c>
      <c r="H30" s="1">
        <v>357232.19819096784</v>
      </c>
      <c r="I30" s="1">
        <v>351535.43351244699</v>
      </c>
      <c r="J30" s="1">
        <v>392182.05467645929</v>
      </c>
      <c r="K30" s="1">
        <v>486274.42933604284</v>
      </c>
      <c r="L30" s="1">
        <v>530445.94842598471</v>
      </c>
      <c r="M30" s="1">
        <v>573335.07897552999</v>
      </c>
      <c r="N30" s="1">
        <v>608505.83627152198</v>
      </c>
      <c r="O30" s="1">
        <v>637150.57369801588</v>
      </c>
      <c r="P30" s="1">
        <v>664602.48550201906</v>
      </c>
      <c r="Q30" s="1">
        <f>ROUND(SUM(E30:P30),2)</f>
        <v>5607358.7300000004</v>
      </c>
      <c r="T30" s="1" t="s">
        <v>352</v>
      </c>
      <c r="U30" s="1" t="s">
        <v>353</v>
      </c>
      <c r="V30" s="1" t="s">
        <v>354</v>
      </c>
      <c r="W30" s="1" t="s">
        <v>355</v>
      </c>
      <c r="X30" s="1" t="s">
        <v>356</v>
      </c>
      <c r="Z30" s="244" t="s">
        <v>353</v>
      </c>
      <c r="AA30" s="244" t="s">
        <v>354</v>
      </c>
      <c r="AB30" s="245" t="s">
        <v>355</v>
      </c>
      <c r="AC30" s="244" t="s">
        <v>356</v>
      </c>
    </row>
    <row r="31" spans="1:35" x14ac:dyDescent="0.25">
      <c r="A31" s="200"/>
      <c r="B31" s="23" t="s">
        <v>264</v>
      </c>
      <c r="C31" s="23" t="s">
        <v>279</v>
      </c>
      <c r="E31" s="1">
        <v>82136.546149069982</v>
      </c>
      <c r="F31" s="1">
        <v>84901.158307311096</v>
      </c>
      <c r="G31" s="1">
        <v>86889.757323490601</v>
      </c>
      <c r="H31" s="1">
        <v>90161.558274957584</v>
      </c>
      <c r="I31" s="1">
        <v>88723.756242715783</v>
      </c>
      <c r="J31" s="1">
        <v>98982.52552868065</v>
      </c>
      <c r="K31" s="1">
        <v>106515.32185707016</v>
      </c>
      <c r="L31" s="1">
        <v>116190.81225701775</v>
      </c>
      <c r="M31" s="1">
        <v>125585.40360102965</v>
      </c>
      <c r="N31" s="1">
        <v>133289.33435974663</v>
      </c>
      <c r="O31" s="1">
        <v>139563.78196058021</v>
      </c>
      <c r="P31" s="1">
        <v>145576.94869317563</v>
      </c>
      <c r="Q31" s="1">
        <f>ROUND(SUM(E31:P31),2)</f>
        <v>1298516.8999999999</v>
      </c>
      <c r="T31" s="242">
        <v>43738</v>
      </c>
      <c r="U31" s="1">
        <v>8325779.6799999997</v>
      </c>
      <c r="W31" s="1">
        <v>6938.1497333333336</v>
      </c>
      <c r="X31" s="1">
        <v>8318841.5302666668</v>
      </c>
      <c r="Z31" s="246">
        <v>1206826.72</v>
      </c>
      <c r="AA31" s="246"/>
      <c r="AB31" s="246">
        <v>1005.6889333333334</v>
      </c>
      <c r="AC31" s="247">
        <v>1205821.0310666666</v>
      </c>
      <c r="AD31" s="1">
        <f t="shared" ref="AD31:AD38" si="7">AC31+X31</f>
        <v>9524662.5613333341</v>
      </c>
    </row>
    <row r="32" spans="1:35" ht="13" x14ac:dyDescent="0.3">
      <c r="A32" s="200"/>
      <c r="B32" s="202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T32" s="242">
        <v>43769</v>
      </c>
      <c r="U32" s="1">
        <v>8318841.5302666668</v>
      </c>
      <c r="V32" s="1">
        <v>409403.89</v>
      </c>
      <c r="W32" s="1">
        <v>14217.469375000001</v>
      </c>
      <c r="X32" s="1">
        <v>8714027.950891668</v>
      </c>
      <c r="Z32" s="246">
        <v>1205821.0310666666</v>
      </c>
      <c r="AA32" s="246">
        <v>43112.74</v>
      </c>
      <c r="AB32" s="246">
        <v>2047.3051500000004</v>
      </c>
      <c r="AC32" s="247">
        <v>1246886.4659166667</v>
      </c>
      <c r="AD32" s="226">
        <f t="shared" si="7"/>
        <v>9960914.4168083351</v>
      </c>
    </row>
    <row r="33" spans="1:31" x14ac:dyDescent="0.25">
      <c r="A33" s="13">
        <v>9</v>
      </c>
      <c r="B33" s="23" t="s">
        <v>280</v>
      </c>
      <c r="T33" s="242">
        <v>43799</v>
      </c>
      <c r="U33" s="1">
        <v>8714027.950891668</v>
      </c>
      <c r="V33" s="1">
        <v>453659.47000000067</v>
      </c>
      <c r="W33" s="1">
        <v>14936.688841666668</v>
      </c>
      <c r="X33" s="1">
        <v>9152750.7320500016</v>
      </c>
      <c r="Z33" s="246">
        <v>1246886.4659166667</v>
      </c>
      <c r="AA33" s="246">
        <v>83948.120000000112</v>
      </c>
      <c r="AB33" s="246">
        <v>2153.1892000000003</v>
      </c>
      <c r="AC33" s="247">
        <v>1328681.3967166669</v>
      </c>
      <c r="AD33" s="1">
        <f t="shared" si="7"/>
        <v>10481432.128766669</v>
      </c>
    </row>
    <row r="34" spans="1:31" x14ac:dyDescent="0.25">
      <c r="A34" s="200"/>
      <c r="B34" s="23" t="s">
        <v>262</v>
      </c>
      <c r="C34" s="23" t="s">
        <v>281</v>
      </c>
      <c r="E34" s="1">
        <v>40471.307920275212</v>
      </c>
      <c r="F34" s="1">
        <v>39569.749255100163</v>
      </c>
      <c r="G34" s="1">
        <v>38774.224625472561</v>
      </c>
      <c r="H34" s="1">
        <v>38134.33506627359</v>
      </c>
      <c r="I34" s="1">
        <v>40305.415448892963</v>
      </c>
      <c r="J34" s="1">
        <v>64405.072418648764</v>
      </c>
      <c r="K34" s="1">
        <v>89261.976585904558</v>
      </c>
      <c r="L34" s="1">
        <v>100830.62408590455</v>
      </c>
      <c r="M34" s="1">
        <v>101295.72783590456</v>
      </c>
      <c r="N34" s="1">
        <v>145442.37783590454</v>
      </c>
      <c r="O34" s="1">
        <v>229761.49346090457</v>
      </c>
      <c r="P34" s="1">
        <v>271344.15158590459</v>
      </c>
      <c r="Q34" s="1">
        <f>ROUND(SUM(E34:P34),2)</f>
        <v>1199596.46</v>
      </c>
      <c r="T34" s="242">
        <v>43830</v>
      </c>
      <c r="U34" s="1">
        <v>9152750.7320500016</v>
      </c>
      <c r="V34" s="1">
        <v>542697.91000000015</v>
      </c>
      <c r="W34" s="1">
        <v>15766.986658333337</v>
      </c>
      <c r="X34" s="1">
        <v>9679681.6553916689</v>
      </c>
      <c r="Z34" s="246">
        <v>1328681.3967166669</v>
      </c>
      <c r="AA34" s="246">
        <v>102261.55999999997</v>
      </c>
      <c r="AB34" s="246">
        <v>2308.3639333333335</v>
      </c>
      <c r="AC34" s="247">
        <v>1428634.5927833335</v>
      </c>
      <c r="AD34" s="1">
        <f t="shared" si="7"/>
        <v>11108316.248175003</v>
      </c>
    </row>
    <row r="35" spans="1:31" x14ac:dyDescent="0.25">
      <c r="A35" s="200"/>
      <c r="B35" s="23" t="s">
        <v>264</v>
      </c>
      <c r="C35" s="23" t="s">
        <v>282</v>
      </c>
      <c r="E35" s="1">
        <f>(SUM(W31:W35)+SUM(AB31:AB35))*0</f>
        <v>0</v>
      </c>
      <c r="F35" s="1">
        <f>(W36+AB36)*0</f>
        <v>0</v>
      </c>
      <c r="G35" s="1">
        <f>(SUM(W31:W35)+SUM(AB31:AB35))+(W36+AB36)+W37+AB37</f>
        <v>118168.76021666668</v>
      </c>
      <c r="H35" s="1">
        <f>W38+AB38</f>
        <v>21046.421250000003</v>
      </c>
      <c r="I35" s="1">
        <f>W39+AB39</f>
        <v>22187.961250000004</v>
      </c>
      <c r="J35" s="27">
        <f>W40+AB40</f>
        <v>23057.613366666668</v>
      </c>
      <c r="K35" s="27">
        <f>$W41+$AB41</f>
        <v>23057.613366666668</v>
      </c>
      <c r="L35" s="27">
        <f>$W42+$AB42</f>
        <v>23057.613366666668</v>
      </c>
      <c r="M35" s="27">
        <f>$W43+$AB43</f>
        <v>23057.613366666668</v>
      </c>
      <c r="N35" s="27">
        <f>$W44+$AB44</f>
        <v>23057.613366666668</v>
      </c>
      <c r="O35" s="27">
        <f>$W45+$AB45</f>
        <v>23057.613366666668</v>
      </c>
      <c r="P35" s="27">
        <f>$W46+$AB46</f>
        <v>23057.613366666668</v>
      </c>
      <c r="Q35" s="1">
        <f>ROUND(SUM(E35:P35),2)</f>
        <v>322806.44</v>
      </c>
      <c r="T35" s="242">
        <v>43861</v>
      </c>
      <c r="U35" s="1">
        <v>9679681.6553916689</v>
      </c>
      <c r="V35" s="1">
        <v>247142.66999999998</v>
      </c>
      <c r="W35" s="1">
        <v>16425.187141666673</v>
      </c>
      <c r="X35" s="1">
        <v>9910399.1382500026</v>
      </c>
      <c r="Z35" s="246">
        <v>1428634.5927833335</v>
      </c>
      <c r="AA35" s="246">
        <v>119944.95</v>
      </c>
      <c r="AB35" s="246">
        <v>2493.5360250000003</v>
      </c>
      <c r="AC35" s="247">
        <v>1546086.0067583334</v>
      </c>
      <c r="AD35" s="1">
        <f t="shared" si="7"/>
        <v>11456485.145008337</v>
      </c>
      <c r="AE35" s="1">
        <f>AD35-E24</f>
        <v>-78292.564991662279</v>
      </c>
    </row>
    <row r="36" spans="1:31" x14ac:dyDescent="0.25">
      <c r="A36" s="200"/>
      <c r="B36" s="23" t="s">
        <v>266</v>
      </c>
      <c r="C36" s="23" t="s">
        <v>283</v>
      </c>
      <c r="E36" s="1">
        <v>54860.66</v>
      </c>
      <c r="F36" s="1">
        <v>54860.66</v>
      </c>
      <c r="G36" s="1">
        <v>54860.66</v>
      </c>
      <c r="H36" s="1">
        <v>54860.66</v>
      </c>
      <c r="I36" s="1">
        <v>54860.66</v>
      </c>
      <c r="J36" s="1">
        <v>54860.66</v>
      </c>
      <c r="K36" s="1">
        <v>54860.66</v>
      </c>
      <c r="L36" s="1">
        <v>54860.66</v>
      </c>
      <c r="M36" s="1">
        <v>54860.66</v>
      </c>
      <c r="N36" s="1">
        <v>54860.66</v>
      </c>
      <c r="O36" s="1">
        <v>54860.66</v>
      </c>
      <c r="P36" s="1">
        <v>54860.66</v>
      </c>
      <c r="Q36" s="1">
        <f>ROUND(SUM(E36:P36),2)</f>
        <v>658327.92000000004</v>
      </c>
      <c r="T36" s="242">
        <v>43890</v>
      </c>
      <c r="U36" s="1">
        <v>9910399.1382500026</v>
      </c>
      <c r="V36" s="1">
        <v>339149.87</v>
      </c>
      <c r="W36" s="1">
        <v>16913.764258333336</v>
      </c>
      <c r="X36" s="1">
        <v>10232635.243991669</v>
      </c>
      <c r="Z36" s="246">
        <v>1546086.0067583334</v>
      </c>
      <c r="AA36" s="246">
        <v>52040.689999999988</v>
      </c>
      <c r="AB36" s="246">
        <v>2636.8573916666669</v>
      </c>
      <c r="AC36" s="247">
        <v>1595489.8393666667</v>
      </c>
      <c r="AD36" s="1">
        <f t="shared" si="7"/>
        <v>11828125.083358336</v>
      </c>
      <c r="AE36" s="1">
        <f>AD36-F24</f>
        <v>-97843.186641663313</v>
      </c>
    </row>
    <row r="37" spans="1:31" x14ac:dyDescent="0.25">
      <c r="A37" s="200"/>
      <c r="B37" s="23" t="s">
        <v>268</v>
      </c>
      <c r="C37" s="23" t="s">
        <v>284</v>
      </c>
      <c r="E37" s="1">
        <v>7248.0090849814806</v>
      </c>
      <c r="F37" s="1">
        <v>6073.2178460415871</v>
      </c>
      <c r="G37" s="1">
        <v>6073.2178460415871</v>
      </c>
      <c r="H37" s="1">
        <v>6073.2178460415871</v>
      </c>
      <c r="I37" s="1">
        <v>6073.2178460415871</v>
      </c>
      <c r="J37" s="1">
        <v>6073.2178460415871</v>
      </c>
      <c r="K37" s="1">
        <v>6073.2178460415871</v>
      </c>
      <c r="L37" s="1">
        <v>6073.2178460415871</v>
      </c>
      <c r="M37" s="1">
        <v>6073.2178460415871</v>
      </c>
      <c r="N37" s="1">
        <v>6073.2178460415871</v>
      </c>
      <c r="O37" s="1">
        <v>6073.2178460415871</v>
      </c>
      <c r="P37" s="1">
        <v>6073.2178460415871</v>
      </c>
      <c r="Q37" s="1">
        <f>ROUND(SUM(E37:P37),2)</f>
        <v>74053.41</v>
      </c>
      <c r="T37" s="242">
        <v>43921</v>
      </c>
      <c r="U37" s="1">
        <v>10232635.243991669</v>
      </c>
      <c r="V37" s="1">
        <v>485622.91000000003</v>
      </c>
      <c r="W37" s="1">
        <v>17601.074908333336</v>
      </c>
      <c r="X37" s="1">
        <v>10700657.079083337</v>
      </c>
      <c r="Z37" s="246">
        <v>1595489.8393666667</v>
      </c>
      <c r="AA37" s="246">
        <v>53128.84</v>
      </c>
      <c r="AB37" s="246">
        <v>2724.4986666666668</v>
      </c>
      <c r="AC37" s="247">
        <v>1645894.1807000001</v>
      </c>
      <c r="AD37" s="1">
        <f t="shared" si="7"/>
        <v>12346551.259783337</v>
      </c>
      <c r="AE37" s="1">
        <f>AD37-G24</f>
        <v>0</v>
      </c>
    </row>
    <row r="38" spans="1:31" x14ac:dyDescent="0.25">
      <c r="A38" s="200"/>
      <c r="B38" s="23" t="s">
        <v>270</v>
      </c>
      <c r="C38" s="23" t="s">
        <v>285</v>
      </c>
      <c r="E38" s="1">
        <f>V35+AA35</f>
        <v>367087.62</v>
      </c>
      <c r="F38" s="1">
        <f>V36+AA36</f>
        <v>391190.56</v>
      </c>
      <c r="G38" s="1">
        <f>V37+AA37</f>
        <v>538751.75</v>
      </c>
      <c r="H38" s="1">
        <f>$V38+$AA38</f>
        <v>326265.46000000002</v>
      </c>
      <c r="I38" s="1">
        <f>$V39+$AA39</f>
        <v>1043582.54</v>
      </c>
      <c r="J38" s="1">
        <v>1205946.5233332999</v>
      </c>
      <c r="K38" s="1">
        <v>7001718.0429897998</v>
      </c>
      <c r="L38" s="1">
        <v>4418639.8372043995</v>
      </c>
      <c r="M38" s="1">
        <v>4622451.8072044002</v>
      </c>
      <c r="N38" s="1">
        <v>3899911.2672044002</v>
      </c>
      <c r="O38" s="1">
        <v>3032752.3972044</v>
      </c>
      <c r="P38" s="1">
        <v>2485844.4272043998</v>
      </c>
      <c r="Q38" s="1">
        <f>ROUND(SUM(E38:P38),2)</f>
        <v>29334142.23</v>
      </c>
      <c r="T38" s="242">
        <v>43951</v>
      </c>
      <c r="U38" s="1">
        <v>10700657.079083337</v>
      </c>
      <c r="V38" s="1">
        <v>111362.89000000001</v>
      </c>
      <c r="W38" s="1">
        <v>18098.563075000002</v>
      </c>
      <c r="X38" s="1">
        <v>10793921.406008337</v>
      </c>
      <c r="Z38" s="246">
        <v>1645894.1807000001</v>
      </c>
      <c r="AA38" s="246">
        <v>214902.57</v>
      </c>
      <c r="AB38" s="246">
        <v>2947.8581750000003</v>
      </c>
      <c r="AC38" s="247">
        <v>1857848.8925250003</v>
      </c>
      <c r="AD38" s="1">
        <f t="shared" si="7"/>
        <v>12651770.298533337</v>
      </c>
      <c r="AE38" s="1">
        <f>AD38-H24</f>
        <v>0</v>
      </c>
    </row>
    <row r="39" spans="1:31" x14ac:dyDescent="0.25">
      <c r="A39" s="200"/>
      <c r="B39" s="202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T39" s="242">
        <v>43982</v>
      </c>
      <c r="U39" s="1">
        <v>10793921.406008337</v>
      </c>
      <c r="V39" s="1">
        <v>1091460.02</v>
      </c>
      <c r="W39" s="1">
        <v>19100.915500000003</v>
      </c>
      <c r="X39" s="1">
        <v>11866280.510508336</v>
      </c>
      <c r="Z39" s="1">
        <v>1857848.8925250003</v>
      </c>
      <c r="AA39" s="1">
        <v>-47877.48000000001</v>
      </c>
      <c r="AB39" s="1">
        <v>3087.0457500000007</v>
      </c>
      <c r="AC39" s="1">
        <v>1806884.3667750002</v>
      </c>
    </row>
    <row r="40" spans="1:31" x14ac:dyDescent="0.25">
      <c r="A40" s="13">
        <v>10</v>
      </c>
      <c r="B40" s="23" t="s">
        <v>286</v>
      </c>
      <c r="E40" s="1">
        <f>SUM(E30:E37)</f>
        <v>510152.54593429057</v>
      </c>
      <c r="F40" s="1">
        <f t="shared" ref="F40:P40" si="8">SUM(F30:F37)</f>
        <v>521794.57271211914</v>
      </c>
      <c r="G40" s="1">
        <f t="shared" si="8"/>
        <v>649035.50358942582</v>
      </c>
      <c r="H40" s="1">
        <f t="shared" si="8"/>
        <v>567508.39062824054</v>
      </c>
      <c r="I40" s="1">
        <f t="shared" si="8"/>
        <v>563686.4443000973</v>
      </c>
      <c r="J40" s="1">
        <f t="shared" si="8"/>
        <v>639561.14383649698</v>
      </c>
      <c r="K40" s="1">
        <f t="shared" si="8"/>
        <v>766043.21899172594</v>
      </c>
      <c r="L40" s="1">
        <f t="shared" si="8"/>
        <v>831458.87598161527</v>
      </c>
      <c r="M40" s="1">
        <f t="shared" si="8"/>
        <v>884207.70162517251</v>
      </c>
      <c r="N40" s="1">
        <f t="shared" si="8"/>
        <v>971229.03967988153</v>
      </c>
      <c r="O40" s="1">
        <f t="shared" si="8"/>
        <v>1090467.3403322089</v>
      </c>
      <c r="P40" s="1">
        <f t="shared" si="8"/>
        <v>1165515.0769938075</v>
      </c>
      <c r="Q40" s="1">
        <f>SUM(E40:P40)</f>
        <v>9160659.8546050806</v>
      </c>
      <c r="T40" s="242">
        <v>44012</v>
      </c>
      <c r="U40" s="1">
        <v>11866280.510508336</v>
      </c>
      <c r="V40" s="1">
        <v>0</v>
      </c>
      <c r="W40" s="1">
        <v>20010.465516666667</v>
      </c>
      <c r="X40" s="1">
        <v>11846270.04499167</v>
      </c>
      <c r="Z40" s="1">
        <v>1806884.3667750002</v>
      </c>
      <c r="AB40" s="1">
        <v>3047.1478500000007</v>
      </c>
      <c r="AC40" s="1">
        <v>1803837.2189250002</v>
      </c>
    </row>
    <row r="41" spans="1:31" x14ac:dyDescent="0.25">
      <c r="A41" s="200"/>
      <c r="B41" s="23" t="s">
        <v>262</v>
      </c>
      <c r="C41" s="23" t="s">
        <v>160</v>
      </c>
      <c r="E41" s="1">
        <f>E40*1/13</f>
        <v>39242.503533406969</v>
      </c>
      <c r="F41" s="1">
        <f t="shared" ref="F41:P41" si="9">F40*1/13</f>
        <v>40138.044054778395</v>
      </c>
      <c r="G41" s="1">
        <f t="shared" si="9"/>
        <v>49925.807968417372</v>
      </c>
      <c r="H41" s="1">
        <f t="shared" si="9"/>
        <v>43654.491586787735</v>
      </c>
      <c r="I41" s="1">
        <f t="shared" si="9"/>
        <v>43360.495715392099</v>
      </c>
      <c r="J41" s="1">
        <f t="shared" si="9"/>
        <v>49197.011064345919</v>
      </c>
      <c r="K41" s="1">
        <f t="shared" si="9"/>
        <v>58926.401460901994</v>
      </c>
      <c r="L41" s="1">
        <f t="shared" si="9"/>
        <v>63958.375075508869</v>
      </c>
      <c r="M41" s="1">
        <f t="shared" si="9"/>
        <v>68015.977048090193</v>
      </c>
      <c r="N41" s="1">
        <f t="shared" si="9"/>
        <v>74709.926129221654</v>
      </c>
      <c r="O41" s="1">
        <f t="shared" si="9"/>
        <v>83882.103102477602</v>
      </c>
      <c r="P41" s="1">
        <f t="shared" si="9"/>
        <v>89655.005922600569</v>
      </c>
      <c r="Q41" s="1">
        <f>SUM(E41:P41)</f>
        <v>704666.14266192936</v>
      </c>
      <c r="T41" s="242">
        <v>44043</v>
      </c>
      <c r="U41" s="1">
        <v>11846270.04499167</v>
      </c>
      <c r="V41" s="1">
        <v>0</v>
      </c>
      <c r="W41" s="1">
        <v>20010.465516666667</v>
      </c>
      <c r="X41" s="1">
        <v>11826259.579475004</v>
      </c>
      <c r="Z41" s="1">
        <v>1803837.2189250002</v>
      </c>
      <c r="AA41" s="1">
        <v>0</v>
      </c>
      <c r="AB41" s="1">
        <v>3047.1478500000007</v>
      </c>
      <c r="AC41" s="1">
        <v>1800790.0710750001</v>
      </c>
    </row>
    <row r="42" spans="1:31" x14ac:dyDescent="0.25">
      <c r="A42" s="200"/>
      <c r="B42" s="23" t="s">
        <v>264</v>
      </c>
      <c r="C42" s="23" t="s">
        <v>161</v>
      </c>
      <c r="E42" s="1">
        <f>E40-E41</f>
        <v>470910.04240088363</v>
      </c>
      <c r="F42" s="1">
        <f t="shared" ref="F42:P42" si="10">F40-F41</f>
        <v>481656.52865734074</v>
      </c>
      <c r="G42" s="1">
        <f t="shared" si="10"/>
        <v>599109.6956210084</v>
      </c>
      <c r="H42" s="1">
        <f t="shared" si="10"/>
        <v>523853.89904145279</v>
      </c>
      <c r="I42" s="1">
        <f t="shared" si="10"/>
        <v>520325.94858470518</v>
      </c>
      <c r="J42" s="1">
        <f t="shared" si="10"/>
        <v>590364.13277215103</v>
      </c>
      <c r="K42" s="1">
        <f t="shared" si="10"/>
        <v>707116.81753082399</v>
      </c>
      <c r="L42" s="1">
        <f t="shared" si="10"/>
        <v>767500.50090610643</v>
      </c>
      <c r="M42" s="1">
        <f t="shared" si="10"/>
        <v>816191.72457708232</v>
      </c>
      <c r="N42" s="1">
        <f t="shared" si="10"/>
        <v>896519.11355065985</v>
      </c>
      <c r="O42" s="1">
        <f t="shared" si="10"/>
        <v>1006585.2372297313</v>
      </c>
      <c r="P42" s="1">
        <f t="shared" si="10"/>
        <v>1075860.0710712068</v>
      </c>
      <c r="Q42" s="1">
        <f>SUM(E42:P42)</f>
        <v>8455993.7119431533</v>
      </c>
      <c r="T42" s="242">
        <v>44074</v>
      </c>
      <c r="U42" s="1">
        <v>11826259.579475004</v>
      </c>
      <c r="V42" s="1">
        <v>0</v>
      </c>
      <c r="W42" s="1">
        <v>20010.465516666667</v>
      </c>
      <c r="X42" s="1">
        <v>11806249.113958338</v>
      </c>
      <c r="Z42" s="1">
        <v>1800790.0710750001</v>
      </c>
      <c r="AA42" s="1">
        <v>0</v>
      </c>
      <c r="AB42" s="1">
        <v>3047.1478500000007</v>
      </c>
      <c r="AC42" s="1">
        <v>1797742.923225</v>
      </c>
    </row>
    <row r="43" spans="1:31" x14ac:dyDescent="0.25">
      <c r="A43" s="200"/>
      <c r="B43" s="20"/>
      <c r="C43" s="202"/>
      <c r="T43" s="242">
        <v>44104</v>
      </c>
      <c r="U43" s="1">
        <v>11806249.113958338</v>
      </c>
      <c r="V43" s="1">
        <v>0</v>
      </c>
      <c r="W43" s="1">
        <v>20010.465516666667</v>
      </c>
      <c r="X43" s="1">
        <v>11786238.648441672</v>
      </c>
      <c r="Z43" s="1">
        <v>1797742.923225</v>
      </c>
      <c r="AA43" s="1">
        <v>0</v>
      </c>
      <c r="AB43" s="1">
        <v>3047.1478500000007</v>
      </c>
      <c r="AC43" s="1">
        <v>1794695.775375</v>
      </c>
    </row>
    <row r="44" spans="1:31" x14ac:dyDescent="0.25">
      <c r="A44" s="13">
        <v>11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  <c r="T44" s="242">
        <v>44135</v>
      </c>
      <c r="U44" s="1">
        <v>11786238.648441672</v>
      </c>
      <c r="V44" s="1">
        <v>0</v>
      </c>
      <c r="W44" s="1">
        <v>20010.465516666667</v>
      </c>
      <c r="X44" s="1">
        <v>11766228.182925006</v>
      </c>
      <c r="Z44" s="1">
        <v>1794695.775375</v>
      </c>
      <c r="AA44" s="1">
        <v>0</v>
      </c>
      <c r="AB44" s="1">
        <v>3047.1478500000007</v>
      </c>
      <c r="AC44" s="1">
        <v>1791648.6275249999</v>
      </c>
    </row>
    <row r="45" spans="1:31" x14ac:dyDescent="0.25">
      <c r="A45" s="13">
        <v>12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  <c r="T45" s="242">
        <v>44165</v>
      </c>
      <c r="U45" s="1">
        <v>11766228.182925006</v>
      </c>
      <c r="V45" s="1">
        <v>0</v>
      </c>
      <c r="W45" s="1">
        <v>20010.465516666667</v>
      </c>
      <c r="X45" s="1">
        <v>11746217.71740834</v>
      </c>
      <c r="Z45" s="1">
        <v>1791648.6275249999</v>
      </c>
      <c r="AA45" s="1">
        <v>0</v>
      </c>
      <c r="AB45" s="1">
        <v>3047.1478500000007</v>
      </c>
      <c r="AC45" s="1">
        <v>1788601.4796749998</v>
      </c>
    </row>
    <row r="46" spans="1:31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T46" s="242">
        <v>44196</v>
      </c>
      <c r="U46" s="1">
        <v>11746217.71740834</v>
      </c>
      <c r="V46" s="1">
        <v>0</v>
      </c>
      <c r="W46" s="1">
        <v>20010.465516666667</v>
      </c>
      <c r="X46" s="1">
        <v>11726207.251891674</v>
      </c>
      <c r="Z46" s="1">
        <v>1788601.4796749998</v>
      </c>
      <c r="AA46" s="1">
        <v>0</v>
      </c>
      <c r="AB46" s="1">
        <v>3047.1478500000007</v>
      </c>
      <c r="AC46" s="1">
        <v>1785554.3318249998</v>
      </c>
    </row>
    <row r="47" spans="1:31" x14ac:dyDescent="0.25">
      <c r="A47" s="13">
        <v>13</v>
      </c>
      <c r="B47" s="23" t="s">
        <v>289</v>
      </c>
      <c r="E47" s="1">
        <v>39289.594537647063</v>
      </c>
      <c r="F47" s="1">
        <v>40186.209707644135</v>
      </c>
      <c r="G47" s="1">
        <v>49985.71893797948</v>
      </c>
      <c r="H47" s="1">
        <v>43706.876976691885</v>
      </c>
      <c r="I47" s="1">
        <v>43412.528310250571</v>
      </c>
      <c r="J47" s="1">
        <v>49256.047477623142</v>
      </c>
      <c r="K47" s="1">
        <v>58997.113142655078</v>
      </c>
      <c r="L47" s="1">
        <v>64035.125125599487</v>
      </c>
      <c r="M47" s="1">
        <v>68097.596220547901</v>
      </c>
      <c r="N47" s="1">
        <v>74799.578040576729</v>
      </c>
      <c r="O47" s="1">
        <v>83982.761626200576</v>
      </c>
      <c r="P47" s="1">
        <v>89762.591929707691</v>
      </c>
      <c r="Q47" s="1">
        <f>ROUND(SUM(E47:P47),2)</f>
        <v>705511.74</v>
      </c>
    </row>
    <row r="48" spans="1:31" x14ac:dyDescent="0.25">
      <c r="A48" s="13">
        <v>14</v>
      </c>
      <c r="B48" s="23" t="s">
        <v>290</v>
      </c>
      <c r="E48" s="199">
        <f>E42*E45</f>
        <v>457885.94208518969</v>
      </c>
      <c r="F48" s="199">
        <f t="shared" ref="F48:P48" si="11">F42*F45</f>
        <v>468335.20954730606</v>
      </c>
      <c r="G48" s="199">
        <f t="shared" si="11"/>
        <v>582539.93903630949</v>
      </c>
      <c r="H48" s="199">
        <f t="shared" si="11"/>
        <v>509365.51459949365</v>
      </c>
      <c r="I48" s="199">
        <f t="shared" si="11"/>
        <v>505935.13772691344</v>
      </c>
      <c r="J48" s="199">
        <f t="shared" si="11"/>
        <v>574036.25484283187</v>
      </c>
      <c r="K48" s="199">
        <f t="shared" si="11"/>
        <v>687559.8755733287</v>
      </c>
      <c r="L48" s="199">
        <f t="shared" si="11"/>
        <v>746273.50930239598</v>
      </c>
      <c r="M48" s="199">
        <f t="shared" si="11"/>
        <v>793618.06519293657</v>
      </c>
      <c r="N48" s="199">
        <f t="shared" si="11"/>
        <v>871723.81547145522</v>
      </c>
      <c r="O48" s="199">
        <f t="shared" si="11"/>
        <v>978745.80734809744</v>
      </c>
      <c r="P48" s="199">
        <f t="shared" si="11"/>
        <v>1046104.6863275692</v>
      </c>
      <c r="Q48" s="199">
        <f>SUM(E48:P48)</f>
        <v>8222123.7570538279</v>
      </c>
    </row>
    <row r="49" spans="1:20" ht="13" thickBot="1" x14ac:dyDescent="0.3">
      <c r="A49" s="13">
        <v>15</v>
      </c>
      <c r="B49" s="23" t="s">
        <v>291</v>
      </c>
      <c r="E49" s="204">
        <f>SUM(E47:E48)</f>
        <v>497175.53662283672</v>
      </c>
      <c r="F49" s="204">
        <f t="shared" ref="F49:Q49" si="12">SUM(F47:F48)</f>
        <v>508521.41925495019</v>
      </c>
      <c r="G49" s="204">
        <f t="shared" si="12"/>
        <v>632525.65797428892</v>
      </c>
      <c r="H49" s="204">
        <f t="shared" si="12"/>
        <v>553072.39157618559</v>
      </c>
      <c r="I49" s="204">
        <f t="shared" si="12"/>
        <v>549347.66603716405</v>
      </c>
      <c r="J49" s="204">
        <f t="shared" si="12"/>
        <v>623292.30232045497</v>
      </c>
      <c r="K49" s="204">
        <f t="shared" si="12"/>
        <v>746556.98871598381</v>
      </c>
      <c r="L49" s="204">
        <f t="shared" si="12"/>
        <v>810308.63442799542</v>
      </c>
      <c r="M49" s="204">
        <f t="shared" si="12"/>
        <v>861715.66141348449</v>
      </c>
      <c r="N49" s="204">
        <f t="shared" si="12"/>
        <v>946523.39351203199</v>
      </c>
      <c r="O49" s="204">
        <f t="shared" si="12"/>
        <v>1062728.568974298</v>
      </c>
      <c r="P49" s="204">
        <f t="shared" si="12"/>
        <v>1135867.2782572769</v>
      </c>
      <c r="Q49" s="204">
        <f t="shared" si="12"/>
        <v>8927635.4970538281</v>
      </c>
    </row>
    <row r="50" spans="1:20" ht="13" thickTop="1" x14ac:dyDescent="0.25">
      <c r="A50" s="200"/>
      <c r="B50" s="200"/>
    </row>
    <row r="51" spans="1:20" ht="19.5" customHeight="1" x14ac:dyDescent="0.25">
      <c r="A51" s="210" t="s">
        <v>76</v>
      </c>
      <c r="B51" s="13"/>
    </row>
    <row r="52" spans="1:20" x14ac:dyDescent="0.25">
      <c r="A52" s="23" t="s">
        <v>168</v>
      </c>
      <c r="B52" s="23" t="s">
        <v>321</v>
      </c>
    </row>
    <row r="53" spans="1:20" x14ac:dyDescent="0.25">
      <c r="A53" s="23"/>
      <c r="B53" s="228" t="s">
        <v>333</v>
      </c>
    </row>
    <row r="54" spans="1:20" x14ac:dyDescent="0.25">
      <c r="A54" s="23" t="s">
        <v>170</v>
      </c>
      <c r="B54" s="23" t="s">
        <v>293</v>
      </c>
      <c r="S54" s="21"/>
    </row>
    <row r="55" spans="1:20" x14ac:dyDescent="0.25">
      <c r="A55" s="23" t="s">
        <v>255</v>
      </c>
      <c r="B55" s="23" t="s">
        <v>294</v>
      </c>
      <c r="S55" s="21"/>
      <c r="T55" s="239"/>
    </row>
    <row r="56" spans="1:20" x14ac:dyDescent="0.25">
      <c r="A56" s="23" t="s">
        <v>295</v>
      </c>
      <c r="B56" s="23" t="s">
        <v>296</v>
      </c>
      <c r="S56" s="21"/>
      <c r="T56" s="239"/>
    </row>
    <row r="57" spans="1:20" x14ac:dyDescent="0.25">
      <c r="A57" s="23" t="s">
        <v>297</v>
      </c>
      <c r="B57" s="11" t="s">
        <v>298</v>
      </c>
      <c r="S57" s="21"/>
      <c r="T57" s="239"/>
    </row>
    <row r="58" spans="1:20" x14ac:dyDescent="0.25">
      <c r="A58" s="23" t="s">
        <v>299</v>
      </c>
      <c r="B58" s="23" t="s">
        <v>300</v>
      </c>
      <c r="S58" s="21"/>
      <c r="T58" s="239"/>
    </row>
    <row r="59" spans="1:20" x14ac:dyDescent="0.25">
      <c r="A59" s="23" t="s">
        <v>301</v>
      </c>
      <c r="B59" s="23" t="s">
        <v>302</v>
      </c>
      <c r="S59" s="21"/>
      <c r="T59" s="239"/>
    </row>
    <row r="60" spans="1:20" x14ac:dyDescent="0.25">
      <c r="A60" s="23" t="s">
        <v>303</v>
      </c>
      <c r="B60" s="23" t="s">
        <v>304</v>
      </c>
    </row>
    <row r="61" spans="1:20" x14ac:dyDescent="0.25">
      <c r="A61" s="23" t="s">
        <v>305</v>
      </c>
      <c r="B61" s="23" t="s">
        <v>306</v>
      </c>
    </row>
    <row r="62" spans="1:20" x14ac:dyDescent="0.25">
      <c r="A62" s="11" t="s">
        <v>307</v>
      </c>
      <c r="B62" s="23" t="s">
        <v>308</v>
      </c>
      <c r="S62" s="21"/>
      <c r="T62" s="239"/>
    </row>
    <row r="63" spans="1:20" x14ac:dyDescent="0.25">
      <c r="A63" s="11" t="s">
        <v>309</v>
      </c>
      <c r="B63" s="23" t="s">
        <v>310</v>
      </c>
      <c r="S63" s="21"/>
      <c r="T63" s="239"/>
    </row>
    <row r="66" spans="1:39" x14ac:dyDescent="0.25">
      <c r="A66" s="248"/>
      <c r="B66" s="248"/>
      <c r="C66" s="248"/>
      <c r="D66" s="248"/>
      <c r="E66" s="2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</row>
    <row r="67" spans="1:39" x14ac:dyDescent="0.25">
      <c r="A67" s="248"/>
      <c r="B67" s="248"/>
      <c r="C67" s="248"/>
      <c r="D67" s="248"/>
      <c r="E67" s="2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</row>
    <row r="68" spans="1:39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</row>
    <row r="69" spans="1:39" ht="13" x14ac:dyDescent="0.3">
      <c r="A69" s="13"/>
      <c r="B69" s="13"/>
      <c r="C69" s="13"/>
      <c r="D69" s="13"/>
      <c r="E69" s="13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</row>
    <row r="70" spans="1:39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</row>
    <row r="71" spans="1:39" ht="13" x14ac:dyDescent="0.3">
      <c r="A71" s="215"/>
      <c r="B71" s="215"/>
      <c r="C71" s="215"/>
      <c r="D71" s="215"/>
      <c r="E71" s="215"/>
      <c r="H71" s="21"/>
    </row>
    <row r="72" spans="1:39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</row>
    <row r="74" spans="1:39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D76" s="13"/>
      <c r="E76" s="13"/>
    </row>
    <row r="77" spans="1:39" x14ac:dyDescent="0.25">
      <c r="C77" s="13"/>
      <c r="D77" s="13"/>
      <c r="E77" s="5"/>
    </row>
    <row r="89" spans="5:38" x14ac:dyDescent="0.25"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</row>
    <row r="91" spans="5:38" x14ac:dyDescent="0.25">
      <c r="E91" s="201"/>
    </row>
    <row r="92" spans="5:38" x14ac:dyDescent="0.25"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</row>
    <row r="98" spans="5:38" x14ac:dyDescent="0.25"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5:38" x14ac:dyDescent="0.25"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5:38" x14ac:dyDescent="0.25">
      <c r="E100" s="202"/>
    </row>
    <row r="101" spans="5:38" x14ac:dyDescent="0.25">
      <c r="E101" s="202"/>
    </row>
    <row r="104" spans="5:38" x14ac:dyDescent="0.25"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</row>
    <row r="105" spans="5:38" x14ac:dyDescent="0.25"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</row>
    <row r="106" spans="5:38" x14ac:dyDescent="0.25"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</row>
    <row r="107" spans="5:38" x14ac:dyDescent="0.25">
      <c r="E107" s="203"/>
    </row>
    <row r="108" spans="5:38" x14ac:dyDescent="0.25">
      <c r="E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</row>
    <row r="109" spans="5:38" x14ac:dyDescent="0.25"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</row>
    <row r="114" spans="1:17" ht="16.5" customHeight="1" x14ac:dyDescent="0.25"/>
    <row r="116" spans="1:17" x14ac:dyDescent="0.25"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x14ac:dyDescent="0.25"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3" x14ac:dyDescent="0.3">
      <c r="A119" s="13"/>
      <c r="B119" s="13"/>
      <c r="C119" s="13"/>
      <c r="D119" s="13"/>
      <c r="E119" s="13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</row>
    <row r="120" spans="1:1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3" x14ac:dyDescent="0.3">
      <c r="A121" s="215"/>
      <c r="B121" s="215"/>
      <c r="C121" s="215"/>
      <c r="D121" s="215"/>
      <c r="E121" s="215"/>
      <c r="H121" s="249"/>
    </row>
    <row r="122" spans="1:1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4" spans="1:1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5">
      <c r="D126" s="13"/>
      <c r="E126" s="13"/>
    </row>
    <row r="127" spans="1:17" x14ac:dyDescent="0.25">
      <c r="C127" s="13"/>
      <c r="D127" s="13"/>
      <c r="E127" s="5"/>
    </row>
    <row r="139" spans="5:16" x14ac:dyDescent="0.25"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</row>
    <row r="141" spans="5:16" x14ac:dyDescent="0.25">
      <c r="E141" s="201"/>
    </row>
    <row r="142" spans="5:16" x14ac:dyDescent="0.25"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</row>
    <row r="148" spans="5:16" x14ac:dyDescent="0.25"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5:16" x14ac:dyDescent="0.25"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5:16" x14ac:dyDescent="0.25">
      <c r="E150" s="202"/>
    </row>
    <row r="151" spans="5:16" x14ac:dyDescent="0.25">
      <c r="E151" s="202"/>
    </row>
    <row r="154" spans="5:16" x14ac:dyDescent="0.25"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5:16" x14ac:dyDescent="0.25"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56" spans="5:16" x14ac:dyDescent="0.25"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5:16" x14ac:dyDescent="0.25">
      <c r="E157" s="203"/>
    </row>
    <row r="158" spans="5:16" x14ac:dyDescent="0.25">
      <c r="E158" s="203"/>
    </row>
    <row r="162" spans="1:18" x14ac:dyDescent="0.25"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8" x14ac:dyDescent="0.25"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8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8" ht="13" x14ac:dyDescent="0.3">
      <c r="A165" s="13"/>
      <c r="B165" s="13"/>
      <c r="C165" s="13"/>
      <c r="D165" s="13"/>
      <c r="E165" s="13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</row>
    <row r="166" spans="1:18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8" ht="13" x14ac:dyDescent="0.3">
      <c r="A167" s="215"/>
      <c r="B167" s="215"/>
      <c r="C167" s="215"/>
      <c r="D167" s="215"/>
      <c r="E167" s="215"/>
      <c r="H167" s="21"/>
    </row>
    <row r="168" spans="1:18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70" spans="1:1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8" x14ac:dyDescent="0.2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3"/>
    </row>
    <row r="172" spans="1:18" x14ac:dyDescent="0.25">
      <c r="D172" s="13"/>
      <c r="E172" s="13"/>
    </row>
    <row r="173" spans="1:18" x14ac:dyDescent="0.25">
      <c r="C173" s="13"/>
      <c r="D173" s="13"/>
      <c r="E173" s="5"/>
    </row>
    <row r="185" spans="5:16" x14ac:dyDescent="0.25"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</row>
    <row r="187" spans="5:16" x14ac:dyDescent="0.25">
      <c r="E187" s="201"/>
    </row>
    <row r="188" spans="5:16" x14ac:dyDescent="0.25"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</row>
    <row r="194" spans="5:17" x14ac:dyDescent="0.25"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</row>
    <row r="195" spans="5:17" x14ac:dyDescent="0.25"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</row>
    <row r="196" spans="5:17" x14ac:dyDescent="0.25">
      <c r="E196" s="202"/>
    </row>
    <row r="197" spans="5:17" x14ac:dyDescent="0.25">
      <c r="E197" s="202"/>
    </row>
    <row r="200" spans="5:17" x14ac:dyDescent="0.25"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</row>
    <row r="201" spans="5:17" x14ac:dyDescent="0.25"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</row>
    <row r="202" spans="5:17" x14ac:dyDescent="0.25"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</row>
    <row r="203" spans="5:17" x14ac:dyDescent="0.25">
      <c r="E203" s="203"/>
    </row>
    <row r="204" spans="5:17" x14ac:dyDescent="0.25">
      <c r="E204" s="203"/>
    </row>
    <row r="207" spans="5:17" x14ac:dyDescent="0.25"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5:17" x14ac:dyDescent="0.25"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8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8" ht="13" x14ac:dyDescent="0.3">
      <c r="A210" s="13"/>
      <c r="B210" s="13"/>
      <c r="C210" s="13"/>
      <c r="D210" s="13"/>
      <c r="E210" s="13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</row>
    <row r="211" spans="1:18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8" ht="13" x14ac:dyDescent="0.3">
      <c r="A212" s="215"/>
      <c r="B212" s="215"/>
      <c r="C212" s="215"/>
      <c r="D212" s="215"/>
      <c r="E212" s="215"/>
      <c r="H212" s="21"/>
    </row>
    <row r="213" spans="1:18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5" spans="1:18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8" x14ac:dyDescent="0.2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3"/>
    </row>
    <row r="217" spans="1:18" x14ac:dyDescent="0.25">
      <c r="D217" s="13"/>
      <c r="E217" s="13"/>
    </row>
    <row r="218" spans="1:18" x14ac:dyDescent="0.25">
      <c r="C218" s="13"/>
      <c r="D218" s="13"/>
      <c r="E218" s="5"/>
    </row>
    <row r="230" spans="5:16" x14ac:dyDescent="0.25"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</row>
    <row r="232" spans="5:16" x14ac:dyDescent="0.25">
      <c r="E232" s="201"/>
    </row>
    <row r="233" spans="5:16" x14ac:dyDescent="0.25"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</row>
    <row r="239" spans="5:16" x14ac:dyDescent="0.25"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</row>
    <row r="240" spans="5:16" x14ac:dyDescent="0.25"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</row>
    <row r="241" spans="1:17" x14ac:dyDescent="0.25">
      <c r="E241" s="202"/>
    </row>
    <row r="242" spans="1:17" x14ac:dyDescent="0.25">
      <c r="E242" s="202"/>
    </row>
    <row r="245" spans="1:17" x14ac:dyDescent="0.25"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</row>
    <row r="246" spans="1:17" x14ac:dyDescent="0.25"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</row>
    <row r="247" spans="1:17" x14ac:dyDescent="0.25"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</row>
    <row r="248" spans="1:17" x14ac:dyDescent="0.25">
      <c r="E248" s="203"/>
    </row>
    <row r="249" spans="1:17" x14ac:dyDescent="0.25">
      <c r="E249" s="203"/>
    </row>
    <row r="253" spans="1:17" x14ac:dyDescent="0.25"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x14ac:dyDescent="0.25"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3" x14ac:dyDescent="0.3">
      <c r="A256" s="13"/>
      <c r="B256" s="13"/>
      <c r="C256" s="13"/>
      <c r="D256" s="13"/>
      <c r="E256" s="13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</row>
    <row r="257" spans="1:18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8" ht="13" x14ac:dyDescent="0.3">
      <c r="A258" s="215"/>
      <c r="B258" s="215"/>
      <c r="C258" s="215"/>
      <c r="D258" s="215"/>
      <c r="E258" s="215"/>
      <c r="H258" s="21"/>
    </row>
    <row r="259" spans="1:18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1" spans="1:18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8" x14ac:dyDescent="0.2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3"/>
    </row>
    <row r="263" spans="1:18" x14ac:dyDescent="0.25">
      <c r="D263" s="13"/>
      <c r="E263" s="13"/>
    </row>
    <row r="264" spans="1:18" x14ac:dyDescent="0.25">
      <c r="C264" s="13"/>
      <c r="D264" s="13"/>
      <c r="E264" s="5"/>
    </row>
    <row r="276" spans="5:16" x14ac:dyDescent="0.25"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</row>
    <row r="278" spans="5:16" x14ac:dyDescent="0.25">
      <c r="E278" s="201"/>
    </row>
    <row r="279" spans="5:16" x14ac:dyDescent="0.25"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</row>
    <row r="285" spans="5:16" x14ac:dyDescent="0.25"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</row>
    <row r="286" spans="5:16" x14ac:dyDescent="0.25"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</row>
    <row r="287" spans="5:16" x14ac:dyDescent="0.25">
      <c r="E287" s="202"/>
    </row>
    <row r="288" spans="5:16" x14ac:dyDescent="0.25">
      <c r="E288" s="202"/>
    </row>
    <row r="291" spans="5:16" x14ac:dyDescent="0.25"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</row>
    <row r="292" spans="5:16" x14ac:dyDescent="0.25"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</row>
    <row r="293" spans="5:16" x14ac:dyDescent="0.25"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</row>
    <row r="294" spans="5:16" x14ac:dyDescent="0.25">
      <c r="E294" s="203"/>
    </row>
    <row r="295" spans="5:16" x14ac:dyDescent="0.25">
      <c r="E295" s="203"/>
    </row>
    <row r="306" spans="1:18" x14ac:dyDescent="0.25"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8" x14ac:dyDescent="0.25"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8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8" ht="13" x14ac:dyDescent="0.3">
      <c r="A309" s="13"/>
      <c r="B309" s="13"/>
      <c r="C309" s="13"/>
      <c r="D309" s="13"/>
      <c r="E309" s="13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</row>
    <row r="310" spans="1:18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8" ht="13" x14ac:dyDescent="0.3">
      <c r="A311" s="215"/>
      <c r="B311" s="215"/>
      <c r="C311" s="215"/>
      <c r="D311" s="215"/>
      <c r="E311" s="215"/>
      <c r="H311" s="21"/>
    </row>
    <row r="312" spans="1:18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4" spans="1:18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8" x14ac:dyDescent="0.2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3"/>
    </row>
    <row r="316" spans="1:18" x14ac:dyDescent="0.25">
      <c r="D316" s="13"/>
      <c r="E316" s="13"/>
    </row>
    <row r="317" spans="1:18" x14ac:dyDescent="0.25">
      <c r="C317" s="13"/>
      <c r="D317" s="13"/>
      <c r="E317" s="5"/>
    </row>
    <row r="329" spans="5:16" x14ac:dyDescent="0.25"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</row>
    <row r="331" spans="5:16" x14ac:dyDescent="0.25">
      <c r="E331" s="201"/>
    </row>
    <row r="332" spans="5:16" x14ac:dyDescent="0.25"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</row>
    <row r="338" spans="5:16" x14ac:dyDescent="0.25"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</row>
    <row r="339" spans="5:16" x14ac:dyDescent="0.25"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</row>
    <row r="340" spans="5:16" x14ac:dyDescent="0.25">
      <c r="E340" s="202"/>
    </row>
    <row r="341" spans="5:16" x14ac:dyDescent="0.25">
      <c r="E341" s="202"/>
    </row>
    <row r="344" spans="5:16" x14ac:dyDescent="0.25"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</row>
    <row r="345" spans="5:16" x14ac:dyDescent="0.25"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</row>
    <row r="346" spans="5:16" x14ac:dyDescent="0.25"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</row>
    <row r="347" spans="5:16" x14ac:dyDescent="0.25">
      <c r="E347" s="203"/>
    </row>
    <row r="348" spans="5:16" x14ac:dyDescent="0.25">
      <c r="E348" s="203"/>
    </row>
    <row r="354" spans="1:17" x14ac:dyDescent="0.25"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 x14ac:dyDescent="0.25"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ht="13" x14ac:dyDescent="0.3">
      <c r="A357" s="13"/>
      <c r="B357" s="13"/>
      <c r="C357" s="13"/>
      <c r="D357" s="13"/>
      <c r="E357" s="13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</row>
    <row r="358" spans="1:1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 ht="13" x14ac:dyDescent="0.3">
      <c r="A359" s="215"/>
      <c r="B359" s="215"/>
      <c r="C359" s="215"/>
      <c r="D359" s="215"/>
      <c r="E359" s="215"/>
    </row>
    <row r="360" spans="1:1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2" spans="1:1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 x14ac:dyDescent="0.2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D364" s="13"/>
      <c r="E364" s="13"/>
    </row>
    <row r="365" spans="1:17" x14ac:dyDescent="0.25">
      <c r="C365" s="13"/>
      <c r="D365" s="13"/>
      <c r="E365" s="5"/>
    </row>
    <row r="377" spans="5:16" x14ac:dyDescent="0.25"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</row>
    <row r="379" spans="5:16" x14ac:dyDescent="0.25">
      <c r="E379" s="201"/>
    </row>
    <row r="380" spans="5:16" x14ac:dyDescent="0.25"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</row>
    <row r="386" spans="5:16" x14ac:dyDescent="0.25"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</row>
    <row r="387" spans="5:16" x14ac:dyDescent="0.25"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</row>
    <row r="388" spans="5:16" x14ac:dyDescent="0.25">
      <c r="E388" s="202"/>
    </row>
    <row r="389" spans="5:16" x14ac:dyDescent="0.25">
      <c r="E389" s="202"/>
    </row>
    <row r="392" spans="5:16" x14ac:dyDescent="0.25"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</row>
    <row r="393" spans="5:16" x14ac:dyDescent="0.25"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</row>
    <row r="394" spans="5:16" x14ac:dyDescent="0.25"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</row>
    <row r="395" spans="5:16" x14ac:dyDescent="0.25">
      <c r="E395" s="203"/>
    </row>
    <row r="396" spans="5:16" x14ac:dyDescent="0.25">
      <c r="E396" s="203"/>
    </row>
    <row r="402" spans="1:17" x14ac:dyDescent="0.25"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 x14ac:dyDescent="0.25"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3" x14ac:dyDescent="0.3">
      <c r="A405" s="13"/>
      <c r="B405" s="13"/>
      <c r="C405" s="13"/>
      <c r="D405" s="13"/>
      <c r="E405" s="13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</row>
    <row r="406" spans="1:1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 ht="13" x14ac:dyDescent="0.3">
      <c r="A407" s="215"/>
      <c r="B407" s="215"/>
      <c r="C407" s="215"/>
      <c r="D407" s="215"/>
      <c r="E407" s="215"/>
      <c r="H407" s="21"/>
    </row>
    <row r="408" spans="1:1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10" spans="1:1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x14ac:dyDescent="0.2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x14ac:dyDescent="0.25">
      <c r="D412" s="13"/>
      <c r="E412" s="13"/>
    </row>
    <row r="413" spans="1:17" x14ac:dyDescent="0.25">
      <c r="C413" s="13"/>
      <c r="D413" s="13"/>
      <c r="E413" s="5"/>
    </row>
    <row r="425" spans="5:16" x14ac:dyDescent="0.25"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</row>
    <row r="427" spans="5:16" x14ac:dyDescent="0.25">
      <c r="E427" s="201"/>
    </row>
    <row r="428" spans="5:16" x14ac:dyDescent="0.25"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</row>
    <row r="434" spans="5:16" x14ac:dyDescent="0.25"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</row>
    <row r="435" spans="5:16" x14ac:dyDescent="0.25"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</row>
    <row r="436" spans="5:16" x14ac:dyDescent="0.25">
      <c r="E436" s="202"/>
    </row>
    <row r="437" spans="5:16" x14ac:dyDescent="0.25">
      <c r="E437" s="202"/>
    </row>
    <row r="440" spans="5:16" x14ac:dyDescent="0.25"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</row>
    <row r="441" spans="5:16" x14ac:dyDescent="0.25"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</row>
    <row r="442" spans="5:16" x14ac:dyDescent="0.25"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</row>
    <row r="443" spans="5:16" x14ac:dyDescent="0.25">
      <c r="E443" s="203"/>
    </row>
    <row r="444" spans="5:16" x14ac:dyDescent="0.25">
      <c r="E444" s="203"/>
    </row>
    <row r="451" spans="1:17" x14ac:dyDescent="0.25"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 x14ac:dyDescent="0.25"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 ht="13" x14ac:dyDescent="0.3">
      <c r="A454" s="13"/>
      <c r="B454" s="13"/>
      <c r="C454" s="13"/>
      <c r="D454" s="13"/>
      <c r="E454" s="13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</row>
    <row r="455" spans="1:1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 ht="13" x14ac:dyDescent="0.3">
      <c r="A456" s="215"/>
      <c r="B456" s="215"/>
      <c r="C456" s="215"/>
      <c r="D456" s="215"/>
      <c r="E456" s="215"/>
    </row>
    <row r="457" spans="1:1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9" spans="1:1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 x14ac:dyDescent="0.2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13"/>
    </row>
    <row r="461" spans="1:17" x14ac:dyDescent="0.25">
      <c r="D461" s="13"/>
      <c r="E461" s="13"/>
    </row>
    <row r="462" spans="1:17" x14ac:dyDescent="0.25">
      <c r="D462" s="13"/>
      <c r="E462" s="5"/>
    </row>
    <row r="474" spans="5:16" x14ac:dyDescent="0.25"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</row>
    <row r="476" spans="5:16" x14ac:dyDescent="0.25">
      <c r="E476" s="201"/>
    </row>
    <row r="477" spans="5:16" x14ac:dyDescent="0.25"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</row>
    <row r="483" spans="5:16" x14ac:dyDescent="0.25"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</row>
    <row r="484" spans="5:16" x14ac:dyDescent="0.25"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</row>
    <row r="485" spans="5:16" x14ac:dyDescent="0.25">
      <c r="E485" s="202"/>
    </row>
    <row r="486" spans="5:16" x14ac:dyDescent="0.25">
      <c r="E486" s="202"/>
    </row>
    <row r="489" spans="5:16" x14ac:dyDescent="0.25"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</row>
    <row r="490" spans="5:16" x14ac:dyDescent="0.25"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</row>
    <row r="491" spans="5:16" x14ac:dyDescent="0.25"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</row>
    <row r="492" spans="5:16" x14ac:dyDescent="0.25">
      <c r="E492" s="203"/>
    </row>
    <row r="493" spans="5:16" x14ac:dyDescent="0.25">
      <c r="E493" s="203"/>
    </row>
    <row r="502" spans="1:17" x14ac:dyDescent="0.25"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 x14ac:dyDescent="0.25"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 ht="13" x14ac:dyDescent="0.3">
      <c r="A505" s="13"/>
      <c r="B505" s="13"/>
      <c r="C505" s="13"/>
      <c r="D505" s="13"/>
      <c r="E505" s="13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</row>
    <row r="506" spans="1:1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 ht="13" x14ac:dyDescent="0.3">
      <c r="A507" s="215"/>
      <c r="B507" s="215"/>
      <c r="C507" s="215"/>
      <c r="D507" s="215"/>
      <c r="E507" s="215"/>
      <c r="H507" s="249"/>
    </row>
    <row r="508" spans="1:1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10" spans="1:1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 x14ac:dyDescent="0.2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x14ac:dyDescent="0.25">
      <c r="D512" s="13"/>
      <c r="E512" s="13"/>
    </row>
    <row r="513" spans="3:16" x14ac:dyDescent="0.25">
      <c r="C513" s="13"/>
      <c r="D513" s="13"/>
      <c r="E513" s="5"/>
    </row>
    <row r="525" spans="3:16" x14ac:dyDescent="0.25"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</row>
    <row r="527" spans="3:16" x14ac:dyDescent="0.25">
      <c r="E527" s="201"/>
    </row>
    <row r="528" spans="3:16" x14ac:dyDescent="0.25"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</row>
    <row r="534" spans="5:16" x14ac:dyDescent="0.25"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</row>
    <row r="535" spans="5:16" x14ac:dyDescent="0.25"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</row>
    <row r="536" spans="5:16" x14ac:dyDescent="0.25">
      <c r="E536" s="202"/>
    </row>
    <row r="537" spans="5:16" x14ac:dyDescent="0.25">
      <c r="E537" s="202"/>
    </row>
    <row r="540" spans="5:16" x14ac:dyDescent="0.25"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</row>
    <row r="541" spans="5:16" x14ac:dyDescent="0.25"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</row>
    <row r="542" spans="5:16" x14ac:dyDescent="0.25"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</row>
    <row r="543" spans="5:16" x14ac:dyDescent="0.25">
      <c r="E543" s="203"/>
    </row>
    <row r="544" spans="5:16" x14ac:dyDescent="0.25">
      <c r="E544" s="203"/>
    </row>
    <row r="549" spans="1:17" x14ac:dyDescent="0.25"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 x14ac:dyDescent="0.25"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 ht="13" x14ac:dyDescent="0.3">
      <c r="A552" s="13"/>
      <c r="B552" s="13"/>
      <c r="C552" s="13"/>
      <c r="D552" s="13"/>
      <c r="E552" s="13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</row>
    <row r="553" spans="1:1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 ht="13" x14ac:dyDescent="0.3">
      <c r="A554" s="215"/>
      <c r="B554" s="215"/>
      <c r="C554" s="215"/>
      <c r="D554" s="215"/>
      <c r="E554" s="215"/>
    </row>
    <row r="555" spans="1:1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7" spans="1:1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 x14ac:dyDescent="0.2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13"/>
    </row>
    <row r="559" spans="1:17" x14ac:dyDescent="0.25">
      <c r="D559" s="13"/>
      <c r="E559" s="13"/>
    </row>
    <row r="560" spans="1:17" x14ac:dyDescent="0.25">
      <c r="D560" s="13"/>
      <c r="E560" s="5"/>
    </row>
    <row r="572" spans="5:16" x14ac:dyDescent="0.25"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</row>
    <row r="574" spans="5:16" x14ac:dyDescent="0.25">
      <c r="E574" s="201"/>
    </row>
    <row r="575" spans="5:16" x14ac:dyDescent="0.25">
      <c r="F575" s="201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</row>
    <row r="581" spans="5:16" x14ac:dyDescent="0.25"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</row>
    <row r="582" spans="5:16" x14ac:dyDescent="0.25"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</row>
    <row r="583" spans="5:16" x14ac:dyDescent="0.25">
      <c r="E583" s="202"/>
    </row>
    <row r="584" spans="5:16" x14ac:dyDescent="0.25">
      <c r="E584" s="202"/>
    </row>
    <row r="587" spans="5:16" x14ac:dyDescent="0.25"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</row>
    <row r="588" spans="5:16" x14ac:dyDescent="0.25"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</row>
    <row r="589" spans="5:16" x14ac:dyDescent="0.25"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</row>
    <row r="590" spans="5:16" x14ac:dyDescent="0.25">
      <c r="E590" s="203"/>
    </row>
    <row r="591" spans="5:16" x14ac:dyDescent="0.25">
      <c r="E591" s="203"/>
    </row>
    <row r="596" spans="1:17" x14ac:dyDescent="0.25"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 x14ac:dyDescent="0.25"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 ht="13" x14ac:dyDescent="0.3">
      <c r="A599" s="13"/>
      <c r="B599" s="13"/>
      <c r="C599" s="13"/>
      <c r="D599" s="13"/>
      <c r="E599" s="13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</row>
    <row r="600" spans="1:1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 ht="13" x14ac:dyDescent="0.3">
      <c r="A601" s="215"/>
      <c r="B601" s="215"/>
      <c r="C601" s="215"/>
      <c r="D601" s="215"/>
      <c r="E601" s="215"/>
    </row>
    <row r="602" spans="1:1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4" spans="1:1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 x14ac:dyDescent="0.2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13"/>
    </row>
    <row r="606" spans="1:17" x14ac:dyDescent="0.25">
      <c r="D606" s="13"/>
      <c r="E606" s="13"/>
    </row>
    <row r="607" spans="1:17" x14ac:dyDescent="0.25">
      <c r="D607" s="13"/>
      <c r="E607" s="5"/>
    </row>
    <row r="619" spans="5:16" x14ac:dyDescent="0.25">
      <c r="F619" s="201"/>
      <c r="G619" s="201"/>
      <c r="H619" s="201"/>
      <c r="I619" s="201"/>
      <c r="J619" s="201"/>
      <c r="K619" s="201"/>
      <c r="L619" s="201"/>
      <c r="M619" s="201"/>
      <c r="N619" s="201"/>
      <c r="O619" s="201"/>
      <c r="P619" s="201"/>
    </row>
    <row r="621" spans="5:16" x14ac:dyDescent="0.25">
      <c r="E621" s="201"/>
    </row>
    <row r="622" spans="5:16" x14ac:dyDescent="0.25">
      <c r="F622" s="201"/>
      <c r="G622" s="201"/>
      <c r="H622" s="201"/>
      <c r="I622" s="201"/>
      <c r="J622" s="201"/>
      <c r="K622" s="201"/>
      <c r="L622" s="201"/>
      <c r="M622" s="201"/>
      <c r="N622" s="201"/>
      <c r="O622" s="201"/>
      <c r="P622" s="201"/>
    </row>
    <row r="628" spans="5:16" x14ac:dyDescent="0.25"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</row>
    <row r="629" spans="5:16" x14ac:dyDescent="0.25"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</row>
    <row r="630" spans="5:16" x14ac:dyDescent="0.25">
      <c r="E630" s="202"/>
    </row>
    <row r="631" spans="5:16" x14ac:dyDescent="0.25">
      <c r="E631" s="202"/>
    </row>
    <row r="634" spans="5:16" x14ac:dyDescent="0.25"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</row>
    <row r="635" spans="5:16" x14ac:dyDescent="0.25"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</row>
    <row r="636" spans="5:16" x14ac:dyDescent="0.25"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</row>
    <row r="637" spans="5:16" x14ac:dyDescent="0.25">
      <c r="E637" s="203"/>
    </row>
    <row r="638" spans="5:16" x14ac:dyDescent="0.25">
      <c r="E638" s="203"/>
    </row>
    <row r="642" spans="1:17" x14ac:dyDescent="0.25"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 x14ac:dyDescent="0.25"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 ht="13" x14ac:dyDescent="0.3">
      <c r="A645" s="13"/>
      <c r="B645" s="13"/>
      <c r="C645" s="13"/>
      <c r="D645" s="13"/>
      <c r="E645" s="13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</row>
    <row r="646" spans="1:1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 ht="13" x14ac:dyDescent="0.3">
      <c r="A647" s="215"/>
      <c r="B647" s="215"/>
      <c r="C647" s="215"/>
      <c r="D647" s="215"/>
      <c r="E647" s="215"/>
      <c r="H647" s="21"/>
    </row>
    <row r="648" spans="1:1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50" spans="1:1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 x14ac:dyDescent="0.2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x14ac:dyDescent="0.25">
      <c r="D652" s="13"/>
      <c r="E652" s="13"/>
    </row>
    <row r="653" spans="1:17" x14ac:dyDescent="0.25">
      <c r="C653" s="13"/>
      <c r="D653" s="13"/>
      <c r="E653" s="5"/>
    </row>
    <row r="665" spans="5:16" x14ac:dyDescent="0.25">
      <c r="F665" s="201"/>
      <c r="G665" s="201"/>
      <c r="H665" s="201"/>
      <c r="I665" s="201"/>
      <c r="J665" s="201"/>
      <c r="K665" s="201"/>
      <c r="L665" s="201"/>
      <c r="M665" s="201"/>
      <c r="N665" s="201"/>
      <c r="O665" s="201"/>
      <c r="P665" s="201"/>
    </row>
    <row r="667" spans="5:16" x14ac:dyDescent="0.25">
      <c r="E667" s="201"/>
    </row>
    <row r="668" spans="5:16" x14ac:dyDescent="0.25"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</row>
    <row r="674" spans="5:17" x14ac:dyDescent="0.25"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</row>
    <row r="675" spans="5:17" x14ac:dyDescent="0.25"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</row>
    <row r="676" spans="5:17" x14ac:dyDescent="0.25">
      <c r="E676" s="202"/>
    </row>
    <row r="677" spans="5:17" x14ac:dyDescent="0.25">
      <c r="E677" s="202"/>
    </row>
    <row r="680" spans="5:17" x14ac:dyDescent="0.25"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</row>
    <row r="681" spans="5:17" x14ac:dyDescent="0.25"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</row>
    <row r="682" spans="5:17" x14ac:dyDescent="0.25"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</row>
    <row r="683" spans="5:17" x14ac:dyDescent="0.25">
      <c r="E683" s="203"/>
    </row>
    <row r="684" spans="5:17" x14ac:dyDescent="0.25">
      <c r="E684" s="203"/>
    </row>
    <row r="687" spans="5:17" x14ac:dyDescent="0.25"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</row>
    <row r="688" spans="5:17" x14ac:dyDescent="0.25"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 x14ac:dyDescent="0.25">
      <c r="E689" s="20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 ht="13" x14ac:dyDescent="0.3">
      <c r="A691" s="13"/>
      <c r="B691" s="13"/>
      <c r="C691" s="13"/>
      <c r="D691" s="13"/>
      <c r="E691" s="13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</row>
    <row r="692" spans="1:1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 ht="13" x14ac:dyDescent="0.3">
      <c r="A693" s="215"/>
      <c r="B693" s="215"/>
      <c r="C693" s="215"/>
      <c r="D693" s="215"/>
      <c r="E693" s="215"/>
      <c r="H693" s="21"/>
    </row>
    <row r="694" spans="1:1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6" spans="1:1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 x14ac:dyDescent="0.2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x14ac:dyDescent="0.25">
      <c r="D698" s="13"/>
      <c r="E698" s="13"/>
    </row>
    <row r="699" spans="1:17" x14ac:dyDescent="0.25">
      <c r="C699" s="13"/>
      <c r="D699" s="13"/>
      <c r="E699" s="5"/>
    </row>
    <row r="711" spans="5:16" x14ac:dyDescent="0.25">
      <c r="F711" s="201"/>
      <c r="G711" s="201"/>
      <c r="H711" s="201"/>
      <c r="I711" s="201"/>
      <c r="J711" s="201"/>
      <c r="K711" s="201"/>
      <c r="L711" s="201"/>
      <c r="M711" s="201"/>
      <c r="N711" s="201"/>
      <c r="O711" s="201"/>
      <c r="P711" s="201"/>
    </row>
    <row r="713" spans="5:16" x14ac:dyDescent="0.25">
      <c r="E713" s="201"/>
    </row>
    <row r="714" spans="5:16" x14ac:dyDescent="0.25">
      <c r="F714" s="201"/>
      <c r="G714" s="201"/>
      <c r="H714" s="201"/>
      <c r="I714" s="201"/>
      <c r="J714" s="201"/>
      <c r="K714" s="201"/>
      <c r="L714" s="201"/>
      <c r="M714" s="201"/>
      <c r="N714" s="201"/>
      <c r="O714" s="201"/>
      <c r="P714" s="201"/>
    </row>
    <row r="720" spans="5:16" x14ac:dyDescent="0.25"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</row>
    <row r="721" spans="1:17" x14ac:dyDescent="0.25"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</row>
    <row r="722" spans="1:17" x14ac:dyDescent="0.25">
      <c r="E722" s="202"/>
    </row>
    <row r="723" spans="1:17" x14ac:dyDescent="0.25">
      <c r="E723" s="202"/>
    </row>
    <row r="726" spans="1:17" x14ac:dyDescent="0.25"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</row>
    <row r="727" spans="1:17" x14ac:dyDescent="0.25"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</row>
    <row r="728" spans="1:17" x14ac:dyDescent="0.25"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</row>
    <row r="729" spans="1:17" x14ac:dyDescent="0.25">
      <c r="E729" s="203"/>
    </row>
    <row r="730" spans="1:17" x14ac:dyDescent="0.25">
      <c r="E730" s="203"/>
    </row>
    <row r="733" spans="1:17" x14ac:dyDescent="0.25"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x14ac:dyDescent="0.25"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ht="13" x14ac:dyDescent="0.3">
      <c r="A736" s="13"/>
      <c r="B736" s="13"/>
      <c r="C736" s="13"/>
      <c r="D736" s="13"/>
      <c r="E736" s="13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</row>
    <row r="737" spans="1:1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ht="13" x14ac:dyDescent="0.3">
      <c r="A738" s="215"/>
      <c r="B738" s="215"/>
      <c r="C738" s="215"/>
      <c r="D738" s="215"/>
      <c r="E738" s="215"/>
      <c r="H738" s="21"/>
    </row>
    <row r="739" spans="1:1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1" spans="1:1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 x14ac:dyDescent="0.2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x14ac:dyDescent="0.25">
      <c r="D743" s="13"/>
      <c r="E743" s="13"/>
    </row>
    <row r="744" spans="1:17" x14ac:dyDescent="0.25">
      <c r="C744" s="13"/>
      <c r="D744" s="13"/>
      <c r="E744" s="5"/>
    </row>
    <row r="756" spans="5:16" x14ac:dyDescent="0.25">
      <c r="F756" s="201"/>
      <c r="G756" s="201"/>
      <c r="H756" s="201"/>
      <c r="I756" s="201"/>
      <c r="J756" s="201"/>
      <c r="K756" s="201"/>
      <c r="L756" s="201"/>
      <c r="M756" s="201"/>
      <c r="N756" s="201"/>
      <c r="O756" s="201"/>
      <c r="P756" s="201"/>
    </row>
    <row r="758" spans="5:16" x14ac:dyDescent="0.25">
      <c r="E758" s="201"/>
    </row>
    <row r="759" spans="5:16" x14ac:dyDescent="0.25">
      <c r="F759" s="201"/>
      <c r="G759" s="201"/>
      <c r="H759" s="201"/>
      <c r="I759" s="201"/>
      <c r="J759" s="201"/>
      <c r="K759" s="201"/>
      <c r="L759" s="201"/>
      <c r="M759" s="201"/>
      <c r="N759" s="201"/>
      <c r="O759" s="201"/>
      <c r="P759" s="201"/>
    </row>
    <row r="765" spans="5:16" x14ac:dyDescent="0.25"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</row>
    <row r="766" spans="5:16" x14ac:dyDescent="0.25"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</row>
    <row r="767" spans="5:16" x14ac:dyDescent="0.25">
      <c r="E767" s="202"/>
    </row>
    <row r="768" spans="5:16" x14ac:dyDescent="0.25">
      <c r="E768" s="202"/>
    </row>
    <row r="771" spans="1:17" x14ac:dyDescent="0.25"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</row>
    <row r="772" spans="1:17" x14ac:dyDescent="0.25"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</row>
    <row r="773" spans="1:17" x14ac:dyDescent="0.25"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</row>
    <row r="774" spans="1:17" x14ac:dyDescent="0.25">
      <c r="E774" s="203"/>
    </row>
    <row r="775" spans="1:17" x14ac:dyDescent="0.25">
      <c r="E775" s="203"/>
    </row>
    <row r="777" spans="1:17" x14ac:dyDescent="0.25"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</row>
    <row r="778" spans="1:17" x14ac:dyDescent="0.25"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</row>
    <row r="779" spans="1:17" x14ac:dyDescent="0.25">
      <c r="E779" s="20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 x14ac:dyDescent="0.25">
      <c r="E780" s="20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 ht="13" x14ac:dyDescent="0.3">
      <c r="A782" s="13"/>
      <c r="B782" s="13"/>
      <c r="C782" s="13"/>
      <c r="D782" s="13"/>
      <c r="E782" s="13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</row>
    <row r="783" spans="1:1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 ht="13" x14ac:dyDescent="0.3">
      <c r="A784" s="215"/>
      <c r="B784" s="215"/>
      <c r="C784" s="215"/>
      <c r="D784" s="215"/>
      <c r="E784" s="215"/>
      <c r="H784" s="21"/>
    </row>
    <row r="785" spans="1:1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7" spans="1:1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 x14ac:dyDescent="0.2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x14ac:dyDescent="0.25">
      <c r="D789" s="13"/>
      <c r="E789" s="13"/>
    </row>
    <row r="790" spans="1:17" x14ac:dyDescent="0.25">
      <c r="C790" s="13"/>
      <c r="D790" s="13"/>
      <c r="E790" s="5"/>
    </row>
    <row r="802" spans="5:16" x14ac:dyDescent="0.25"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</row>
    <row r="804" spans="5:16" x14ac:dyDescent="0.25">
      <c r="E804" s="201"/>
    </row>
    <row r="805" spans="5:16" x14ac:dyDescent="0.25"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</row>
    <row r="811" spans="5:16" x14ac:dyDescent="0.25"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</row>
    <row r="812" spans="5:16" x14ac:dyDescent="0.25"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</row>
    <row r="813" spans="5:16" x14ac:dyDescent="0.25">
      <c r="E813" s="202"/>
    </row>
    <row r="814" spans="5:16" x14ac:dyDescent="0.25">
      <c r="E814" s="202"/>
    </row>
    <row r="817" spans="1:17" x14ac:dyDescent="0.25"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</row>
    <row r="818" spans="1:17" x14ac:dyDescent="0.25"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</row>
    <row r="819" spans="1:17" x14ac:dyDescent="0.25"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</row>
    <row r="820" spans="1:17" x14ac:dyDescent="0.25">
      <c r="E820" s="203"/>
    </row>
    <row r="821" spans="1:17" x14ac:dyDescent="0.25">
      <c r="E821" s="203"/>
    </row>
    <row r="823" spans="1:17" x14ac:dyDescent="0.25"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</row>
    <row r="824" spans="1:17" x14ac:dyDescent="0.25"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 x14ac:dyDescent="0.25">
      <c r="E825" s="20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 ht="13" x14ac:dyDescent="0.3">
      <c r="A827" s="13"/>
      <c r="B827" s="13"/>
      <c r="C827" s="13"/>
      <c r="D827" s="13"/>
      <c r="E827" s="13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</row>
    <row r="828" spans="1:1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 ht="13" x14ac:dyDescent="0.3">
      <c r="A829" s="215"/>
      <c r="B829" s="215"/>
      <c r="C829" s="215"/>
      <c r="D829" s="215"/>
      <c r="E829" s="215"/>
      <c r="H829" s="21"/>
    </row>
    <row r="830" spans="1:1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2" spans="1:1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3:17" x14ac:dyDescent="0.2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3:17" x14ac:dyDescent="0.25">
      <c r="D834" s="13"/>
      <c r="E834" s="13"/>
    </row>
    <row r="835" spans="3:17" x14ac:dyDescent="0.25">
      <c r="C835" s="13"/>
      <c r="D835" s="13"/>
      <c r="E835" s="5"/>
    </row>
    <row r="847" spans="3:17" x14ac:dyDescent="0.25"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</row>
    <row r="849" spans="5:16" x14ac:dyDescent="0.25">
      <c r="E849" s="201"/>
    </row>
    <row r="850" spans="5:16" x14ac:dyDescent="0.25"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</row>
    <row r="856" spans="5:16" x14ac:dyDescent="0.25"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</row>
    <row r="857" spans="5:16" x14ac:dyDescent="0.25"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</row>
    <row r="858" spans="5:16" x14ac:dyDescent="0.25">
      <c r="E858" s="202"/>
    </row>
    <row r="859" spans="5:16" x14ac:dyDescent="0.25">
      <c r="E859" s="202"/>
    </row>
    <row r="862" spans="5:16" x14ac:dyDescent="0.25"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</row>
    <row r="863" spans="5:16" x14ac:dyDescent="0.25"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</row>
    <row r="864" spans="5:16" x14ac:dyDescent="0.25"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</row>
    <row r="865" spans="1:17" x14ac:dyDescent="0.25">
      <c r="E865" s="203"/>
    </row>
    <row r="866" spans="1:17" x14ac:dyDescent="0.25">
      <c r="E866" s="203"/>
    </row>
    <row r="868" spans="1:17" x14ac:dyDescent="0.25"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</row>
    <row r="869" spans="1:17" x14ac:dyDescent="0.25"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1:17" x14ac:dyDescent="0.25">
      <c r="E870" s="20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1:1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1:17" ht="13" x14ac:dyDescent="0.3">
      <c r="A872" s="13"/>
      <c r="B872" s="13"/>
      <c r="C872" s="13"/>
      <c r="D872" s="13"/>
      <c r="E872" s="13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</row>
    <row r="873" spans="1:1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1:17" ht="13" x14ac:dyDescent="0.3">
      <c r="A874" s="215"/>
      <c r="B874" s="215"/>
      <c r="C874" s="215"/>
      <c r="D874" s="215"/>
      <c r="E874" s="215"/>
      <c r="H874" s="21"/>
    </row>
    <row r="875" spans="1:1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7" spans="1:1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1:17" x14ac:dyDescent="0.2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x14ac:dyDescent="0.25">
      <c r="D879" s="13"/>
      <c r="E879" s="13"/>
    </row>
    <row r="880" spans="1:17" x14ac:dyDescent="0.25">
      <c r="C880" s="13"/>
      <c r="D880" s="13"/>
      <c r="E880" s="5"/>
    </row>
    <row r="892" spans="5:16" x14ac:dyDescent="0.25"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</row>
    <row r="894" spans="5:16" x14ac:dyDescent="0.25">
      <c r="E894" s="201"/>
    </row>
    <row r="895" spans="5:16" x14ac:dyDescent="0.25"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</row>
    <row r="901" spans="5:16" x14ac:dyDescent="0.25"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</row>
    <row r="902" spans="5:16" x14ac:dyDescent="0.25"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</row>
    <row r="903" spans="5:16" x14ac:dyDescent="0.25">
      <c r="E903" s="202"/>
    </row>
    <row r="904" spans="5:16" x14ac:dyDescent="0.25">
      <c r="E904" s="202"/>
    </row>
    <row r="907" spans="5:16" x14ac:dyDescent="0.25"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</row>
    <row r="908" spans="5:16" x14ac:dyDescent="0.25"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</row>
    <row r="909" spans="5:16" x14ac:dyDescent="0.25"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</row>
    <row r="910" spans="5:16" x14ac:dyDescent="0.25">
      <c r="E910" s="203"/>
    </row>
    <row r="911" spans="5:16" x14ac:dyDescent="0.25">
      <c r="E911" s="203"/>
    </row>
    <row r="915" spans="1:17" x14ac:dyDescent="0.25"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1:17" x14ac:dyDescent="0.25"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1:1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1:17" ht="13" x14ac:dyDescent="0.3">
      <c r="A918" s="13"/>
      <c r="B918" s="13"/>
      <c r="C918" s="13"/>
      <c r="D918" s="13"/>
      <c r="E918" s="13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</row>
    <row r="919" spans="1:1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1:17" ht="13" x14ac:dyDescent="0.3">
      <c r="A920" s="215"/>
      <c r="B920" s="215"/>
      <c r="C920" s="215"/>
      <c r="D920" s="215"/>
      <c r="E920" s="215"/>
      <c r="H920" s="21"/>
    </row>
    <row r="921" spans="1:1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3" spans="1:1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1:17" x14ac:dyDescent="0.2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x14ac:dyDescent="0.25">
      <c r="D925" s="13"/>
      <c r="E925" s="13"/>
    </row>
    <row r="926" spans="1:17" x14ac:dyDescent="0.25">
      <c r="C926" s="13"/>
      <c r="D926" s="13"/>
      <c r="E926" s="5"/>
    </row>
    <row r="938" spans="5:16" x14ac:dyDescent="0.25">
      <c r="F938" s="201"/>
      <c r="G938" s="201"/>
      <c r="H938" s="201"/>
      <c r="I938" s="201"/>
      <c r="J938" s="201"/>
      <c r="K938" s="201"/>
      <c r="L938" s="201"/>
      <c r="M938" s="201"/>
      <c r="N938" s="201"/>
      <c r="O938" s="201"/>
      <c r="P938" s="201"/>
    </row>
    <row r="940" spans="5:16" x14ac:dyDescent="0.25">
      <c r="E940" s="201"/>
    </row>
    <row r="941" spans="5:16" x14ac:dyDescent="0.25">
      <c r="F941" s="201"/>
      <c r="G941" s="201"/>
      <c r="H941" s="201"/>
      <c r="I941" s="201"/>
      <c r="J941" s="201"/>
      <c r="K941" s="201"/>
      <c r="L941" s="201"/>
      <c r="M941" s="201"/>
      <c r="N941" s="201"/>
      <c r="O941" s="201"/>
      <c r="P941" s="201"/>
    </row>
    <row r="947" spans="5:16" x14ac:dyDescent="0.25"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</row>
    <row r="948" spans="5:16" x14ac:dyDescent="0.25"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</row>
    <row r="949" spans="5:16" x14ac:dyDescent="0.25">
      <c r="E949" s="202"/>
    </row>
    <row r="950" spans="5:16" x14ac:dyDescent="0.25">
      <c r="E950" s="202"/>
    </row>
    <row r="953" spans="5:16" x14ac:dyDescent="0.25"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</row>
    <row r="954" spans="5:16" x14ac:dyDescent="0.25"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</row>
    <row r="955" spans="5:16" x14ac:dyDescent="0.25"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</row>
    <row r="956" spans="5:16" x14ac:dyDescent="0.25">
      <c r="E956" s="203"/>
    </row>
    <row r="957" spans="5:16" x14ac:dyDescent="0.25">
      <c r="E957" s="203"/>
    </row>
    <row r="959" spans="5:16" x14ac:dyDescent="0.25"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</row>
    <row r="961" spans="1:17" x14ac:dyDescent="0.25">
      <c r="E961" s="202"/>
    </row>
    <row r="962" spans="1:17" x14ac:dyDescent="0.25"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1:17" x14ac:dyDescent="0.25"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1:1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1:17" ht="13" x14ac:dyDescent="0.3">
      <c r="A965" s="13"/>
      <c r="B965" s="13"/>
      <c r="C965" s="13"/>
      <c r="D965" s="13"/>
      <c r="E965" s="13"/>
      <c r="F965" s="215"/>
      <c r="G965" s="215"/>
      <c r="H965" s="215"/>
      <c r="I965" s="215"/>
      <c r="J965" s="215"/>
      <c r="K965" s="215"/>
      <c r="L965" s="215"/>
      <c r="M965" s="215"/>
      <c r="N965" s="215"/>
      <c r="O965" s="215"/>
      <c r="P965" s="215"/>
      <c r="Q965" s="215"/>
    </row>
    <row r="966" spans="1:1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1:17" ht="13" x14ac:dyDescent="0.3">
      <c r="A967" s="215"/>
      <c r="B967" s="215"/>
      <c r="C967" s="215"/>
      <c r="D967" s="215"/>
      <c r="E967" s="215"/>
      <c r="H967" s="21"/>
    </row>
    <row r="968" spans="1:1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70" spans="1:1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1:17" x14ac:dyDescent="0.2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x14ac:dyDescent="0.25">
      <c r="D972" s="13"/>
      <c r="E972" s="13"/>
    </row>
    <row r="973" spans="1:17" x14ac:dyDescent="0.25">
      <c r="C973" s="13"/>
      <c r="D973" s="13"/>
      <c r="E973" s="5"/>
    </row>
    <row r="985" spans="5:16" x14ac:dyDescent="0.25">
      <c r="F985" s="201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</row>
    <row r="987" spans="5:16" x14ac:dyDescent="0.25">
      <c r="E987" s="201"/>
    </row>
    <row r="988" spans="5:16" x14ac:dyDescent="0.25">
      <c r="F988" s="201"/>
      <c r="G988" s="201"/>
      <c r="H988" s="201"/>
      <c r="I988" s="201"/>
      <c r="J988" s="201"/>
      <c r="K988" s="201"/>
      <c r="L988" s="201"/>
      <c r="M988" s="201"/>
      <c r="N988" s="201"/>
      <c r="O988" s="201"/>
      <c r="P988" s="201"/>
    </row>
    <row r="994" spans="5:16" x14ac:dyDescent="0.25"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</row>
    <row r="995" spans="5:16" x14ac:dyDescent="0.25"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</row>
    <row r="996" spans="5:16" x14ac:dyDescent="0.25">
      <c r="E996" s="202"/>
    </row>
    <row r="997" spans="5:16" x14ac:dyDescent="0.25">
      <c r="E997" s="202"/>
    </row>
    <row r="1000" spans="5:16" x14ac:dyDescent="0.25"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</row>
    <row r="1001" spans="5:16" x14ac:dyDescent="0.25"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</row>
    <row r="1002" spans="5:16" x14ac:dyDescent="0.25"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</row>
    <row r="1003" spans="5:16" x14ac:dyDescent="0.25">
      <c r="E1003" s="203"/>
    </row>
    <row r="1004" spans="5:16" x14ac:dyDescent="0.25">
      <c r="E1004" s="203"/>
    </row>
    <row r="1006" spans="5:16" x14ac:dyDescent="0.25">
      <c r="F1006" s="202"/>
      <c r="G1006" s="202"/>
      <c r="H1006" s="202"/>
      <c r="I1006" s="202"/>
      <c r="J1006" s="202"/>
      <c r="K1006" s="202"/>
      <c r="L1006" s="202"/>
      <c r="M1006" s="202"/>
      <c r="N1006" s="202"/>
      <c r="O1006" s="202"/>
      <c r="P1006" s="202"/>
    </row>
    <row r="1007" spans="5:16" x14ac:dyDescent="0.25">
      <c r="F1007" s="202"/>
      <c r="G1007" s="202"/>
      <c r="H1007" s="202"/>
      <c r="I1007" s="202"/>
      <c r="J1007" s="202"/>
      <c r="K1007" s="202"/>
      <c r="L1007" s="202"/>
      <c r="M1007" s="202"/>
      <c r="N1007" s="202"/>
      <c r="O1007" s="202"/>
      <c r="P1007" s="202"/>
    </row>
    <row r="1008" spans="5:16" x14ac:dyDescent="0.25">
      <c r="E1008" s="202"/>
      <c r="F1008" s="202"/>
      <c r="G1008" s="202"/>
      <c r="H1008" s="202"/>
      <c r="I1008" s="202"/>
      <c r="J1008" s="202"/>
      <c r="K1008" s="202"/>
      <c r="L1008" s="202"/>
      <c r="M1008" s="202"/>
      <c r="N1008" s="202"/>
      <c r="O1008" s="202"/>
      <c r="P1008" s="202"/>
    </row>
    <row r="1009" spans="5:17" x14ac:dyDescent="0.25">
      <c r="E1009" s="202"/>
    </row>
    <row r="1010" spans="5:17" x14ac:dyDescent="0.25">
      <c r="E1010" s="202"/>
    </row>
    <row r="1013" spans="5:17" x14ac:dyDescent="0.25"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</row>
    <row r="1014" spans="5:17" x14ac:dyDescent="0.25"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</row>
    <row r="1015" spans="5:17" x14ac:dyDescent="0.25">
      <c r="E1015" s="203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</row>
    <row r="1016" spans="5:17" x14ac:dyDescent="0.25">
      <c r="E1016" s="203"/>
    </row>
    <row r="1017" spans="5:17" x14ac:dyDescent="0.25">
      <c r="E1017" s="203"/>
    </row>
    <row r="1024" spans="5:17" x14ac:dyDescent="0.25"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1:17" x14ac:dyDescent="0.25"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1:1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1:17" ht="13" x14ac:dyDescent="0.3">
      <c r="A1027" s="13"/>
      <c r="B1027" s="13"/>
      <c r="C1027" s="13"/>
      <c r="D1027" s="13"/>
      <c r="E1027" s="13"/>
      <c r="F1027" s="215"/>
      <c r="G1027" s="215"/>
      <c r="H1027" s="215"/>
      <c r="I1027" s="215"/>
      <c r="J1027" s="215"/>
      <c r="K1027" s="215"/>
      <c r="L1027" s="215"/>
      <c r="M1027" s="215"/>
      <c r="N1027" s="215"/>
      <c r="O1027" s="215"/>
      <c r="P1027" s="215"/>
      <c r="Q1027" s="215"/>
    </row>
    <row r="1028" spans="1:1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1:17" ht="13" x14ac:dyDescent="0.3">
      <c r="A1029" s="215"/>
      <c r="B1029" s="215"/>
      <c r="C1029" s="215"/>
      <c r="D1029" s="215"/>
      <c r="E1029" s="215"/>
    </row>
    <row r="1030" spans="1:1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2" spans="1:1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1:17" x14ac:dyDescent="0.25"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13"/>
    </row>
    <row r="1034" spans="1:17" x14ac:dyDescent="0.25">
      <c r="D1034" s="13"/>
      <c r="E1034" s="13"/>
    </row>
    <row r="1035" spans="1:17" x14ac:dyDescent="0.25">
      <c r="D1035" s="13"/>
      <c r="E1035" s="5"/>
    </row>
    <row r="1047" spans="5:16" x14ac:dyDescent="0.25">
      <c r="F1047" s="201"/>
      <c r="G1047" s="201"/>
      <c r="H1047" s="201"/>
      <c r="I1047" s="201"/>
      <c r="J1047" s="201"/>
      <c r="K1047" s="201"/>
      <c r="L1047" s="201"/>
      <c r="M1047" s="201"/>
      <c r="N1047" s="201"/>
      <c r="O1047" s="201"/>
      <c r="P1047" s="201"/>
    </row>
    <row r="1049" spans="5:16" x14ac:dyDescent="0.25">
      <c r="E1049" s="201"/>
    </row>
    <row r="1050" spans="5:16" x14ac:dyDescent="0.25">
      <c r="F1050" s="201"/>
      <c r="G1050" s="201"/>
      <c r="H1050" s="201"/>
      <c r="I1050" s="201"/>
      <c r="J1050" s="201"/>
      <c r="K1050" s="201"/>
      <c r="L1050" s="201"/>
      <c r="M1050" s="201"/>
      <c r="N1050" s="201"/>
      <c r="O1050" s="201"/>
      <c r="P1050" s="201"/>
    </row>
    <row r="1056" spans="5:16" x14ac:dyDescent="0.25">
      <c r="F1056" s="202"/>
      <c r="G1056" s="202"/>
      <c r="H1056" s="202"/>
      <c r="I1056" s="202"/>
      <c r="J1056" s="202"/>
      <c r="K1056" s="202"/>
      <c r="L1056" s="202"/>
      <c r="M1056" s="202"/>
      <c r="N1056" s="202"/>
      <c r="O1056" s="202"/>
      <c r="P1056" s="202"/>
    </row>
    <row r="1057" spans="5:16" x14ac:dyDescent="0.25">
      <c r="F1057" s="202"/>
      <c r="G1057" s="202"/>
      <c r="H1057" s="202"/>
      <c r="I1057" s="202"/>
      <c r="J1057" s="202"/>
      <c r="K1057" s="202"/>
      <c r="L1057" s="202"/>
      <c r="M1057" s="202"/>
      <c r="N1057" s="202"/>
      <c r="O1057" s="202"/>
      <c r="P1057" s="202"/>
    </row>
    <row r="1058" spans="5:16" x14ac:dyDescent="0.25">
      <c r="E1058" s="202"/>
    </row>
    <row r="1059" spans="5:16" x14ac:dyDescent="0.25">
      <c r="E1059" s="202"/>
    </row>
    <row r="1062" spans="5:16" x14ac:dyDescent="0.25"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</row>
    <row r="1063" spans="5:16" x14ac:dyDescent="0.25"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</row>
    <row r="1064" spans="5:16" x14ac:dyDescent="0.25"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</row>
    <row r="1065" spans="5:16" x14ac:dyDescent="0.25">
      <c r="E1065" s="203"/>
    </row>
    <row r="1066" spans="5:16" x14ac:dyDescent="0.25">
      <c r="E1066" s="203"/>
    </row>
    <row r="1073" spans="1:17" x14ac:dyDescent="0.25"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1:17" x14ac:dyDescent="0.25"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1:1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1:17" ht="13" x14ac:dyDescent="0.3">
      <c r="A1076" s="13"/>
      <c r="B1076" s="13"/>
      <c r="C1076" s="13"/>
      <c r="D1076" s="13"/>
      <c r="E1076" s="13"/>
      <c r="F1076" s="215"/>
      <c r="G1076" s="215"/>
      <c r="H1076" s="215"/>
      <c r="I1076" s="215"/>
      <c r="J1076" s="215"/>
      <c r="K1076" s="215"/>
      <c r="L1076" s="215"/>
      <c r="M1076" s="215"/>
      <c r="N1076" s="215"/>
      <c r="O1076" s="215"/>
      <c r="P1076" s="215"/>
      <c r="Q1076" s="215"/>
    </row>
    <row r="1077" spans="1:1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1:17" ht="13" x14ac:dyDescent="0.3">
      <c r="A1078" s="215"/>
      <c r="B1078" s="215"/>
      <c r="C1078" s="215"/>
      <c r="D1078" s="215"/>
      <c r="E1078" s="215"/>
    </row>
    <row r="1079" spans="1:1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1" spans="1:1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1:17" x14ac:dyDescent="0.25"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13"/>
    </row>
    <row r="1083" spans="1:17" x14ac:dyDescent="0.25">
      <c r="D1083" s="13"/>
      <c r="E1083" s="13"/>
    </row>
    <row r="1084" spans="1:17" x14ac:dyDescent="0.25">
      <c r="D1084" s="13"/>
      <c r="E1084" s="5"/>
    </row>
    <row r="1096" spans="5:16" x14ac:dyDescent="0.25">
      <c r="F1096" s="201"/>
      <c r="G1096" s="201"/>
      <c r="H1096" s="201"/>
      <c r="I1096" s="201"/>
      <c r="J1096" s="201"/>
      <c r="K1096" s="201"/>
      <c r="L1096" s="201"/>
      <c r="M1096" s="201"/>
      <c r="N1096" s="201"/>
      <c r="O1096" s="201"/>
      <c r="P1096" s="201"/>
    </row>
    <row r="1098" spans="5:16" x14ac:dyDescent="0.25">
      <c r="E1098" s="201"/>
    </row>
    <row r="1099" spans="5:16" x14ac:dyDescent="0.25">
      <c r="F1099" s="201"/>
      <c r="G1099" s="201"/>
      <c r="H1099" s="201"/>
      <c r="I1099" s="201"/>
      <c r="J1099" s="201"/>
      <c r="K1099" s="201"/>
      <c r="L1099" s="201"/>
      <c r="M1099" s="201"/>
      <c r="N1099" s="201"/>
      <c r="O1099" s="201"/>
      <c r="P1099" s="201"/>
    </row>
    <row r="1105" spans="5:16" x14ac:dyDescent="0.25">
      <c r="F1105" s="202"/>
      <c r="G1105" s="202"/>
      <c r="H1105" s="202"/>
      <c r="I1105" s="202"/>
      <c r="J1105" s="202"/>
      <c r="K1105" s="202"/>
      <c r="L1105" s="202"/>
      <c r="M1105" s="202"/>
      <c r="N1105" s="202"/>
      <c r="O1105" s="202"/>
      <c r="P1105" s="202"/>
    </row>
    <row r="1106" spans="5:16" x14ac:dyDescent="0.25">
      <c r="F1106" s="202"/>
      <c r="G1106" s="202"/>
      <c r="H1106" s="202"/>
      <c r="I1106" s="202"/>
      <c r="J1106" s="202"/>
      <c r="K1106" s="202"/>
      <c r="L1106" s="202"/>
      <c r="M1106" s="202"/>
      <c r="N1106" s="202"/>
      <c r="O1106" s="202"/>
      <c r="P1106" s="202"/>
    </row>
    <row r="1107" spans="5:16" x14ac:dyDescent="0.25">
      <c r="E1107" s="202"/>
    </row>
    <row r="1108" spans="5:16" x14ac:dyDescent="0.25">
      <c r="E1108" s="202"/>
    </row>
    <row r="1111" spans="5:16" x14ac:dyDescent="0.25">
      <c r="F1111" s="203"/>
      <c r="G1111" s="203"/>
      <c r="H1111" s="203"/>
      <c r="I1111" s="203"/>
      <c r="J1111" s="203"/>
      <c r="K1111" s="203"/>
      <c r="L1111" s="203"/>
      <c r="M1111" s="203"/>
      <c r="N1111" s="203"/>
      <c r="O1111" s="203"/>
      <c r="P1111" s="203"/>
    </row>
    <row r="1112" spans="5:16" x14ac:dyDescent="0.25">
      <c r="F1112" s="203"/>
      <c r="G1112" s="203"/>
      <c r="H1112" s="203"/>
      <c r="I1112" s="203"/>
      <c r="J1112" s="203"/>
      <c r="K1112" s="203"/>
      <c r="L1112" s="203"/>
      <c r="M1112" s="203"/>
      <c r="N1112" s="203"/>
      <c r="O1112" s="203"/>
      <c r="P1112" s="203"/>
    </row>
    <row r="1113" spans="5:16" x14ac:dyDescent="0.25">
      <c r="E1113" s="203"/>
      <c r="F1113" s="203"/>
      <c r="G1113" s="203"/>
      <c r="H1113" s="203"/>
      <c r="I1113" s="203"/>
      <c r="J1113" s="203"/>
      <c r="K1113" s="203"/>
      <c r="L1113" s="203"/>
      <c r="M1113" s="203"/>
      <c r="N1113" s="203"/>
      <c r="O1113" s="203"/>
      <c r="P1113" s="203"/>
    </row>
    <row r="1114" spans="5:16" x14ac:dyDescent="0.25">
      <c r="E1114" s="203"/>
    </row>
    <row r="1115" spans="5:16" x14ac:dyDescent="0.25">
      <c r="E1115" s="203"/>
    </row>
    <row r="1121" spans="1:17" x14ac:dyDescent="0.25"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</row>
    <row r="1122" spans="1:17" x14ac:dyDescent="0.25"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</row>
    <row r="1123" spans="1:1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</row>
    <row r="1124" spans="1:17" ht="13" x14ac:dyDescent="0.3">
      <c r="A1124" s="13"/>
      <c r="B1124" s="13"/>
      <c r="C1124" s="13"/>
      <c r="D1124" s="13"/>
      <c r="E1124" s="13"/>
      <c r="F1124" s="215"/>
      <c r="G1124" s="215"/>
      <c r="H1124" s="215"/>
      <c r="I1124" s="215"/>
      <c r="J1124" s="215"/>
      <c r="K1124" s="215"/>
      <c r="L1124" s="215"/>
      <c r="M1124" s="215"/>
      <c r="N1124" s="215"/>
      <c r="O1124" s="215"/>
      <c r="P1124" s="215"/>
      <c r="Q1124" s="215"/>
    </row>
    <row r="1125" spans="1:1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</row>
    <row r="1126" spans="1:17" ht="13" x14ac:dyDescent="0.3">
      <c r="A1126" s="215"/>
      <c r="B1126" s="215"/>
      <c r="C1126" s="215"/>
      <c r="D1126" s="215"/>
      <c r="E1126" s="215"/>
    </row>
    <row r="1127" spans="1:1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</row>
    <row r="1129" spans="1:1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</row>
    <row r="1130" spans="1:17" x14ac:dyDescent="0.25"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13"/>
    </row>
    <row r="1131" spans="1:17" x14ac:dyDescent="0.25">
      <c r="D1131" s="13"/>
      <c r="E1131" s="13"/>
    </row>
    <row r="1132" spans="1:17" x14ac:dyDescent="0.25">
      <c r="D1132" s="13"/>
      <c r="E1132" s="5"/>
    </row>
    <row r="1144" spans="5:16" x14ac:dyDescent="0.25">
      <c r="F1144" s="201"/>
      <c r="G1144" s="201"/>
      <c r="H1144" s="201"/>
      <c r="I1144" s="201"/>
      <c r="J1144" s="201"/>
      <c r="K1144" s="201"/>
      <c r="L1144" s="201"/>
      <c r="M1144" s="201"/>
      <c r="N1144" s="201"/>
      <c r="O1144" s="201"/>
      <c r="P1144" s="201"/>
    </row>
    <row r="1146" spans="5:16" x14ac:dyDescent="0.25">
      <c r="E1146" s="201"/>
    </row>
    <row r="1147" spans="5:16" x14ac:dyDescent="0.25">
      <c r="F1147" s="201"/>
      <c r="G1147" s="201"/>
      <c r="H1147" s="201"/>
      <c r="I1147" s="201"/>
      <c r="J1147" s="201"/>
      <c r="K1147" s="201"/>
      <c r="L1147" s="201"/>
      <c r="M1147" s="201"/>
      <c r="N1147" s="201"/>
      <c r="O1147" s="201"/>
      <c r="P1147" s="201"/>
    </row>
    <row r="1153" spans="5:16" x14ac:dyDescent="0.25">
      <c r="F1153" s="202"/>
      <c r="G1153" s="202"/>
      <c r="H1153" s="202"/>
      <c r="I1153" s="202"/>
      <c r="J1153" s="202"/>
      <c r="K1153" s="202"/>
      <c r="L1153" s="202"/>
      <c r="M1153" s="202"/>
      <c r="N1153" s="202"/>
      <c r="O1153" s="202"/>
      <c r="P1153" s="202"/>
    </row>
    <row r="1154" spans="5:16" x14ac:dyDescent="0.25">
      <c r="F1154" s="202"/>
      <c r="G1154" s="202"/>
      <c r="H1154" s="202"/>
      <c r="I1154" s="202"/>
      <c r="J1154" s="202"/>
      <c r="K1154" s="202"/>
      <c r="L1154" s="202"/>
      <c r="M1154" s="202"/>
      <c r="N1154" s="202"/>
      <c r="O1154" s="202"/>
      <c r="P1154" s="202"/>
    </row>
    <row r="1155" spans="5:16" x14ac:dyDescent="0.25">
      <c r="E1155" s="202"/>
    </row>
    <row r="1156" spans="5:16" x14ac:dyDescent="0.25">
      <c r="E1156" s="202"/>
    </row>
    <row r="1159" spans="5:16" x14ac:dyDescent="0.25">
      <c r="F1159" s="203"/>
      <c r="G1159" s="203"/>
      <c r="H1159" s="203"/>
      <c r="I1159" s="203"/>
      <c r="J1159" s="203"/>
      <c r="K1159" s="203"/>
      <c r="L1159" s="203"/>
      <c r="M1159" s="203"/>
      <c r="N1159" s="203"/>
      <c r="O1159" s="203"/>
      <c r="P1159" s="203"/>
    </row>
    <row r="1160" spans="5:16" x14ac:dyDescent="0.25">
      <c r="F1160" s="203"/>
      <c r="G1160" s="203"/>
      <c r="H1160" s="203"/>
      <c r="I1160" s="203"/>
      <c r="J1160" s="203"/>
      <c r="K1160" s="203"/>
      <c r="L1160" s="203"/>
      <c r="M1160" s="203"/>
      <c r="N1160" s="203"/>
      <c r="O1160" s="203"/>
      <c r="P1160" s="203"/>
    </row>
    <row r="1161" spans="5:16" x14ac:dyDescent="0.25">
      <c r="E1161" s="203"/>
      <c r="F1161" s="203"/>
      <c r="G1161" s="203"/>
      <c r="H1161" s="203"/>
      <c r="I1161" s="203"/>
      <c r="J1161" s="203"/>
      <c r="K1161" s="203"/>
      <c r="L1161" s="203"/>
      <c r="M1161" s="203"/>
      <c r="N1161" s="203"/>
      <c r="O1161" s="203"/>
      <c r="P1161" s="203"/>
    </row>
    <row r="1162" spans="5:16" x14ac:dyDescent="0.25">
      <c r="E1162" s="203"/>
    </row>
    <row r="1163" spans="5:16" x14ac:dyDescent="0.25">
      <c r="E1163" s="203"/>
    </row>
    <row r="1170" spans="1:17" x14ac:dyDescent="0.25"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</row>
    <row r="1171" spans="1:17" x14ac:dyDescent="0.25"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</row>
    <row r="1172" spans="1:1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</row>
    <row r="1173" spans="1:17" ht="13" x14ac:dyDescent="0.3">
      <c r="A1173" s="13"/>
      <c r="B1173" s="13"/>
      <c r="C1173" s="13"/>
      <c r="D1173" s="13"/>
      <c r="E1173" s="13"/>
      <c r="F1173" s="215"/>
      <c r="G1173" s="215"/>
      <c r="H1173" s="215"/>
      <c r="I1173" s="215"/>
      <c r="J1173" s="215"/>
      <c r="K1173" s="215"/>
      <c r="L1173" s="215"/>
      <c r="M1173" s="215"/>
      <c r="N1173" s="215"/>
      <c r="O1173" s="215"/>
      <c r="P1173" s="215"/>
      <c r="Q1173" s="215"/>
    </row>
    <row r="1174" spans="1:1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</row>
    <row r="1175" spans="1:17" ht="13" x14ac:dyDescent="0.3">
      <c r="A1175" s="215"/>
      <c r="B1175" s="215"/>
      <c r="C1175" s="215"/>
      <c r="D1175" s="215"/>
      <c r="E1175" s="215"/>
    </row>
    <row r="1176" spans="1:1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</row>
    <row r="1178" spans="1:1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</row>
    <row r="1179" spans="1:17" x14ac:dyDescent="0.25"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13"/>
    </row>
    <row r="1180" spans="1:17" x14ac:dyDescent="0.25">
      <c r="D1180" s="13"/>
      <c r="E1180" s="13"/>
    </row>
    <row r="1181" spans="1:17" x14ac:dyDescent="0.25">
      <c r="D1181" s="13"/>
      <c r="E1181" s="5"/>
    </row>
    <row r="1193" spans="5:16" x14ac:dyDescent="0.25">
      <c r="F1193" s="201"/>
      <c r="G1193" s="201"/>
      <c r="H1193" s="201"/>
      <c r="I1193" s="201"/>
      <c r="J1193" s="201"/>
      <c r="K1193" s="201"/>
      <c r="L1193" s="201"/>
      <c r="M1193" s="201"/>
      <c r="N1193" s="201"/>
      <c r="O1193" s="201"/>
      <c r="P1193" s="201"/>
    </row>
    <row r="1195" spans="5:16" x14ac:dyDescent="0.25">
      <c r="E1195" s="201"/>
    </row>
    <row r="1196" spans="5:16" x14ac:dyDescent="0.25">
      <c r="F1196" s="201"/>
      <c r="G1196" s="201"/>
      <c r="H1196" s="201"/>
      <c r="I1196" s="201"/>
      <c r="J1196" s="201"/>
      <c r="K1196" s="201"/>
      <c r="L1196" s="201"/>
      <c r="M1196" s="201"/>
      <c r="N1196" s="201"/>
      <c r="O1196" s="201"/>
      <c r="P1196" s="201"/>
    </row>
    <row r="1202" spans="5:16" x14ac:dyDescent="0.25">
      <c r="F1202" s="202"/>
      <c r="G1202" s="202"/>
      <c r="H1202" s="202"/>
      <c r="I1202" s="202"/>
      <c r="J1202" s="202"/>
      <c r="K1202" s="202"/>
      <c r="L1202" s="202"/>
      <c r="M1202" s="202"/>
      <c r="N1202" s="202"/>
      <c r="O1202" s="202"/>
      <c r="P1202" s="202"/>
    </row>
    <row r="1203" spans="5:16" x14ac:dyDescent="0.25">
      <c r="F1203" s="202"/>
      <c r="G1203" s="202"/>
      <c r="H1203" s="202"/>
      <c r="I1203" s="202"/>
      <c r="J1203" s="202"/>
      <c r="K1203" s="202"/>
      <c r="L1203" s="202"/>
      <c r="M1203" s="202"/>
      <c r="N1203" s="202"/>
      <c r="O1203" s="202"/>
      <c r="P1203" s="202"/>
    </row>
    <row r="1204" spans="5:16" x14ac:dyDescent="0.25">
      <c r="E1204" s="202"/>
    </row>
    <row r="1205" spans="5:16" x14ac:dyDescent="0.25">
      <c r="E1205" s="202"/>
    </row>
    <row r="1208" spans="5:16" x14ac:dyDescent="0.25">
      <c r="F1208" s="203"/>
      <c r="G1208" s="203"/>
      <c r="H1208" s="203"/>
      <c r="I1208" s="203"/>
      <c r="J1208" s="203"/>
      <c r="K1208" s="203"/>
      <c r="L1208" s="203"/>
      <c r="M1208" s="203"/>
      <c r="N1208" s="203"/>
      <c r="O1208" s="203"/>
      <c r="P1208" s="203"/>
    </row>
    <row r="1209" spans="5:16" x14ac:dyDescent="0.25">
      <c r="F1209" s="203"/>
      <c r="G1209" s="203"/>
      <c r="H1209" s="203"/>
      <c r="I1209" s="203"/>
      <c r="J1209" s="203"/>
      <c r="K1209" s="203"/>
      <c r="L1209" s="203"/>
      <c r="M1209" s="203"/>
      <c r="N1209" s="203"/>
      <c r="O1209" s="203"/>
      <c r="P1209" s="203"/>
    </row>
    <row r="1210" spans="5:16" x14ac:dyDescent="0.25">
      <c r="E1210" s="203"/>
      <c r="F1210" s="203"/>
      <c r="G1210" s="203"/>
      <c r="H1210" s="203"/>
      <c r="I1210" s="203"/>
      <c r="J1210" s="203"/>
      <c r="K1210" s="203"/>
      <c r="L1210" s="203"/>
      <c r="M1210" s="203"/>
      <c r="N1210" s="203"/>
      <c r="O1210" s="203"/>
      <c r="P1210" s="203"/>
    </row>
    <row r="1211" spans="5:16" x14ac:dyDescent="0.25">
      <c r="E1211" s="203"/>
    </row>
    <row r="1212" spans="5:16" x14ac:dyDescent="0.25">
      <c r="E1212" s="203"/>
    </row>
    <row r="1219" spans="1:17" x14ac:dyDescent="0.25"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</row>
    <row r="1220" spans="1:17" x14ac:dyDescent="0.25"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</row>
    <row r="1221" spans="1:1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</row>
    <row r="1222" spans="1:17" ht="13" x14ac:dyDescent="0.3">
      <c r="A1222" s="13"/>
      <c r="B1222" s="13"/>
      <c r="C1222" s="13"/>
      <c r="D1222" s="13"/>
      <c r="E1222" s="13"/>
      <c r="F1222" s="215"/>
      <c r="G1222" s="215"/>
      <c r="H1222" s="215"/>
      <c r="I1222" s="215"/>
      <c r="J1222" s="215"/>
      <c r="K1222" s="215"/>
      <c r="L1222" s="215"/>
      <c r="M1222" s="215"/>
      <c r="N1222" s="215"/>
      <c r="O1222" s="215"/>
      <c r="P1222" s="215"/>
      <c r="Q1222" s="215"/>
    </row>
    <row r="1223" spans="1:1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</row>
    <row r="1224" spans="1:17" ht="13" x14ac:dyDescent="0.3">
      <c r="A1224" s="215"/>
      <c r="B1224" s="215"/>
      <c r="C1224" s="215"/>
      <c r="D1224" s="215"/>
      <c r="E1224" s="215"/>
    </row>
    <row r="1225" spans="1:1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</row>
    <row r="1227" spans="1:1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</row>
    <row r="1228" spans="1:17" x14ac:dyDescent="0.25"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13"/>
    </row>
    <row r="1229" spans="1:17" x14ac:dyDescent="0.25">
      <c r="D1229" s="13"/>
      <c r="E1229" s="13"/>
    </row>
    <row r="1230" spans="1:17" x14ac:dyDescent="0.25">
      <c r="D1230" s="13"/>
      <c r="E1230" s="5"/>
    </row>
    <row r="1242" spans="5:16" x14ac:dyDescent="0.25">
      <c r="F1242" s="201"/>
      <c r="G1242" s="201"/>
      <c r="H1242" s="201"/>
      <c r="I1242" s="201"/>
      <c r="J1242" s="201"/>
      <c r="K1242" s="201"/>
      <c r="L1242" s="201"/>
      <c r="M1242" s="201"/>
      <c r="N1242" s="201"/>
      <c r="O1242" s="201"/>
      <c r="P1242" s="201"/>
    </row>
    <row r="1244" spans="5:16" x14ac:dyDescent="0.25">
      <c r="E1244" s="201"/>
    </row>
    <row r="1245" spans="5:16" x14ac:dyDescent="0.25">
      <c r="F1245" s="201"/>
      <c r="G1245" s="201"/>
      <c r="H1245" s="201"/>
      <c r="I1245" s="201"/>
      <c r="J1245" s="201"/>
      <c r="K1245" s="201"/>
      <c r="L1245" s="201"/>
      <c r="M1245" s="201"/>
      <c r="N1245" s="201"/>
      <c r="O1245" s="201"/>
      <c r="P1245" s="201"/>
    </row>
    <row r="1251" spans="5:16" x14ac:dyDescent="0.25">
      <c r="F1251" s="202"/>
      <c r="G1251" s="202"/>
      <c r="H1251" s="202"/>
      <c r="I1251" s="202"/>
      <c r="J1251" s="202"/>
      <c r="K1251" s="202"/>
      <c r="L1251" s="202"/>
      <c r="M1251" s="202"/>
      <c r="N1251" s="202"/>
      <c r="O1251" s="202"/>
      <c r="P1251" s="202"/>
    </row>
    <row r="1252" spans="5:16" x14ac:dyDescent="0.25">
      <c r="F1252" s="202"/>
      <c r="G1252" s="202"/>
      <c r="H1252" s="202"/>
      <c r="I1252" s="202"/>
      <c r="J1252" s="202"/>
      <c r="K1252" s="202"/>
      <c r="L1252" s="202"/>
      <c r="M1252" s="202"/>
      <c r="N1252" s="202"/>
      <c r="O1252" s="202"/>
      <c r="P1252" s="202"/>
    </row>
    <row r="1253" spans="5:16" x14ac:dyDescent="0.25">
      <c r="E1253" s="202"/>
    </row>
    <row r="1254" spans="5:16" x14ac:dyDescent="0.25">
      <c r="E1254" s="202"/>
    </row>
    <row r="1257" spans="5:16" x14ac:dyDescent="0.25">
      <c r="F1257" s="203"/>
      <c r="G1257" s="203"/>
      <c r="H1257" s="203"/>
      <c r="I1257" s="203"/>
      <c r="J1257" s="203"/>
      <c r="K1257" s="203"/>
      <c r="L1257" s="203"/>
      <c r="M1257" s="203"/>
      <c r="N1257" s="203"/>
      <c r="O1257" s="203"/>
      <c r="P1257" s="203"/>
    </row>
    <row r="1258" spans="5:16" x14ac:dyDescent="0.25">
      <c r="F1258" s="203"/>
      <c r="G1258" s="203"/>
      <c r="H1258" s="203"/>
      <c r="I1258" s="203"/>
      <c r="J1258" s="203"/>
      <c r="K1258" s="203"/>
      <c r="L1258" s="203"/>
      <c r="M1258" s="203"/>
      <c r="N1258" s="203"/>
      <c r="O1258" s="203"/>
      <c r="P1258" s="203"/>
    </row>
    <row r="1259" spans="5:16" x14ac:dyDescent="0.25">
      <c r="E1259" s="203"/>
      <c r="F1259" s="203"/>
      <c r="G1259" s="203"/>
      <c r="H1259" s="203"/>
      <c r="I1259" s="203"/>
      <c r="J1259" s="203"/>
      <c r="K1259" s="203"/>
      <c r="L1259" s="203"/>
      <c r="M1259" s="203"/>
      <c r="N1259" s="203"/>
      <c r="O1259" s="203"/>
      <c r="P1259" s="203"/>
    </row>
    <row r="1260" spans="5:16" x14ac:dyDescent="0.25">
      <c r="E1260" s="203"/>
    </row>
    <row r="1261" spans="5:16" x14ac:dyDescent="0.25">
      <c r="E1261" s="203"/>
    </row>
    <row r="1268" spans="1:17" x14ac:dyDescent="0.25"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</row>
    <row r="1269" spans="1:17" x14ac:dyDescent="0.25"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</row>
    <row r="1270" spans="1:1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</row>
    <row r="1271" spans="1:17" ht="13" x14ac:dyDescent="0.3">
      <c r="A1271" s="13"/>
      <c r="B1271" s="13"/>
      <c r="C1271" s="13"/>
      <c r="D1271" s="13"/>
      <c r="E1271" s="13"/>
      <c r="F1271" s="215"/>
      <c r="G1271" s="215"/>
      <c r="H1271" s="215"/>
      <c r="I1271" s="215"/>
      <c r="J1271" s="215"/>
      <c r="K1271" s="215"/>
      <c r="L1271" s="215"/>
      <c r="M1271" s="215"/>
      <c r="N1271" s="215"/>
      <c r="O1271" s="215"/>
      <c r="P1271" s="215"/>
      <c r="Q1271" s="215"/>
    </row>
    <row r="1272" spans="1:1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</row>
    <row r="1273" spans="1:17" ht="13" x14ac:dyDescent="0.3">
      <c r="A1273" s="215"/>
      <c r="B1273" s="215"/>
      <c r="C1273" s="215"/>
      <c r="D1273" s="215"/>
      <c r="E1273" s="215"/>
    </row>
    <row r="1274" spans="1:1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</row>
    <row r="1276" spans="1:1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</row>
    <row r="1277" spans="1:17" x14ac:dyDescent="0.25"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13"/>
    </row>
    <row r="1278" spans="1:17" x14ac:dyDescent="0.25">
      <c r="D1278" s="13"/>
      <c r="E1278" s="13"/>
    </row>
    <row r="1279" spans="1:17" x14ac:dyDescent="0.25">
      <c r="D1279" s="13"/>
      <c r="E1279" s="5"/>
    </row>
    <row r="1291" spans="5:16" x14ac:dyDescent="0.25">
      <c r="F1291" s="201"/>
      <c r="G1291" s="201"/>
      <c r="H1291" s="201"/>
      <c r="I1291" s="201"/>
      <c r="J1291" s="201"/>
      <c r="K1291" s="201"/>
      <c r="L1291" s="201"/>
      <c r="M1291" s="201"/>
      <c r="N1291" s="201"/>
      <c r="O1291" s="201"/>
      <c r="P1291" s="201"/>
    </row>
    <row r="1293" spans="5:16" x14ac:dyDescent="0.25">
      <c r="E1293" s="201"/>
    </row>
    <row r="1294" spans="5:16" x14ac:dyDescent="0.25">
      <c r="F1294" s="201"/>
      <c r="G1294" s="201"/>
      <c r="H1294" s="201"/>
      <c r="I1294" s="201"/>
      <c r="J1294" s="201"/>
      <c r="K1294" s="201"/>
      <c r="L1294" s="201"/>
      <c r="M1294" s="201"/>
      <c r="N1294" s="201"/>
      <c r="O1294" s="201"/>
      <c r="P1294" s="201"/>
    </row>
    <row r="1300" spans="5:16" x14ac:dyDescent="0.25">
      <c r="F1300" s="202"/>
      <c r="G1300" s="202"/>
      <c r="H1300" s="202"/>
      <c r="I1300" s="202"/>
      <c r="J1300" s="202"/>
      <c r="K1300" s="202"/>
      <c r="L1300" s="202"/>
      <c r="M1300" s="202"/>
      <c r="N1300" s="202"/>
      <c r="O1300" s="202"/>
      <c r="P1300" s="202"/>
    </row>
    <row r="1301" spans="5:16" x14ac:dyDescent="0.25">
      <c r="F1301" s="202"/>
      <c r="G1301" s="202"/>
      <c r="H1301" s="202"/>
      <c r="I1301" s="202"/>
      <c r="J1301" s="202"/>
      <c r="K1301" s="202"/>
      <c r="L1301" s="202"/>
      <c r="M1301" s="202"/>
      <c r="N1301" s="202"/>
      <c r="O1301" s="202"/>
      <c r="P1301" s="202"/>
    </row>
    <row r="1302" spans="5:16" x14ac:dyDescent="0.25">
      <c r="E1302" s="202"/>
    </row>
    <row r="1303" spans="5:16" x14ac:dyDescent="0.25">
      <c r="E1303" s="202"/>
    </row>
    <row r="1306" spans="5:16" x14ac:dyDescent="0.25">
      <c r="F1306" s="203"/>
      <c r="G1306" s="203"/>
      <c r="H1306" s="203"/>
      <c r="I1306" s="203"/>
      <c r="J1306" s="203"/>
      <c r="K1306" s="203"/>
      <c r="L1306" s="203"/>
      <c r="M1306" s="203"/>
      <c r="N1306" s="203"/>
      <c r="O1306" s="203"/>
      <c r="P1306" s="203"/>
    </row>
    <row r="1307" spans="5:16" x14ac:dyDescent="0.25">
      <c r="F1307" s="203"/>
      <c r="G1307" s="203"/>
      <c r="H1307" s="203"/>
      <c r="I1307" s="203"/>
      <c r="J1307" s="203"/>
      <c r="K1307" s="203"/>
      <c r="L1307" s="203"/>
      <c r="M1307" s="203"/>
      <c r="N1307" s="203"/>
      <c r="O1307" s="203"/>
      <c r="P1307" s="203"/>
    </row>
    <row r="1308" spans="5:16" x14ac:dyDescent="0.25">
      <c r="E1308" s="203"/>
      <c r="F1308" s="203"/>
      <c r="G1308" s="203"/>
      <c r="H1308" s="203"/>
      <c r="I1308" s="203"/>
      <c r="J1308" s="203"/>
      <c r="K1308" s="203"/>
      <c r="L1308" s="203"/>
      <c r="M1308" s="203"/>
      <c r="N1308" s="203"/>
      <c r="O1308" s="203"/>
      <c r="P1308" s="203"/>
    </row>
    <row r="1309" spans="5:16" x14ac:dyDescent="0.25">
      <c r="E1309" s="203"/>
    </row>
    <row r="1310" spans="5:16" x14ac:dyDescent="0.25">
      <c r="E1310" s="203"/>
    </row>
    <row r="1317" spans="1:17" x14ac:dyDescent="0.25"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</row>
    <row r="1318" spans="1:17" x14ac:dyDescent="0.25"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</row>
    <row r="1319" spans="1:1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</row>
    <row r="1320" spans="1:17" ht="13" x14ac:dyDescent="0.3">
      <c r="A1320" s="13"/>
      <c r="B1320" s="13"/>
      <c r="C1320" s="13"/>
      <c r="D1320" s="13"/>
      <c r="E1320" s="13"/>
      <c r="F1320" s="215"/>
      <c r="G1320" s="215"/>
      <c r="H1320" s="215"/>
      <c r="I1320" s="215"/>
      <c r="J1320" s="215"/>
      <c r="K1320" s="215"/>
      <c r="L1320" s="215"/>
      <c r="M1320" s="215"/>
      <c r="N1320" s="215"/>
      <c r="O1320" s="215"/>
      <c r="P1320" s="215"/>
      <c r="Q1320" s="215"/>
    </row>
    <row r="1321" spans="1:1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</row>
    <row r="1322" spans="1:17" ht="13" x14ac:dyDescent="0.3">
      <c r="A1322" s="215"/>
      <c r="B1322" s="215"/>
      <c r="C1322" s="215"/>
      <c r="D1322" s="215"/>
      <c r="E1322" s="215"/>
    </row>
    <row r="1323" spans="1:1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</row>
    <row r="1325" spans="1:1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</row>
    <row r="1326" spans="1:17" x14ac:dyDescent="0.25"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13"/>
    </row>
    <row r="1327" spans="1:17" x14ac:dyDescent="0.25">
      <c r="D1327" s="13"/>
      <c r="E1327" s="13"/>
    </row>
    <row r="1328" spans="1:17" x14ac:dyDescent="0.25">
      <c r="D1328" s="13"/>
      <c r="E1328" s="5"/>
    </row>
    <row r="1340" spans="5:16" x14ac:dyDescent="0.25">
      <c r="F1340" s="201"/>
      <c r="G1340" s="201"/>
      <c r="H1340" s="201"/>
      <c r="I1340" s="201"/>
      <c r="J1340" s="201"/>
      <c r="K1340" s="201"/>
      <c r="L1340" s="201"/>
      <c r="M1340" s="201"/>
      <c r="N1340" s="201"/>
      <c r="O1340" s="201"/>
      <c r="P1340" s="201"/>
    </row>
    <row r="1342" spans="5:16" x14ac:dyDescent="0.25">
      <c r="E1342" s="201"/>
    </row>
    <row r="1343" spans="5:16" x14ac:dyDescent="0.25">
      <c r="F1343" s="201"/>
      <c r="G1343" s="201"/>
      <c r="H1343" s="201"/>
      <c r="I1343" s="201"/>
      <c r="J1343" s="201"/>
      <c r="K1343" s="201"/>
      <c r="L1343" s="201"/>
      <c r="M1343" s="201"/>
      <c r="N1343" s="201"/>
      <c r="O1343" s="201"/>
      <c r="P1343" s="201"/>
    </row>
    <row r="1349" spans="5:16" x14ac:dyDescent="0.25">
      <c r="F1349" s="202"/>
      <c r="G1349" s="202"/>
      <c r="H1349" s="202"/>
      <c r="I1349" s="202"/>
      <c r="J1349" s="202"/>
      <c r="K1349" s="202"/>
      <c r="L1349" s="202"/>
      <c r="M1349" s="202"/>
      <c r="N1349" s="202"/>
      <c r="O1349" s="202"/>
      <c r="P1349" s="202"/>
    </row>
    <row r="1350" spans="5:16" x14ac:dyDescent="0.25">
      <c r="F1350" s="202"/>
      <c r="G1350" s="202"/>
      <c r="H1350" s="202"/>
      <c r="I1350" s="202"/>
      <c r="J1350" s="202"/>
      <c r="K1350" s="202"/>
      <c r="L1350" s="202"/>
      <c r="M1350" s="202"/>
      <c r="N1350" s="202"/>
      <c r="O1350" s="202"/>
      <c r="P1350" s="202"/>
    </row>
    <row r="1351" spans="5:16" x14ac:dyDescent="0.25">
      <c r="E1351" s="202"/>
    </row>
    <row r="1352" spans="5:16" x14ac:dyDescent="0.25">
      <c r="E1352" s="202"/>
    </row>
    <row r="1355" spans="5:16" x14ac:dyDescent="0.25">
      <c r="F1355" s="203"/>
      <c r="G1355" s="203"/>
      <c r="H1355" s="203"/>
      <c r="I1355" s="203"/>
      <c r="J1355" s="203"/>
      <c r="K1355" s="203"/>
      <c r="L1355" s="203"/>
      <c r="M1355" s="203"/>
      <c r="N1355" s="203"/>
      <c r="O1355" s="203"/>
      <c r="P1355" s="203"/>
    </row>
    <row r="1356" spans="5:16" x14ac:dyDescent="0.25">
      <c r="F1356" s="203"/>
      <c r="G1356" s="203"/>
      <c r="H1356" s="203"/>
      <c r="I1356" s="203"/>
      <c r="J1356" s="203"/>
      <c r="K1356" s="203"/>
      <c r="L1356" s="203"/>
      <c r="M1356" s="203"/>
      <c r="N1356" s="203"/>
      <c r="O1356" s="203"/>
      <c r="P1356" s="203"/>
    </row>
    <row r="1357" spans="5:16" x14ac:dyDescent="0.25">
      <c r="E1357" s="203"/>
      <c r="F1357" s="203"/>
      <c r="G1357" s="203"/>
      <c r="H1357" s="203"/>
      <c r="I1357" s="203"/>
      <c r="J1357" s="203"/>
      <c r="K1357" s="203"/>
      <c r="L1357" s="203"/>
      <c r="M1357" s="203"/>
      <c r="N1357" s="203"/>
      <c r="O1357" s="203"/>
      <c r="P1357" s="203"/>
    </row>
    <row r="1358" spans="5:16" x14ac:dyDescent="0.25">
      <c r="E1358" s="203"/>
    </row>
    <row r="1359" spans="5:16" x14ac:dyDescent="0.25">
      <c r="E1359" s="203"/>
    </row>
    <row r="1366" spans="1:17" x14ac:dyDescent="0.25"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</row>
    <row r="1367" spans="1:17" x14ac:dyDescent="0.25"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</row>
    <row r="1368" spans="1:1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</row>
    <row r="1369" spans="1:17" ht="13" x14ac:dyDescent="0.3">
      <c r="A1369" s="13"/>
      <c r="B1369" s="13"/>
      <c r="C1369" s="13"/>
      <c r="D1369" s="13"/>
      <c r="E1369" s="13"/>
      <c r="F1369" s="215"/>
      <c r="G1369" s="215"/>
      <c r="H1369" s="215"/>
      <c r="I1369" s="215"/>
      <c r="J1369" s="215"/>
      <c r="K1369" s="215"/>
      <c r="L1369" s="215"/>
      <c r="M1369" s="215"/>
      <c r="N1369" s="215"/>
      <c r="O1369" s="215"/>
      <c r="P1369" s="215"/>
      <c r="Q1369" s="215"/>
    </row>
    <row r="1370" spans="1:1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</row>
    <row r="1371" spans="1:17" ht="13" x14ac:dyDescent="0.3">
      <c r="A1371" s="215"/>
      <c r="B1371" s="215"/>
      <c r="C1371" s="215"/>
      <c r="D1371" s="215"/>
      <c r="E1371" s="215"/>
    </row>
    <row r="1372" spans="1:1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</row>
    <row r="1374" spans="1:1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</row>
    <row r="1375" spans="1:17" x14ac:dyDescent="0.25"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13"/>
    </row>
    <row r="1376" spans="1:17" x14ac:dyDescent="0.25">
      <c r="D1376" s="13"/>
      <c r="E1376" s="13"/>
    </row>
    <row r="1377" spans="4:16" x14ac:dyDescent="0.25">
      <c r="D1377" s="13"/>
      <c r="E1377" s="5"/>
    </row>
    <row r="1389" spans="4:16" x14ac:dyDescent="0.25">
      <c r="F1389" s="201"/>
      <c r="G1389" s="201"/>
      <c r="H1389" s="201"/>
      <c r="I1389" s="201"/>
      <c r="J1389" s="201"/>
      <c r="K1389" s="201"/>
      <c r="L1389" s="201"/>
      <c r="M1389" s="201"/>
      <c r="N1389" s="201"/>
      <c r="O1389" s="201"/>
      <c r="P1389" s="201"/>
    </row>
    <row r="1391" spans="4:16" x14ac:dyDescent="0.25">
      <c r="E1391" s="201"/>
    </row>
    <row r="1392" spans="4:16" x14ac:dyDescent="0.25">
      <c r="F1392" s="201"/>
      <c r="G1392" s="201"/>
      <c r="H1392" s="201"/>
      <c r="I1392" s="201"/>
      <c r="J1392" s="201"/>
      <c r="K1392" s="201"/>
      <c r="L1392" s="201"/>
      <c r="M1392" s="201"/>
      <c r="N1392" s="201"/>
      <c r="O1392" s="201"/>
      <c r="P1392" s="201"/>
    </row>
    <row r="1398" spans="5:16" x14ac:dyDescent="0.25">
      <c r="F1398" s="202"/>
      <c r="G1398" s="202"/>
      <c r="H1398" s="202"/>
      <c r="I1398" s="202"/>
      <c r="J1398" s="202"/>
      <c r="K1398" s="202"/>
      <c r="L1398" s="202"/>
      <c r="M1398" s="202"/>
      <c r="N1398" s="202"/>
      <c r="O1398" s="202"/>
      <c r="P1398" s="202"/>
    </row>
    <row r="1399" spans="5:16" x14ac:dyDescent="0.25">
      <c r="F1399" s="202"/>
      <c r="G1399" s="202"/>
      <c r="H1399" s="202"/>
      <c r="I1399" s="202"/>
      <c r="J1399" s="202"/>
      <c r="K1399" s="202"/>
      <c r="L1399" s="202"/>
      <c r="M1399" s="202"/>
      <c r="N1399" s="202"/>
      <c r="O1399" s="202"/>
      <c r="P1399" s="202"/>
    </row>
    <row r="1400" spans="5:16" x14ac:dyDescent="0.25">
      <c r="E1400" s="202"/>
    </row>
    <row r="1401" spans="5:16" x14ac:dyDescent="0.25">
      <c r="E1401" s="202"/>
    </row>
    <row r="1404" spans="5:16" x14ac:dyDescent="0.25">
      <c r="F1404" s="203"/>
      <c r="G1404" s="203"/>
      <c r="H1404" s="203"/>
      <c r="I1404" s="203"/>
      <c r="J1404" s="203"/>
      <c r="K1404" s="203"/>
      <c r="L1404" s="203"/>
      <c r="M1404" s="203"/>
      <c r="N1404" s="203"/>
      <c r="O1404" s="203"/>
      <c r="P1404" s="203"/>
    </row>
    <row r="1405" spans="5:16" x14ac:dyDescent="0.25">
      <c r="F1405" s="203"/>
      <c r="G1405" s="203"/>
      <c r="H1405" s="203"/>
      <c r="I1405" s="203"/>
      <c r="J1405" s="203"/>
      <c r="K1405" s="203"/>
      <c r="L1405" s="203"/>
      <c r="M1405" s="203"/>
      <c r="N1405" s="203"/>
      <c r="O1405" s="203"/>
      <c r="P1405" s="203"/>
    </row>
    <row r="1406" spans="5:16" x14ac:dyDescent="0.25">
      <c r="E1406" s="203"/>
      <c r="F1406" s="203"/>
      <c r="G1406" s="203"/>
      <c r="H1406" s="203"/>
      <c r="I1406" s="203"/>
      <c r="J1406" s="203"/>
      <c r="K1406" s="203"/>
      <c r="L1406" s="203"/>
      <c r="M1406" s="203"/>
      <c r="N1406" s="203"/>
      <c r="O1406" s="203"/>
      <c r="P1406" s="203"/>
    </row>
    <row r="1407" spans="5:16" x14ac:dyDescent="0.25">
      <c r="E1407" s="203"/>
    </row>
    <row r="1408" spans="5:16" x14ac:dyDescent="0.25">
      <c r="E1408" s="203"/>
    </row>
    <row r="1415" spans="1:17" x14ac:dyDescent="0.25"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</row>
    <row r="1416" spans="1:17" x14ac:dyDescent="0.25"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</row>
    <row r="1417" spans="1:1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</row>
    <row r="1418" spans="1:17" ht="13" x14ac:dyDescent="0.3">
      <c r="A1418" s="13"/>
      <c r="B1418" s="13"/>
      <c r="C1418" s="13"/>
      <c r="D1418" s="13"/>
      <c r="E1418" s="13"/>
      <c r="F1418" s="215"/>
      <c r="G1418" s="215"/>
      <c r="H1418" s="215"/>
      <c r="I1418" s="215"/>
      <c r="J1418" s="215"/>
      <c r="K1418" s="215"/>
      <c r="L1418" s="215"/>
      <c r="M1418" s="215"/>
      <c r="N1418" s="215"/>
      <c r="O1418" s="215"/>
      <c r="P1418" s="215"/>
      <c r="Q1418" s="215"/>
    </row>
    <row r="1419" spans="1:1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</row>
    <row r="1420" spans="1:17" ht="13" x14ac:dyDescent="0.3">
      <c r="A1420" s="215"/>
      <c r="B1420" s="215"/>
      <c r="C1420" s="215"/>
      <c r="D1420" s="215"/>
      <c r="E1420" s="215"/>
    </row>
    <row r="1421" spans="1:1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</row>
    <row r="1423" spans="1:1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</row>
    <row r="1424" spans="1:17" x14ac:dyDescent="0.25"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</row>
    <row r="1425" spans="4:16" x14ac:dyDescent="0.25">
      <c r="D1425" s="13"/>
      <c r="E1425" s="13"/>
    </row>
    <row r="1426" spans="4:16" x14ac:dyDescent="0.25">
      <c r="D1426" s="13"/>
      <c r="E1426" s="5"/>
    </row>
    <row r="1438" spans="4:16" x14ac:dyDescent="0.25">
      <c r="F1438" s="201"/>
      <c r="G1438" s="201"/>
      <c r="H1438" s="201"/>
      <c r="I1438" s="201"/>
      <c r="J1438" s="201"/>
      <c r="K1438" s="201"/>
      <c r="L1438" s="201"/>
      <c r="M1438" s="201"/>
      <c r="N1438" s="201"/>
      <c r="O1438" s="201"/>
      <c r="P1438" s="201"/>
    </row>
    <row r="1440" spans="4:16" x14ac:dyDescent="0.25">
      <c r="E1440" s="201"/>
    </row>
    <row r="1441" spans="5:16" x14ac:dyDescent="0.25">
      <c r="F1441" s="201"/>
      <c r="G1441" s="201"/>
      <c r="H1441" s="201"/>
      <c r="I1441" s="201"/>
      <c r="J1441" s="201"/>
      <c r="K1441" s="201"/>
      <c r="L1441" s="201"/>
      <c r="M1441" s="201"/>
      <c r="N1441" s="201"/>
      <c r="O1441" s="201"/>
      <c r="P1441" s="201"/>
    </row>
    <row r="1447" spans="5:16" x14ac:dyDescent="0.25">
      <c r="F1447" s="202"/>
      <c r="G1447" s="202"/>
      <c r="H1447" s="202"/>
      <c r="I1447" s="202"/>
      <c r="J1447" s="202"/>
      <c r="K1447" s="202"/>
      <c r="L1447" s="202"/>
      <c r="M1447" s="202"/>
      <c r="N1447" s="202"/>
      <c r="O1447" s="202"/>
      <c r="P1447" s="202"/>
    </row>
    <row r="1448" spans="5:16" x14ac:dyDescent="0.25">
      <c r="F1448" s="202"/>
      <c r="G1448" s="202"/>
      <c r="H1448" s="202"/>
      <c r="I1448" s="202"/>
      <c r="J1448" s="202"/>
      <c r="K1448" s="202"/>
      <c r="L1448" s="202"/>
      <c r="M1448" s="202"/>
      <c r="N1448" s="202"/>
      <c r="O1448" s="202"/>
      <c r="P1448" s="202"/>
    </row>
    <row r="1449" spans="5:16" x14ac:dyDescent="0.25">
      <c r="E1449" s="202"/>
    </row>
    <row r="1450" spans="5:16" x14ac:dyDescent="0.25">
      <c r="E1450" s="202"/>
    </row>
    <row r="1453" spans="5:16" x14ac:dyDescent="0.25">
      <c r="F1453" s="203"/>
      <c r="G1453" s="203"/>
      <c r="H1453" s="203"/>
      <c r="I1453" s="203"/>
      <c r="J1453" s="203"/>
      <c r="K1453" s="203"/>
      <c r="L1453" s="203"/>
      <c r="M1453" s="203"/>
      <c r="N1453" s="203"/>
      <c r="O1453" s="203"/>
      <c r="P1453" s="203"/>
    </row>
    <row r="1454" spans="5:16" x14ac:dyDescent="0.25">
      <c r="F1454" s="203"/>
      <c r="G1454" s="203"/>
      <c r="H1454" s="203"/>
      <c r="I1454" s="203"/>
      <c r="J1454" s="203"/>
      <c r="K1454" s="203"/>
      <c r="L1454" s="203"/>
      <c r="M1454" s="203"/>
      <c r="N1454" s="203"/>
      <c r="O1454" s="203"/>
      <c r="P1454" s="203"/>
    </row>
    <row r="1455" spans="5:16" x14ac:dyDescent="0.25">
      <c r="E1455" s="203"/>
      <c r="F1455" s="203"/>
      <c r="G1455" s="203"/>
      <c r="H1455" s="203"/>
      <c r="I1455" s="203"/>
      <c r="J1455" s="203"/>
      <c r="K1455" s="203"/>
      <c r="L1455" s="203"/>
      <c r="M1455" s="203"/>
      <c r="N1455" s="203"/>
      <c r="O1455" s="203"/>
      <c r="P1455" s="203"/>
    </row>
    <row r="1456" spans="5:16" x14ac:dyDescent="0.25">
      <c r="E1456" s="203"/>
    </row>
    <row r="1457" spans="1:17" x14ac:dyDescent="0.25">
      <c r="E1457" s="203"/>
    </row>
    <row r="1464" spans="1:17" x14ac:dyDescent="0.25"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</row>
    <row r="1465" spans="1:17" x14ac:dyDescent="0.25"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</row>
    <row r="1466" spans="1:1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</row>
    <row r="1467" spans="1:17" ht="13" x14ac:dyDescent="0.3">
      <c r="A1467" s="13"/>
      <c r="B1467" s="13"/>
      <c r="C1467" s="13"/>
      <c r="D1467" s="13"/>
      <c r="E1467" s="13"/>
      <c r="F1467" s="215"/>
      <c r="G1467" s="215"/>
      <c r="H1467" s="215"/>
      <c r="I1467" s="215"/>
      <c r="J1467" s="215"/>
      <c r="K1467" s="215"/>
      <c r="L1467" s="215"/>
      <c r="M1467" s="215"/>
      <c r="N1467" s="215"/>
      <c r="O1467" s="215"/>
      <c r="P1467" s="215"/>
      <c r="Q1467" s="215"/>
    </row>
    <row r="1468" spans="1:1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</row>
    <row r="1469" spans="1:17" ht="13" x14ac:dyDescent="0.3">
      <c r="A1469" s="215"/>
      <c r="B1469" s="215"/>
      <c r="C1469" s="215"/>
      <c r="D1469" s="215"/>
      <c r="E1469" s="215"/>
    </row>
    <row r="1470" spans="1:1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</row>
    <row r="1472" spans="1:1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</row>
    <row r="1473" spans="4:16" x14ac:dyDescent="0.25"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</row>
    <row r="1474" spans="4:16" x14ac:dyDescent="0.25">
      <c r="D1474" s="13"/>
      <c r="E1474" s="13"/>
    </row>
    <row r="1475" spans="4:16" x14ac:dyDescent="0.25">
      <c r="D1475" s="13"/>
      <c r="E1475" s="5"/>
    </row>
    <row r="1487" spans="4:16" x14ac:dyDescent="0.25">
      <c r="F1487" s="201"/>
      <c r="G1487" s="201"/>
      <c r="H1487" s="201"/>
      <c r="I1487" s="201"/>
      <c r="J1487" s="201"/>
      <c r="K1487" s="201"/>
      <c r="L1487" s="201"/>
      <c r="M1487" s="201"/>
      <c r="N1487" s="201"/>
      <c r="O1487" s="201"/>
      <c r="P1487" s="201"/>
    </row>
    <row r="1489" spans="5:16" x14ac:dyDescent="0.25">
      <c r="E1489" s="201"/>
    </row>
    <row r="1490" spans="5:16" x14ac:dyDescent="0.25">
      <c r="F1490" s="201"/>
      <c r="G1490" s="201"/>
      <c r="H1490" s="201"/>
      <c r="I1490" s="201"/>
      <c r="J1490" s="201"/>
      <c r="K1490" s="201"/>
      <c r="L1490" s="201"/>
      <c r="M1490" s="201"/>
      <c r="N1490" s="201"/>
      <c r="O1490" s="201"/>
      <c r="P1490" s="201"/>
    </row>
    <row r="1496" spans="5:16" x14ac:dyDescent="0.25">
      <c r="F1496" s="202"/>
      <c r="G1496" s="202"/>
      <c r="H1496" s="202"/>
      <c r="I1496" s="202"/>
      <c r="J1496" s="202"/>
      <c r="K1496" s="202"/>
      <c r="L1496" s="202"/>
      <c r="M1496" s="202"/>
      <c r="N1496" s="202"/>
      <c r="O1496" s="202"/>
      <c r="P1496" s="202"/>
    </row>
    <row r="1497" spans="5:16" x14ac:dyDescent="0.25">
      <c r="F1497" s="202"/>
      <c r="G1497" s="202"/>
      <c r="H1497" s="202"/>
      <c r="I1497" s="202"/>
      <c r="J1497" s="202"/>
      <c r="K1497" s="202"/>
      <c r="L1497" s="202"/>
      <c r="M1497" s="202"/>
      <c r="N1497" s="202"/>
      <c r="O1497" s="202"/>
      <c r="P1497" s="202"/>
    </row>
    <row r="1498" spans="5:16" x14ac:dyDescent="0.25">
      <c r="E1498" s="202"/>
    </row>
    <row r="1499" spans="5:16" x14ac:dyDescent="0.25">
      <c r="E1499" s="202"/>
    </row>
    <row r="1502" spans="5:16" x14ac:dyDescent="0.25">
      <c r="F1502" s="203"/>
      <c r="G1502" s="203"/>
      <c r="H1502" s="203"/>
      <c r="I1502" s="203"/>
      <c r="J1502" s="203"/>
      <c r="K1502" s="203"/>
      <c r="L1502" s="203"/>
      <c r="M1502" s="203"/>
      <c r="N1502" s="203"/>
      <c r="O1502" s="203"/>
      <c r="P1502" s="203"/>
    </row>
    <row r="1503" spans="5:16" x14ac:dyDescent="0.25">
      <c r="F1503" s="203"/>
      <c r="G1503" s="203"/>
      <c r="H1503" s="203"/>
      <c r="I1503" s="203"/>
      <c r="J1503" s="203"/>
      <c r="K1503" s="203"/>
      <c r="L1503" s="203"/>
      <c r="M1503" s="203"/>
      <c r="N1503" s="203"/>
      <c r="O1503" s="203"/>
      <c r="P1503" s="203"/>
    </row>
    <row r="1504" spans="5:16" x14ac:dyDescent="0.25">
      <c r="E1504" s="203"/>
      <c r="F1504" s="203"/>
      <c r="G1504" s="203"/>
      <c r="H1504" s="203"/>
      <c r="I1504" s="203"/>
      <c r="J1504" s="203"/>
      <c r="K1504" s="203"/>
      <c r="L1504" s="203"/>
      <c r="M1504" s="203"/>
      <c r="N1504" s="203"/>
      <c r="O1504" s="203"/>
      <c r="P1504" s="203"/>
    </row>
    <row r="1505" spans="1:17" x14ac:dyDescent="0.25">
      <c r="E1505" s="203"/>
    </row>
    <row r="1506" spans="1:17" x14ac:dyDescent="0.25">
      <c r="E1506" s="203"/>
    </row>
    <row r="1512" spans="1:17" ht="16.899999999999999" customHeight="1" x14ac:dyDescent="0.25"/>
    <row r="1513" spans="1:17" x14ac:dyDescent="0.25"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</row>
    <row r="1514" spans="1:17" x14ac:dyDescent="0.25"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</row>
    <row r="1515" spans="1:1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</row>
    <row r="1516" spans="1:17" ht="13" x14ac:dyDescent="0.3">
      <c r="A1516" s="13"/>
      <c r="B1516" s="13"/>
      <c r="C1516" s="13"/>
      <c r="D1516" s="13"/>
      <c r="E1516" s="13"/>
      <c r="F1516" s="215"/>
      <c r="G1516" s="215"/>
      <c r="H1516" s="215"/>
      <c r="I1516" s="215"/>
      <c r="J1516" s="215"/>
      <c r="K1516" s="215"/>
      <c r="L1516" s="215"/>
      <c r="M1516" s="215"/>
      <c r="N1516" s="215"/>
      <c r="O1516" s="215"/>
      <c r="P1516" s="215"/>
      <c r="Q1516" s="215"/>
    </row>
    <row r="1517" spans="1:1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</row>
    <row r="1518" spans="1:17" ht="13" x14ac:dyDescent="0.3">
      <c r="A1518" s="215"/>
      <c r="B1518" s="215"/>
      <c r="C1518" s="215"/>
      <c r="D1518" s="215"/>
      <c r="E1518" s="215"/>
    </row>
    <row r="1519" spans="1:1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</row>
    <row r="1521" spans="1:16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</row>
    <row r="1522" spans="1:16" x14ac:dyDescent="0.25"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</row>
    <row r="1523" spans="1:16" x14ac:dyDescent="0.25">
      <c r="D1523" s="13"/>
      <c r="E1523" s="13"/>
    </row>
    <row r="1524" spans="1:16" x14ac:dyDescent="0.25">
      <c r="D1524" s="13"/>
      <c r="E1524" s="5"/>
    </row>
    <row r="1536" spans="1:16" x14ac:dyDescent="0.25">
      <c r="F1536" s="201"/>
      <c r="G1536" s="201"/>
      <c r="H1536" s="201"/>
      <c r="I1536" s="201"/>
      <c r="J1536" s="201"/>
      <c r="K1536" s="201"/>
      <c r="L1536" s="201"/>
      <c r="M1536" s="201"/>
      <c r="N1536" s="201"/>
      <c r="O1536" s="201"/>
      <c r="P1536" s="201"/>
    </row>
    <row r="1538" spans="5:16" x14ac:dyDescent="0.25">
      <c r="E1538" s="201"/>
    </row>
    <row r="1539" spans="5:16" x14ac:dyDescent="0.25">
      <c r="F1539" s="201"/>
      <c r="G1539" s="201"/>
      <c r="H1539" s="201"/>
      <c r="I1539" s="201"/>
      <c r="J1539" s="201"/>
      <c r="K1539" s="201"/>
      <c r="L1539" s="201"/>
      <c r="M1539" s="201"/>
      <c r="N1539" s="201"/>
      <c r="O1539" s="201"/>
      <c r="P1539" s="201"/>
    </row>
    <row r="1545" spans="5:16" x14ac:dyDescent="0.25">
      <c r="F1545" s="202"/>
      <c r="G1545" s="202"/>
      <c r="H1545" s="202"/>
      <c r="I1545" s="202"/>
      <c r="J1545" s="202"/>
      <c r="K1545" s="202"/>
      <c r="L1545" s="202"/>
      <c r="M1545" s="202"/>
      <c r="N1545" s="202"/>
      <c r="O1545" s="202"/>
      <c r="P1545" s="202"/>
    </row>
    <row r="1546" spans="5:16" x14ac:dyDescent="0.25">
      <c r="F1546" s="202"/>
      <c r="G1546" s="202"/>
      <c r="H1546" s="202"/>
      <c r="I1546" s="202"/>
      <c r="J1546" s="202"/>
      <c r="K1546" s="202"/>
      <c r="L1546" s="202"/>
      <c r="M1546" s="202"/>
      <c r="N1546" s="202"/>
      <c r="O1546" s="202"/>
      <c r="P1546" s="202"/>
    </row>
    <row r="1547" spans="5:16" x14ac:dyDescent="0.25">
      <c r="E1547" s="202"/>
    </row>
    <row r="1548" spans="5:16" x14ac:dyDescent="0.25">
      <c r="E1548" s="202"/>
    </row>
    <row r="1551" spans="5:16" x14ac:dyDescent="0.25">
      <c r="F1551" s="203"/>
      <c r="G1551" s="203"/>
      <c r="H1551" s="203"/>
      <c r="I1551" s="203"/>
      <c r="J1551" s="203"/>
      <c r="K1551" s="203"/>
      <c r="L1551" s="203"/>
      <c r="M1551" s="203"/>
      <c r="N1551" s="203"/>
      <c r="O1551" s="203"/>
      <c r="P1551" s="203"/>
    </row>
    <row r="1552" spans="5:16" x14ac:dyDescent="0.25">
      <c r="F1552" s="203"/>
      <c r="G1552" s="203"/>
      <c r="H1552" s="203"/>
      <c r="I1552" s="203"/>
      <c r="J1552" s="203"/>
      <c r="K1552" s="203"/>
      <c r="L1552" s="203"/>
      <c r="M1552" s="203"/>
      <c r="N1552" s="203"/>
      <c r="O1552" s="203"/>
      <c r="P1552" s="203"/>
    </row>
    <row r="1553" spans="1:17" x14ac:dyDescent="0.25">
      <c r="E1553" s="203"/>
      <c r="F1553" s="203"/>
      <c r="G1553" s="203"/>
      <c r="H1553" s="203"/>
      <c r="I1553" s="203"/>
      <c r="J1553" s="203"/>
      <c r="K1553" s="203"/>
      <c r="L1553" s="203"/>
      <c r="M1553" s="203"/>
      <c r="N1553" s="203"/>
      <c r="O1553" s="203"/>
      <c r="P1553" s="203"/>
    </row>
    <row r="1554" spans="1:17" x14ac:dyDescent="0.25">
      <c r="E1554" s="203"/>
    </row>
    <row r="1555" spans="1:17" x14ac:dyDescent="0.25">
      <c r="E1555" s="203"/>
    </row>
    <row r="1562" spans="1:17" x14ac:dyDescent="0.25"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</row>
    <row r="1563" spans="1:17" x14ac:dyDescent="0.25"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</row>
    <row r="1564" spans="1:1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</row>
    <row r="1565" spans="1:17" ht="13" x14ac:dyDescent="0.3">
      <c r="A1565" s="13"/>
      <c r="B1565" s="13"/>
      <c r="C1565" s="13"/>
      <c r="D1565" s="13"/>
      <c r="E1565" s="13"/>
      <c r="F1565" s="215"/>
      <c r="G1565" s="215"/>
      <c r="H1565" s="215"/>
      <c r="I1565" s="215"/>
      <c r="J1565" s="215"/>
      <c r="K1565" s="215"/>
      <c r="L1565" s="215"/>
      <c r="M1565" s="215"/>
      <c r="N1565" s="215"/>
      <c r="O1565" s="215"/>
      <c r="P1565" s="215"/>
      <c r="Q1565" s="215"/>
    </row>
    <row r="1566" spans="1:1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</row>
    <row r="1567" spans="1:17" ht="13" x14ac:dyDescent="0.3">
      <c r="A1567" s="215"/>
      <c r="B1567" s="215"/>
      <c r="C1567" s="215"/>
      <c r="D1567" s="215"/>
      <c r="E1567" s="215"/>
    </row>
    <row r="1568" spans="1:1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</row>
    <row r="1570" spans="1:16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</row>
    <row r="1571" spans="1:16" x14ac:dyDescent="0.25"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</row>
    <row r="1572" spans="1:16" x14ac:dyDescent="0.25">
      <c r="D1572" s="13"/>
      <c r="E1572" s="13"/>
    </row>
    <row r="1573" spans="1:16" x14ac:dyDescent="0.25">
      <c r="D1573" s="13"/>
      <c r="E1573" s="5"/>
    </row>
    <row r="1585" spans="5:16" x14ac:dyDescent="0.25">
      <c r="F1585" s="201"/>
      <c r="G1585" s="201"/>
      <c r="H1585" s="201"/>
      <c r="I1585" s="201"/>
      <c r="J1585" s="201"/>
      <c r="K1585" s="201"/>
      <c r="L1585" s="201"/>
      <c r="M1585" s="201"/>
      <c r="N1585" s="201"/>
      <c r="O1585" s="201"/>
      <c r="P1585" s="201"/>
    </row>
    <row r="1587" spans="5:16" x14ac:dyDescent="0.25">
      <c r="E1587" s="201"/>
    </row>
    <row r="1588" spans="5:16" x14ac:dyDescent="0.25">
      <c r="F1588" s="201"/>
      <c r="G1588" s="201"/>
      <c r="H1588" s="201"/>
      <c r="I1588" s="201"/>
      <c r="J1588" s="201"/>
      <c r="K1588" s="201"/>
      <c r="L1588" s="201"/>
      <c r="M1588" s="201"/>
      <c r="N1588" s="201"/>
      <c r="O1588" s="201"/>
      <c r="P1588" s="201"/>
    </row>
    <row r="1594" spans="5:16" x14ac:dyDescent="0.25">
      <c r="F1594" s="202"/>
      <c r="G1594" s="202"/>
      <c r="H1594" s="202"/>
      <c r="I1594" s="202"/>
      <c r="J1594" s="202"/>
      <c r="K1594" s="202"/>
      <c r="L1594" s="202"/>
      <c r="M1594" s="202"/>
      <c r="N1594" s="202"/>
      <c r="O1594" s="202"/>
      <c r="P1594" s="202"/>
    </row>
    <row r="1595" spans="5:16" x14ac:dyDescent="0.25">
      <c r="F1595" s="202"/>
      <c r="G1595" s="202"/>
      <c r="H1595" s="202"/>
      <c r="I1595" s="202"/>
      <c r="J1595" s="202"/>
      <c r="K1595" s="202"/>
      <c r="L1595" s="202"/>
      <c r="M1595" s="202"/>
      <c r="N1595" s="202"/>
      <c r="O1595" s="202"/>
      <c r="P1595" s="202"/>
    </row>
    <row r="1596" spans="5:16" x14ac:dyDescent="0.25">
      <c r="E1596" s="202"/>
    </row>
    <row r="1597" spans="5:16" x14ac:dyDescent="0.25">
      <c r="E1597" s="202"/>
    </row>
    <row r="1600" spans="5:16" x14ac:dyDescent="0.25">
      <c r="F1600" s="203"/>
      <c r="G1600" s="203"/>
      <c r="H1600" s="203"/>
      <c r="I1600" s="203"/>
      <c r="J1600" s="203"/>
      <c r="K1600" s="203"/>
      <c r="L1600" s="203"/>
      <c r="M1600" s="203"/>
      <c r="N1600" s="203"/>
      <c r="O1600" s="203"/>
      <c r="P1600" s="203"/>
    </row>
    <row r="1601" spans="2:16" x14ac:dyDescent="0.25">
      <c r="F1601" s="203"/>
      <c r="G1601" s="203"/>
      <c r="H1601" s="203"/>
      <c r="I1601" s="203"/>
      <c r="J1601" s="203"/>
      <c r="K1601" s="203"/>
      <c r="L1601" s="203"/>
      <c r="M1601" s="203"/>
      <c r="N1601" s="203"/>
      <c r="O1601" s="203"/>
      <c r="P1601" s="203"/>
    </row>
    <row r="1602" spans="2:16" x14ac:dyDescent="0.25">
      <c r="E1602" s="203"/>
      <c r="F1602" s="203"/>
      <c r="G1602" s="203"/>
      <c r="H1602" s="203"/>
      <c r="I1602" s="203"/>
      <c r="J1602" s="203"/>
      <c r="K1602" s="203"/>
      <c r="L1602" s="203"/>
      <c r="M1602" s="203"/>
      <c r="N1602" s="203"/>
      <c r="O1602" s="203"/>
      <c r="P1602" s="203"/>
    </row>
    <row r="1603" spans="2:16" x14ac:dyDescent="0.25">
      <c r="E1603" s="203"/>
    </row>
    <row r="1604" spans="2:16" x14ac:dyDescent="0.25">
      <c r="E1604" s="203"/>
    </row>
    <row r="1611" spans="2:16" ht="13" x14ac:dyDescent="0.3">
      <c r="F1611" s="188"/>
      <c r="G1611" s="188"/>
      <c r="H1611" s="187"/>
      <c r="I1611" s="188"/>
    </row>
    <row r="1612" spans="2:16" x14ac:dyDescent="0.25">
      <c r="F1612" s="188"/>
      <c r="G1612" s="188"/>
      <c r="H1612" s="188"/>
      <c r="I1612" s="188"/>
    </row>
    <row r="1613" spans="2:16" ht="13" x14ac:dyDescent="0.3">
      <c r="B1613" s="187"/>
      <c r="C1613" s="188"/>
      <c r="D1613" s="188"/>
      <c r="E1613" s="188"/>
      <c r="F1613" s="188"/>
      <c r="G1613" s="188"/>
      <c r="H1613" s="188"/>
      <c r="I1613" s="188"/>
    </row>
    <row r="1614" spans="2:16" ht="13" x14ac:dyDescent="0.3">
      <c r="B1614" s="188"/>
      <c r="C1614" s="188"/>
      <c r="D1614" s="188"/>
      <c r="E1614" s="188"/>
      <c r="F1614" s="188"/>
      <c r="G1614" s="188"/>
      <c r="H1614" s="186"/>
      <c r="I1614" s="188"/>
    </row>
    <row r="1615" spans="2:16" x14ac:dyDescent="0.25">
      <c r="B1615" s="188"/>
      <c r="C1615" s="188"/>
      <c r="D1615" s="188"/>
      <c r="E1615" s="188"/>
      <c r="F1615" s="188"/>
      <c r="G1615" s="188"/>
      <c r="H1615" s="188"/>
      <c r="I1615" s="188"/>
    </row>
    <row r="1616" spans="2:16" ht="13" x14ac:dyDescent="0.3">
      <c r="B1616" s="186"/>
      <c r="C1616" s="188"/>
      <c r="D1616" s="188"/>
      <c r="E1616" s="188"/>
      <c r="F1616" s="188"/>
      <c r="G1616" s="188"/>
      <c r="H1616" s="188"/>
      <c r="I1616" s="188"/>
    </row>
    <row r="1617" spans="1:17" x14ac:dyDescent="0.25">
      <c r="B1617" s="188"/>
      <c r="C1617" s="188"/>
      <c r="D1617" s="188"/>
      <c r="E1617" s="188"/>
      <c r="F1617" s="188"/>
      <c r="G1617" s="188"/>
      <c r="H1617" s="188"/>
    </row>
    <row r="1618" spans="1:17" x14ac:dyDescent="0.25">
      <c r="B1618" s="188"/>
      <c r="C1618" s="188"/>
      <c r="D1618" s="188"/>
      <c r="E1618" s="188"/>
      <c r="F1618" s="188"/>
      <c r="G1618" s="188"/>
      <c r="H1618" s="206"/>
      <c r="I1618" s="188"/>
    </row>
    <row r="1619" spans="1:17" x14ac:dyDescent="0.25">
      <c r="B1619" s="188"/>
      <c r="C1619" s="188"/>
      <c r="F1619" s="188"/>
      <c r="G1619" s="188"/>
      <c r="H1619" s="188"/>
      <c r="I1619" s="188"/>
    </row>
    <row r="1620" spans="1:17" x14ac:dyDescent="0.25">
      <c r="B1620" s="206"/>
      <c r="C1620" s="188"/>
      <c r="D1620" s="188"/>
      <c r="E1620" s="188"/>
      <c r="F1620" s="188"/>
      <c r="G1620" s="188"/>
      <c r="H1620" s="188"/>
      <c r="I1620" s="188"/>
    </row>
    <row r="1621" spans="1:17" x14ac:dyDescent="0.25">
      <c r="B1621" s="188"/>
      <c r="C1621" s="188"/>
      <c r="D1621" s="188"/>
      <c r="E1621" s="188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5"/>
    </row>
    <row r="1622" spans="1:17" x14ac:dyDescent="0.25">
      <c r="A1622" s="206"/>
      <c r="B1622" s="206"/>
      <c r="C1622" s="188"/>
      <c r="D1622" s="188"/>
      <c r="E1622" s="188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</row>
    <row r="1623" spans="1:17" x14ac:dyDescent="0.25">
      <c r="A1623" s="5"/>
      <c r="B1623" s="5"/>
      <c r="C1623" s="5"/>
      <c r="D1623" s="13"/>
      <c r="E1623" s="13"/>
    </row>
    <row r="1624" spans="1:17" x14ac:dyDescent="0.25">
      <c r="A1624" s="23"/>
      <c r="B1624" s="23"/>
      <c r="C1624" s="23"/>
      <c r="D1624" s="13"/>
      <c r="E1624" s="5"/>
    </row>
    <row r="1625" spans="1:17" x14ac:dyDescent="0.25">
      <c r="A1625" s="23"/>
      <c r="B1625" s="23"/>
      <c r="C1625" s="23"/>
    </row>
    <row r="1626" spans="1:17" x14ac:dyDescent="0.25">
      <c r="A1626" s="23"/>
      <c r="B1626" s="23"/>
      <c r="C1626" s="23"/>
    </row>
    <row r="1627" spans="1:17" x14ac:dyDescent="0.25">
      <c r="A1627" s="23"/>
      <c r="B1627" s="23"/>
      <c r="C1627" s="23"/>
    </row>
    <row r="1628" spans="1:17" x14ac:dyDescent="0.25">
      <c r="A1628" s="23"/>
      <c r="B1628" s="23"/>
      <c r="C1628" s="23"/>
    </row>
    <row r="1629" spans="1:17" x14ac:dyDescent="0.25">
      <c r="A1629" s="23"/>
      <c r="B1629" s="23"/>
      <c r="C1629" s="23"/>
    </row>
    <row r="1630" spans="1:17" x14ac:dyDescent="0.25">
      <c r="A1630" s="23"/>
      <c r="B1630" s="23"/>
      <c r="C1630" s="23"/>
    </row>
    <row r="1631" spans="1:17" x14ac:dyDescent="0.25">
      <c r="A1631" s="23"/>
      <c r="B1631" s="23"/>
      <c r="C1631" s="23"/>
    </row>
    <row r="1632" spans="1:17" x14ac:dyDescent="0.25">
      <c r="A1632" s="23"/>
      <c r="B1632" s="23"/>
      <c r="C1632" s="23"/>
    </row>
    <row r="1633" spans="1:16" x14ac:dyDescent="0.25">
      <c r="A1633" s="23"/>
      <c r="B1633" s="23"/>
      <c r="C1633" s="23"/>
    </row>
    <row r="1634" spans="1:16" x14ac:dyDescent="0.25">
      <c r="A1634" s="23"/>
      <c r="B1634" s="23"/>
      <c r="C1634" s="23"/>
    </row>
    <row r="1635" spans="1:16" x14ac:dyDescent="0.25">
      <c r="A1635" s="23"/>
      <c r="B1635" s="23"/>
      <c r="C1635" s="23"/>
    </row>
    <row r="1636" spans="1:16" x14ac:dyDescent="0.25">
      <c r="A1636" s="23"/>
      <c r="B1636" s="23"/>
      <c r="C1636" s="23"/>
      <c r="F1636" s="201"/>
      <c r="G1636" s="201"/>
      <c r="H1636" s="201"/>
      <c r="I1636" s="201"/>
      <c r="J1636" s="201"/>
      <c r="K1636" s="201"/>
      <c r="L1636" s="201"/>
      <c r="M1636" s="201"/>
      <c r="N1636" s="201"/>
      <c r="O1636" s="201"/>
      <c r="P1636" s="201"/>
    </row>
    <row r="1637" spans="1:16" x14ac:dyDescent="0.25">
      <c r="A1637" s="23"/>
      <c r="B1637" s="23"/>
      <c r="C1637" s="23"/>
    </row>
    <row r="1638" spans="1:16" x14ac:dyDescent="0.25">
      <c r="A1638" s="23"/>
      <c r="B1638" s="23"/>
      <c r="C1638" s="23"/>
      <c r="E1638" s="201"/>
    </row>
    <row r="1639" spans="1:16" x14ac:dyDescent="0.25">
      <c r="A1639" s="23"/>
      <c r="B1639" s="23"/>
      <c r="C1639" s="23"/>
      <c r="F1639" s="201"/>
      <c r="G1639" s="201"/>
      <c r="H1639" s="201"/>
      <c r="I1639" s="201"/>
      <c r="J1639" s="201"/>
      <c r="K1639" s="201"/>
      <c r="L1639" s="201"/>
      <c r="M1639" s="201"/>
      <c r="N1639" s="201"/>
      <c r="O1639" s="201"/>
      <c r="P1639" s="201"/>
    </row>
    <row r="1640" spans="1:16" x14ac:dyDescent="0.25">
      <c r="A1640" s="23"/>
      <c r="B1640" s="23"/>
      <c r="C1640" s="23"/>
    </row>
    <row r="1641" spans="1:16" x14ac:dyDescent="0.25">
      <c r="A1641" s="23"/>
      <c r="B1641" s="23"/>
      <c r="C1641" s="23"/>
    </row>
    <row r="1642" spans="1:16" x14ac:dyDescent="0.25">
      <c r="A1642" s="23"/>
      <c r="B1642" s="23"/>
      <c r="C1642" s="23"/>
    </row>
    <row r="1643" spans="1:16" x14ac:dyDescent="0.25">
      <c r="A1643" s="23"/>
      <c r="B1643" s="23"/>
      <c r="C1643" s="23"/>
    </row>
    <row r="1644" spans="1:16" x14ac:dyDescent="0.25">
      <c r="A1644" s="23"/>
      <c r="B1644" s="23"/>
      <c r="C1644" s="23"/>
    </row>
    <row r="1645" spans="1:16" x14ac:dyDescent="0.25">
      <c r="A1645" s="23"/>
      <c r="B1645" s="23"/>
      <c r="C1645" s="23"/>
      <c r="F1645" s="202"/>
      <c r="G1645" s="202"/>
      <c r="H1645" s="202"/>
      <c r="I1645" s="202"/>
      <c r="J1645" s="202"/>
      <c r="K1645" s="202"/>
      <c r="L1645" s="202"/>
      <c r="M1645" s="202"/>
      <c r="N1645" s="202"/>
      <c r="O1645" s="202"/>
      <c r="P1645" s="202"/>
    </row>
    <row r="1646" spans="1:16" x14ac:dyDescent="0.25">
      <c r="A1646" s="23"/>
      <c r="B1646" s="23"/>
      <c r="C1646" s="23"/>
      <c r="F1646" s="202"/>
      <c r="G1646" s="202"/>
      <c r="H1646" s="202"/>
      <c r="I1646" s="202"/>
      <c r="J1646" s="202"/>
      <c r="K1646" s="202"/>
      <c r="L1646" s="202"/>
      <c r="M1646" s="202"/>
      <c r="N1646" s="202"/>
      <c r="O1646" s="202"/>
      <c r="P1646" s="202"/>
    </row>
    <row r="1647" spans="1:16" x14ac:dyDescent="0.25">
      <c r="A1647" s="23"/>
      <c r="B1647" s="23"/>
      <c r="C1647" s="23"/>
      <c r="E1647" s="202"/>
    </row>
    <row r="1648" spans="1:16" x14ac:dyDescent="0.25">
      <c r="A1648" s="23"/>
      <c r="B1648" s="23"/>
      <c r="C1648" s="23"/>
      <c r="E1648" s="202"/>
    </row>
    <row r="1649" spans="1:16" x14ac:dyDescent="0.25">
      <c r="A1649" s="23"/>
      <c r="B1649" s="23"/>
      <c r="C1649" s="23"/>
    </row>
    <row r="1650" spans="1:16" x14ac:dyDescent="0.25">
      <c r="A1650" s="23"/>
      <c r="B1650" s="23"/>
      <c r="C1650" s="23"/>
    </row>
    <row r="1651" spans="1:16" x14ac:dyDescent="0.25">
      <c r="A1651" s="23"/>
      <c r="B1651" s="23"/>
      <c r="C1651" s="23"/>
      <c r="F1651" s="203"/>
      <c r="G1651" s="203"/>
      <c r="H1651" s="203"/>
      <c r="I1651" s="203"/>
      <c r="J1651" s="203"/>
      <c r="K1651" s="203"/>
      <c r="L1651" s="203"/>
      <c r="M1651" s="203"/>
      <c r="N1651" s="203"/>
      <c r="O1651" s="203"/>
      <c r="P1651" s="203"/>
    </row>
    <row r="1652" spans="1:16" x14ac:dyDescent="0.25">
      <c r="A1652" s="23"/>
      <c r="B1652" s="23"/>
      <c r="C1652" s="23"/>
      <c r="F1652" s="203"/>
      <c r="G1652" s="203"/>
      <c r="H1652" s="203"/>
      <c r="I1652" s="203"/>
      <c r="J1652" s="203"/>
      <c r="K1652" s="203"/>
      <c r="L1652" s="203"/>
      <c r="M1652" s="203"/>
      <c r="N1652" s="203"/>
      <c r="O1652" s="203"/>
      <c r="P1652" s="203"/>
    </row>
    <row r="1653" spans="1:16" x14ac:dyDescent="0.25">
      <c r="A1653" s="23"/>
      <c r="B1653" s="23"/>
      <c r="C1653" s="23"/>
      <c r="E1653" s="203"/>
      <c r="F1653" s="203"/>
      <c r="G1653" s="203"/>
      <c r="H1653" s="203"/>
      <c r="I1653" s="203"/>
      <c r="J1653" s="203"/>
      <c r="K1653" s="203"/>
      <c r="L1653" s="203"/>
      <c r="M1653" s="203"/>
      <c r="N1653" s="203"/>
      <c r="O1653" s="203"/>
      <c r="P1653" s="203"/>
    </row>
    <row r="1654" spans="1:16" x14ac:dyDescent="0.25">
      <c r="A1654" s="23"/>
      <c r="B1654" s="23"/>
      <c r="C1654" s="23"/>
      <c r="E1654" s="203"/>
    </row>
    <row r="1655" spans="1:16" x14ac:dyDescent="0.25">
      <c r="A1655" s="23"/>
      <c r="B1655" s="23"/>
      <c r="C1655" s="23"/>
      <c r="E1655" s="203"/>
    </row>
    <row r="1656" spans="1:16" x14ac:dyDescent="0.25">
      <c r="A1656" s="23"/>
      <c r="B1656" s="23"/>
      <c r="C1656" s="23"/>
    </row>
    <row r="1657" spans="1:16" x14ac:dyDescent="0.25">
      <c r="A1657" s="23"/>
      <c r="B1657" s="23"/>
      <c r="C1657" s="23"/>
    </row>
    <row r="1658" spans="1:16" x14ac:dyDescent="0.25">
      <c r="A1658" s="23"/>
      <c r="B1658" s="23"/>
      <c r="C1658" s="23"/>
    </row>
    <row r="1662" spans="1:16" ht="13" x14ac:dyDescent="0.3">
      <c r="F1662" s="188"/>
      <c r="G1662" s="188"/>
      <c r="H1662" s="187"/>
      <c r="I1662" s="188"/>
    </row>
    <row r="1663" spans="1:16" x14ac:dyDescent="0.25">
      <c r="F1663" s="188"/>
      <c r="G1663" s="188"/>
      <c r="H1663" s="188"/>
      <c r="I1663" s="188"/>
    </row>
    <row r="1664" spans="1:16" ht="13" x14ac:dyDescent="0.3">
      <c r="B1664" s="187"/>
      <c r="C1664" s="188"/>
      <c r="D1664" s="188"/>
      <c r="E1664" s="188"/>
      <c r="F1664" s="188"/>
      <c r="G1664" s="188"/>
      <c r="H1664" s="186"/>
      <c r="I1664" s="188"/>
    </row>
    <row r="1665" spans="1:17" ht="13" x14ac:dyDescent="0.3">
      <c r="B1665" s="188"/>
      <c r="C1665" s="188"/>
      <c r="D1665" s="188"/>
      <c r="E1665" s="188"/>
      <c r="F1665" s="188"/>
      <c r="G1665" s="188"/>
      <c r="H1665" s="186"/>
      <c r="I1665" s="188"/>
    </row>
    <row r="1666" spans="1:17" x14ac:dyDescent="0.25">
      <c r="B1666" s="188"/>
      <c r="C1666" s="188"/>
      <c r="D1666" s="188"/>
      <c r="E1666" s="188"/>
      <c r="F1666" s="188"/>
      <c r="G1666" s="188"/>
      <c r="H1666" s="188"/>
      <c r="I1666" s="188"/>
    </row>
    <row r="1667" spans="1:17" ht="13" x14ac:dyDescent="0.3">
      <c r="B1667" s="186"/>
      <c r="C1667" s="188"/>
      <c r="D1667" s="188"/>
      <c r="E1667" s="188"/>
      <c r="F1667" s="188"/>
      <c r="G1667" s="188"/>
      <c r="H1667" s="188"/>
      <c r="I1667" s="188"/>
    </row>
    <row r="1668" spans="1:17" x14ac:dyDescent="0.25">
      <c r="B1668" s="188"/>
      <c r="C1668" s="188"/>
      <c r="D1668" s="188"/>
      <c r="E1668" s="188"/>
      <c r="F1668" s="188"/>
      <c r="G1668" s="188"/>
      <c r="H1668" s="188"/>
    </row>
    <row r="1669" spans="1:17" x14ac:dyDescent="0.25">
      <c r="B1669" s="188"/>
      <c r="C1669" s="188"/>
      <c r="D1669" s="188"/>
      <c r="E1669" s="188"/>
      <c r="F1669" s="188"/>
      <c r="G1669" s="188"/>
      <c r="H1669" s="206"/>
      <c r="I1669" s="188"/>
    </row>
    <row r="1670" spans="1:17" x14ac:dyDescent="0.25">
      <c r="B1670" s="188"/>
      <c r="C1670" s="188"/>
      <c r="F1670" s="188"/>
      <c r="G1670" s="188"/>
      <c r="H1670" s="188"/>
      <c r="I1670" s="188"/>
    </row>
    <row r="1671" spans="1:17" x14ac:dyDescent="0.25">
      <c r="B1671" s="206"/>
      <c r="C1671" s="188"/>
      <c r="D1671" s="188"/>
      <c r="E1671" s="188"/>
      <c r="F1671" s="188"/>
      <c r="G1671" s="188"/>
      <c r="H1671" s="188"/>
      <c r="I1671" s="188"/>
    </row>
    <row r="1672" spans="1:17" x14ac:dyDescent="0.25">
      <c r="B1672" s="188"/>
      <c r="C1672" s="188"/>
      <c r="D1672" s="188"/>
      <c r="E1672" s="188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5"/>
    </row>
    <row r="1673" spans="1:17" x14ac:dyDescent="0.25">
      <c r="A1673" s="206"/>
      <c r="B1673" s="206"/>
      <c r="C1673" s="188"/>
      <c r="D1673" s="188"/>
      <c r="E1673" s="188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</row>
    <row r="1674" spans="1:17" x14ac:dyDescent="0.25">
      <c r="A1674" s="5"/>
      <c r="B1674" s="5"/>
      <c r="C1674" s="5"/>
      <c r="D1674" s="13"/>
      <c r="E1674" s="13"/>
    </row>
    <row r="1675" spans="1:17" x14ac:dyDescent="0.25">
      <c r="A1675" s="23"/>
      <c r="B1675" s="23"/>
      <c r="C1675" s="23"/>
      <c r="D1675" s="13"/>
      <c r="E1675" s="5"/>
    </row>
    <row r="1676" spans="1:17" x14ac:dyDescent="0.25">
      <c r="A1676" s="23"/>
      <c r="B1676" s="23"/>
      <c r="C1676" s="23"/>
    </row>
    <row r="1677" spans="1:17" x14ac:dyDescent="0.25">
      <c r="A1677" s="23"/>
      <c r="B1677" s="23"/>
      <c r="C1677" s="23"/>
    </row>
    <row r="1678" spans="1:17" x14ac:dyDescent="0.25">
      <c r="A1678" s="23"/>
      <c r="B1678" s="23"/>
      <c r="C1678" s="23"/>
    </row>
    <row r="1679" spans="1:17" x14ac:dyDescent="0.25">
      <c r="A1679" s="23"/>
      <c r="B1679" s="23"/>
      <c r="C1679" s="23"/>
    </row>
    <row r="1680" spans="1:17" x14ac:dyDescent="0.25">
      <c r="A1680" s="23"/>
      <c r="B1680" s="23"/>
      <c r="C1680" s="23"/>
    </row>
    <row r="1681" spans="1:16" x14ac:dyDescent="0.25">
      <c r="A1681" s="23"/>
      <c r="B1681" s="23"/>
      <c r="C1681" s="23"/>
    </row>
    <row r="1682" spans="1:16" x14ac:dyDescent="0.25">
      <c r="A1682" s="23"/>
      <c r="B1682" s="23"/>
      <c r="C1682" s="23"/>
    </row>
    <row r="1683" spans="1:16" x14ac:dyDescent="0.25">
      <c r="A1683" s="23"/>
      <c r="B1683" s="23"/>
      <c r="C1683" s="23"/>
    </row>
    <row r="1684" spans="1:16" x14ac:dyDescent="0.25">
      <c r="A1684" s="23"/>
      <c r="B1684" s="23"/>
      <c r="C1684" s="23"/>
    </row>
    <row r="1685" spans="1:16" x14ac:dyDescent="0.25">
      <c r="A1685" s="23"/>
      <c r="B1685" s="23"/>
      <c r="C1685" s="23"/>
    </row>
    <row r="1686" spans="1:16" x14ac:dyDescent="0.25">
      <c r="A1686" s="23"/>
      <c r="B1686" s="23"/>
      <c r="C1686" s="23"/>
    </row>
    <row r="1687" spans="1:16" x14ac:dyDescent="0.25">
      <c r="A1687" s="23"/>
      <c r="B1687" s="23"/>
      <c r="C1687" s="23"/>
      <c r="F1687" s="201"/>
      <c r="G1687" s="201"/>
      <c r="H1687" s="201"/>
      <c r="I1687" s="201"/>
      <c r="J1687" s="201"/>
      <c r="K1687" s="201"/>
      <c r="L1687" s="201"/>
      <c r="M1687" s="201"/>
      <c r="N1687" s="201"/>
      <c r="O1687" s="201"/>
      <c r="P1687" s="201"/>
    </row>
    <row r="1688" spans="1:16" x14ac:dyDescent="0.25">
      <c r="A1688" s="23"/>
      <c r="B1688" s="23"/>
      <c r="C1688" s="23"/>
    </row>
    <row r="1689" spans="1:16" x14ac:dyDescent="0.25">
      <c r="A1689" s="23"/>
      <c r="B1689" s="23"/>
      <c r="C1689" s="23"/>
      <c r="E1689" s="201"/>
    </row>
    <row r="1690" spans="1:16" x14ac:dyDescent="0.25">
      <c r="A1690" s="23"/>
      <c r="B1690" s="23"/>
      <c r="C1690" s="23"/>
      <c r="F1690" s="201"/>
      <c r="G1690" s="201"/>
      <c r="H1690" s="201"/>
      <c r="I1690" s="201"/>
      <c r="J1690" s="201"/>
      <c r="K1690" s="201"/>
      <c r="L1690" s="201"/>
      <c r="M1690" s="201"/>
      <c r="N1690" s="201"/>
      <c r="O1690" s="201"/>
      <c r="P1690" s="201"/>
    </row>
    <row r="1691" spans="1:16" x14ac:dyDescent="0.25">
      <c r="A1691" s="23"/>
      <c r="B1691" s="23"/>
      <c r="C1691" s="23"/>
    </row>
    <row r="1692" spans="1:16" x14ac:dyDescent="0.25">
      <c r="A1692" s="23"/>
      <c r="B1692" s="23"/>
      <c r="C1692" s="23"/>
    </row>
    <row r="1693" spans="1:16" x14ac:dyDescent="0.25">
      <c r="A1693" s="23"/>
      <c r="B1693" s="23"/>
      <c r="C1693" s="23"/>
    </row>
    <row r="1694" spans="1:16" x14ac:dyDescent="0.25">
      <c r="A1694" s="23"/>
      <c r="B1694" s="23"/>
      <c r="C1694" s="23"/>
    </row>
    <row r="1695" spans="1:16" x14ac:dyDescent="0.25">
      <c r="A1695" s="23"/>
      <c r="B1695" s="23"/>
      <c r="C1695" s="23"/>
    </row>
    <row r="1696" spans="1:16" x14ac:dyDescent="0.25">
      <c r="A1696" s="23"/>
      <c r="B1696" s="23"/>
      <c r="C1696" s="23"/>
      <c r="F1696" s="202"/>
      <c r="G1696" s="202"/>
      <c r="H1696" s="202"/>
      <c r="I1696" s="202"/>
      <c r="J1696" s="202"/>
      <c r="K1696" s="202"/>
      <c r="L1696" s="202"/>
      <c r="M1696" s="202"/>
      <c r="N1696" s="202"/>
      <c r="O1696" s="202"/>
      <c r="P1696" s="202"/>
    </row>
    <row r="1697" spans="1:16" x14ac:dyDescent="0.25">
      <c r="A1697" s="23"/>
      <c r="B1697" s="23"/>
      <c r="C1697" s="23"/>
      <c r="F1697" s="202"/>
      <c r="G1697" s="202"/>
      <c r="H1697" s="202"/>
      <c r="I1697" s="202"/>
      <c r="J1697" s="202"/>
      <c r="K1697" s="202"/>
      <c r="L1697" s="202"/>
      <c r="M1697" s="202"/>
      <c r="N1697" s="202"/>
      <c r="O1697" s="202"/>
      <c r="P1697" s="202"/>
    </row>
    <row r="1698" spans="1:16" x14ac:dyDescent="0.25">
      <c r="A1698" s="23"/>
      <c r="B1698" s="23"/>
      <c r="C1698" s="23"/>
      <c r="E1698" s="202"/>
    </row>
    <row r="1699" spans="1:16" x14ac:dyDescent="0.25">
      <c r="A1699" s="23"/>
      <c r="B1699" s="23"/>
      <c r="C1699" s="23"/>
      <c r="E1699" s="202"/>
    </row>
    <row r="1700" spans="1:16" x14ac:dyDescent="0.25">
      <c r="A1700" s="23"/>
      <c r="B1700" s="23"/>
      <c r="C1700" s="23"/>
    </row>
    <row r="1701" spans="1:16" x14ac:dyDescent="0.25">
      <c r="A1701" s="23"/>
      <c r="B1701" s="23"/>
      <c r="C1701" s="23"/>
    </row>
    <row r="1702" spans="1:16" x14ac:dyDescent="0.25">
      <c r="A1702" s="23"/>
      <c r="B1702" s="23"/>
      <c r="C1702" s="23"/>
      <c r="F1702" s="203"/>
      <c r="G1702" s="203"/>
      <c r="H1702" s="203"/>
      <c r="I1702" s="203"/>
      <c r="J1702" s="203"/>
      <c r="K1702" s="203"/>
      <c r="L1702" s="203"/>
      <c r="M1702" s="203"/>
      <c r="N1702" s="203"/>
      <c r="O1702" s="203"/>
      <c r="P1702" s="203"/>
    </row>
    <row r="1703" spans="1:16" x14ac:dyDescent="0.25">
      <c r="A1703" s="23"/>
      <c r="B1703" s="23"/>
      <c r="C1703" s="23"/>
      <c r="F1703" s="203"/>
      <c r="G1703" s="203"/>
      <c r="H1703" s="203"/>
      <c r="I1703" s="203"/>
      <c r="J1703" s="203"/>
      <c r="K1703" s="203"/>
      <c r="L1703" s="203"/>
      <c r="M1703" s="203"/>
      <c r="N1703" s="203"/>
      <c r="O1703" s="203"/>
      <c r="P1703" s="203"/>
    </row>
    <row r="1704" spans="1:16" x14ac:dyDescent="0.25">
      <c r="A1704" s="23"/>
      <c r="B1704" s="23"/>
      <c r="C1704" s="23"/>
      <c r="E1704" s="203"/>
      <c r="F1704" s="203"/>
      <c r="G1704" s="203"/>
      <c r="H1704" s="203"/>
      <c r="I1704" s="203"/>
      <c r="J1704" s="203"/>
      <c r="K1704" s="203"/>
      <c r="L1704" s="203"/>
      <c r="M1704" s="203"/>
      <c r="N1704" s="203"/>
      <c r="O1704" s="203"/>
      <c r="P1704" s="203"/>
    </row>
    <row r="1705" spans="1:16" x14ac:dyDescent="0.25">
      <c r="A1705" s="23"/>
      <c r="B1705" s="23"/>
      <c r="C1705" s="23"/>
      <c r="E1705" s="203"/>
    </row>
    <row r="1706" spans="1:16" x14ac:dyDescent="0.25">
      <c r="A1706" s="23"/>
      <c r="B1706" s="23"/>
      <c r="C1706" s="23"/>
      <c r="E1706" s="203"/>
    </row>
    <row r="1707" spans="1:16" x14ac:dyDescent="0.25">
      <c r="A1707" s="23"/>
      <c r="B1707" s="23"/>
      <c r="C1707" s="23"/>
    </row>
    <row r="1708" spans="1:16" x14ac:dyDescent="0.25">
      <c r="A1708" s="23"/>
      <c r="B1708" s="23"/>
      <c r="C1708" s="23"/>
    </row>
    <row r="1709" spans="1:16" x14ac:dyDescent="0.25">
      <c r="A1709" s="23"/>
      <c r="B1709" s="23"/>
      <c r="C1709" s="23"/>
    </row>
    <row r="1713" spans="1:17" ht="13" x14ac:dyDescent="0.3">
      <c r="F1713" s="188"/>
      <c r="G1713" s="188"/>
      <c r="H1713" s="187"/>
      <c r="I1713" s="188"/>
    </row>
    <row r="1714" spans="1:17" x14ac:dyDescent="0.25">
      <c r="F1714" s="188"/>
      <c r="G1714" s="188"/>
      <c r="H1714" s="188"/>
      <c r="I1714" s="188"/>
    </row>
    <row r="1715" spans="1:17" ht="13" x14ac:dyDescent="0.3">
      <c r="B1715" s="187"/>
      <c r="C1715" s="188"/>
      <c r="D1715" s="188"/>
      <c r="E1715" s="188"/>
      <c r="F1715" s="188"/>
      <c r="G1715" s="188"/>
      <c r="H1715" s="186"/>
      <c r="I1715" s="188"/>
    </row>
    <row r="1716" spans="1:17" ht="13" x14ac:dyDescent="0.3">
      <c r="B1716" s="188"/>
      <c r="C1716" s="188"/>
      <c r="D1716" s="188"/>
      <c r="E1716" s="188"/>
      <c r="F1716" s="188"/>
      <c r="G1716" s="188"/>
      <c r="H1716" s="186"/>
      <c r="I1716" s="188"/>
    </row>
    <row r="1717" spans="1:17" x14ac:dyDescent="0.25">
      <c r="B1717" s="188"/>
      <c r="C1717" s="188"/>
      <c r="D1717" s="188"/>
      <c r="E1717" s="188"/>
      <c r="F1717" s="188"/>
      <c r="G1717" s="188"/>
      <c r="H1717" s="188"/>
      <c r="I1717" s="188"/>
    </row>
    <row r="1718" spans="1:17" ht="13" x14ac:dyDescent="0.3">
      <c r="B1718" s="186"/>
      <c r="C1718" s="188"/>
      <c r="D1718" s="188"/>
      <c r="E1718" s="188"/>
      <c r="F1718" s="188"/>
      <c r="G1718" s="188"/>
      <c r="H1718" s="188"/>
      <c r="I1718" s="188"/>
    </row>
    <row r="1719" spans="1:17" x14ac:dyDescent="0.25">
      <c r="B1719" s="188"/>
      <c r="C1719" s="188"/>
      <c r="D1719" s="188"/>
      <c r="E1719" s="188"/>
      <c r="F1719" s="188"/>
      <c r="G1719" s="188"/>
      <c r="H1719" s="188"/>
    </row>
    <row r="1720" spans="1:17" x14ac:dyDescent="0.25">
      <c r="B1720" s="188"/>
      <c r="C1720" s="188"/>
      <c r="D1720" s="188"/>
      <c r="E1720" s="188"/>
      <c r="F1720" s="188"/>
      <c r="G1720" s="188"/>
      <c r="H1720" s="206"/>
      <c r="I1720" s="188"/>
    </row>
    <row r="1721" spans="1:17" x14ac:dyDescent="0.25">
      <c r="B1721" s="188"/>
      <c r="C1721" s="188"/>
      <c r="F1721" s="188"/>
      <c r="G1721" s="188"/>
      <c r="H1721" s="188"/>
      <c r="I1721" s="188"/>
    </row>
    <row r="1722" spans="1:17" x14ac:dyDescent="0.25">
      <c r="B1722" s="206"/>
      <c r="C1722" s="188"/>
      <c r="D1722" s="188"/>
      <c r="E1722" s="188"/>
      <c r="F1722" s="188"/>
      <c r="G1722" s="188"/>
      <c r="H1722" s="188"/>
      <c r="I1722" s="188"/>
    </row>
    <row r="1723" spans="1:17" x14ac:dyDescent="0.25">
      <c r="B1723" s="188"/>
      <c r="C1723" s="188"/>
      <c r="D1723" s="188"/>
      <c r="E1723" s="188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5"/>
    </row>
    <row r="1724" spans="1:17" x14ac:dyDescent="0.25">
      <c r="A1724" s="206"/>
      <c r="B1724" s="206"/>
      <c r="C1724" s="188"/>
      <c r="D1724" s="188"/>
      <c r="E1724" s="188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</row>
    <row r="1725" spans="1:17" x14ac:dyDescent="0.25">
      <c r="A1725" s="5"/>
      <c r="B1725" s="5"/>
      <c r="C1725" s="5"/>
      <c r="D1725" s="13"/>
      <c r="E1725" s="13"/>
    </row>
    <row r="1726" spans="1:17" x14ac:dyDescent="0.25">
      <c r="A1726" s="23"/>
      <c r="B1726" s="23"/>
      <c r="C1726" s="23"/>
      <c r="D1726" s="13"/>
      <c r="E1726" s="5"/>
    </row>
    <row r="1727" spans="1:17" x14ac:dyDescent="0.25">
      <c r="A1727" s="23"/>
      <c r="B1727" s="23"/>
      <c r="C1727" s="23"/>
    </row>
    <row r="1728" spans="1:17" x14ac:dyDescent="0.25">
      <c r="A1728" s="23"/>
      <c r="B1728" s="23"/>
      <c r="C1728" s="23"/>
    </row>
    <row r="1729" spans="1:16" x14ac:dyDescent="0.25">
      <c r="A1729" s="23"/>
      <c r="B1729" s="23"/>
      <c r="C1729" s="23"/>
    </row>
    <row r="1730" spans="1:16" x14ac:dyDescent="0.25">
      <c r="A1730" s="23"/>
      <c r="B1730" s="23"/>
      <c r="C1730" s="23"/>
    </row>
    <row r="1731" spans="1:16" x14ac:dyDescent="0.25">
      <c r="A1731" s="23"/>
      <c r="B1731" s="23"/>
      <c r="C1731" s="23"/>
    </row>
    <row r="1732" spans="1:16" x14ac:dyDescent="0.25">
      <c r="A1732" s="23"/>
      <c r="B1732" s="23"/>
      <c r="C1732" s="23"/>
    </row>
    <row r="1733" spans="1:16" x14ac:dyDescent="0.25">
      <c r="A1733" s="23"/>
      <c r="B1733" s="23"/>
      <c r="C1733" s="23"/>
    </row>
    <row r="1734" spans="1:16" x14ac:dyDescent="0.25">
      <c r="A1734" s="23"/>
      <c r="B1734" s="23"/>
      <c r="C1734" s="23"/>
    </row>
    <row r="1735" spans="1:16" x14ac:dyDescent="0.25">
      <c r="A1735" s="23"/>
      <c r="B1735" s="23"/>
      <c r="C1735" s="23"/>
    </row>
    <row r="1736" spans="1:16" x14ac:dyDescent="0.25">
      <c r="A1736" s="23"/>
      <c r="B1736" s="23"/>
      <c r="C1736" s="23"/>
    </row>
    <row r="1737" spans="1:16" x14ac:dyDescent="0.25">
      <c r="A1737" s="23"/>
      <c r="B1737" s="23"/>
      <c r="C1737" s="23"/>
    </row>
    <row r="1738" spans="1:16" x14ac:dyDescent="0.25">
      <c r="A1738" s="23"/>
      <c r="B1738" s="23"/>
      <c r="C1738" s="23"/>
      <c r="F1738" s="201"/>
      <c r="G1738" s="201"/>
      <c r="H1738" s="201"/>
      <c r="I1738" s="201"/>
      <c r="J1738" s="201"/>
      <c r="K1738" s="201"/>
      <c r="L1738" s="201"/>
      <c r="M1738" s="201"/>
      <c r="N1738" s="201"/>
      <c r="O1738" s="201"/>
      <c r="P1738" s="201"/>
    </row>
    <row r="1739" spans="1:16" x14ac:dyDescent="0.25">
      <c r="A1739" s="23"/>
      <c r="B1739" s="23"/>
      <c r="C1739" s="23"/>
    </row>
    <row r="1740" spans="1:16" x14ac:dyDescent="0.25">
      <c r="A1740" s="23"/>
      <c r="B1740" s="23"/>
      <c r="C1740" s="23"/>
      <c r="E1740" s="201"/>
    </row>
    <row r="1741" spans="1:16" x14ac:dyDescent="0.25">
      <c r="A1741" s="23"/>
      <c r="B1741" s="23"/>
      <c r="C1741" s="23"/>
      <c r="F1741" s="201"/>
      <c r="G1741" s="201"/>
      <c r="H1741" s="201"/>
      <c r="I1741" s="201"/>
      <c r="J1741" s="201"/>
      <c r="K1741" s="201"/>
      <c r="L1741" s="201"/>
      <c r="M1741" s="201"/>
      <c r="N1741" s="201"/>
      <c r="O1741" s="201"/>
      <c r="P1741" s="201"/>
    </row>
    <row r="1742" spans="1:16" x14ac:dyDescent="0.25">
      <c r="A1742" s="23"/>
      <c r="B1742" s="23"/>
      <c r="C1742" s="23"/>
    </row>
    <row r="1743" spans="1:16" x14ac:dyDescent="0.25">
      <c r="A1743" s="23"/>
      <c r="B1743" s="23"/>
      <c r="C1743" s="23"/>
    </row>
    <row r="1744" spans="1:16" x14ac:dyDescent="0.25">
      <c r="A1744" s="23"/>
      <c r="B1744" s="23"/>
      <c r="C1744" s="23"/>
    </row>
    <row r="1745" spans="1:16" x14ac:dyDescent="0.25">
      <c r="A1745" s="23"/>
      <c r="B1745" s="23"/>
      <c r="C1745" s="23"/>
    </row>
    <row r="1746" spans="1:16" x14ac:dyDescent="0.25">
      <c r="A1746" s="23"/>
      <c r="B1746" s="23"/>
      <c r="C1746" s="23"/>
    </row>
    <row r="1747" spans="1:16" x14ac:dyDescent="0.25">
      <c r="A1747" s="23"/>
      <c r="B1747" s="23"/>
      <c r="C1747" s="23"/>
      <c r="F1747" s="202"/>
      <c r="G1747" s="202"/>
      <c r="H1747" s="202"/>
      <c r="I1747" s="202"/>
      <c r="J1747" s="202"/>
      <c r="K1747" s="202"/>
      <c r="L1747" s="202"/>
      <c r="M1747" s="202"/>
      <c r="N1747" s="202"/>
      <c r="O1747" s="202"/>
      <c r="P1747" s="202"/>
    </row>
    <row r="1748" spans="1:16" x14ac:dyDescent="0.25">
      <c r="A1748" s="23"/>
      <c r="B1748" s="23"/>
      <c r="C1748" s="23"/>
      <c r="F1748" s="202"/>
      <c r="G1748" s="202"/>
      <c r="H1748" s="202"/>
      <c r="I1748" s="202"/>
      <c r="J1748" s="202"/>
      <c r="K1748" s="202"/>
      <c r="L1748" s="202"/>
      <c r="M1748" s="202"/>
      <c r="N1748" s="202"/>
      <c r="O1748" s="202"/>
      <c r="P1748" s="202"/>
    </row>
    <row r="1749" spans="1:16" x14ac:dyDescent="0.25">
      <c r="A1749" s="23"/>
      <c r="B1749" s="23"/>
      <c r="C1749" s="23"/>
      <c r="E1749" s="202"/>
    </row>
    <row r="1750" spans="1:16" x14ac:dyDescent="0.25">
      <c r="A1750" s="23"/>
      <c r="B1750" s="23"/>
      <c r="C1750" s="23"/>
      <c r="E1750" s="202"/>
    </row>
    <row r="1751" spans="1:16" x14ac:dyDescent="0.25">
      <c r="A1751" s="23"/>
      <c r="B1751" s="23"/>
      <c r="C1751" s="23"/>
    </row>
    <row r="1752" spans="1:16" x14ac:dyDescent="0.25">
      <c r="A1752" s="23"/>
      <c r="B1752" s="23"/>
      <c r="C1752" s="23"/>
    </row>
    <row r="1753" spans="1:16" x14ac:dyDescent="0.25">
      <c r="A1753" s="23"/>
      <c r="B1753" s="23"/>
      <c r="C1753" s="23"/>
      <c r="F1753" s="203"/>
      <c r="G1753" s="203"/>
      <c r="H1753" s="203"/>
      <c r="I1753" s="203"/>
      <c r="J1753" s="203"/>
      <c r="K1753" s="203"/>
      <c r="L1753" s="203"/>
      <c r="M1753" s="203"/>
      <c r="N1753" s="203"/>
      <c r="O1753" s="203"/>
      <c r="P1753" s="203"/>
    </row>
    <row r="1754" spans="1:16" x14ac:dyDescent="0.25">
      <c r="A1754" s="23"/>
      <c r="B1754" s="23"/>
      <c r="C1754" s="23"/>
      <c r="F1754" s="203"/>
      <c r="G1754" s="203"/>
      <c r="H1754" s="203"/>
      <c r="I1754" s="203"/>
      <c r="J1754" s="203"/>
      <c r="K1754" s="203"/>
      <c r="L1754" s="203"/>
      <c r="M1754" s="203"/>
      <c r="N1754" s="203"/>
      <c r="O1754" s="203"/>
      <c r="P1754" s="203"/>
    </row>
    <row r="1755" spans="1:16" x14ac:dyDescent="0.25">
      <c r="A1755" s="23"/>
      <c r="B1755" s="23"/>
      <c r="C1755" s="23"/>
      <c r="E1755" s="203"/>
      <c r="F1755" s="203"/>
      <c r="G1755" s="203"/>
      <c r="H1755" s="203"/>
      <c r="I1755" s="203"/>
      <c r="J1755" s="203"/>
      <c r="K1755" s="203"/>
      <c r="L1755" s="203"/>
      <c r="M1755" s="203"/>
      <c r="N1755" s="203"/>
      <c r="O1755" s="203"/>
      <c r="P1755" s="203"/>
    </row>
    <row r="1756" spans="1:16" x14ac:dyDescent="0.25">
      <c r="A1756" s="23"/>
      <c r="B1756" s="23"/>
      <c r="C1756" s="23"/>
      <c r="E1756" s="203"/>
    </row>
    <row r="1757" spans="1:16" x14ac:dyDescent="0.25">
      <c r="A1757" s="23"/>
      <c r="B1757" s="23"/>
      <c r="C1757" s="23"/>
      <c r="E1757" s="203"/>
    </row>
    <row r="1758" spans="1:16" x14ac:dyDescent="0.25">
      <c r="A1758" s="23"/>
      <c r="B1758" s="23"/>
      <c r="C1758" s="23"/>
    </row>
    <row r="1759" spans="1:16" x14ac:dyDescent="0.25">
      <c r="A1759" s="23"/>
      <c r="B1759" s="23"/>
      <c r="C1759" s="23"/>
    </row>
    <row r="1760" spans="1:16" x14ac:dyDescent="0.25">
      <c r="A1760" s="23"/>
      <c r="B1760" s="23"/>
      <c r="C1760" s="23"/>
    </row>
    <row r="1761" spans="1:17" x14ac:dyDescent="0.25">
      <c r="A1761" s="23"/>
      <c r="B1761" s="23"/>
      <c r="C1761" s="23"/>
    </row>
    <row r="1762" spans="1:17" x14ac:dyDescent="0.25">
      <c r="A1762" s="23"/>
      <c r="B1762" s="23"/>
      <c r="C1762" s="23"/>
    </row>
    <row r="1763" spans="1:17" x14ac:dyDescent="0.25">
      <c r="A1763" s="23"/>
      <c r="B1763" s="23"/>
      <c r="C1763" s="23"/>
    </row>
    <row r="1764" spans="1:17" ht="13" x14ac:dyDescent="0.3">
      <c r="A1764" s="23"/>
      <c r="B1764" s="23"/>
      <c r="C1764" s="23"/>
      <c r="F1764" s="188"/>
      <c r="G1764" s="188"/>
      <c r="H1764" s="187"/>
      <c r="I1764" s="188"/>
    </row>
    <row r="1765" spans="1:17" x14ac:dyDescent="0.25">
      <c r="A1765" s="23"/>
      <c r="B1765" s="23"/>
      <c r="C1765" s="23"/>
      <c r="F1765" s="188"/>
      <c r="G1765" s="188"/>
      <c r="H1765" s="188"/>
      <c r="I1765" s="188"/>
    </row>
    <row r="1766" spans="1:17" ht="13" x14ac:dyDescent="0.3">
      <c r="B1766" s="187"/>
      <c r="C1766" s="188"/>
      <c r="D1766" s="188"/>
      <c r="E1766" s="188"/>
      <c r="F1766" s="188"/>
      <c r="G1766" s="188"/>
      <c r="H1766" s="186"/>
      <c r="I1766" s="188"/>
    </row>
    <row r="1767" spans="1:17" ht="13" x14ac:dyDescent="0.3">
      <c r="B1767" s="188"/>
      <c r="C1767" s="188"/>
      <c r="D1767" s="188"/>
      <c r="E1767" s="188"/>
      <c r="F1767" s="188"/>
      <c r="G1767" s="188"/>
      <c r="H1767" s="186"/>
      <c r="I1767" s="188"/>
    </row>
    <row r="1768" spans="1:17" x14ac:dyDescent="0.25">
      <c r="B1768" s="188"/>
      <c r="C1768" s="188"/>
      <c r="D1768" s="188"/>
      <c r="E1768" s="188"/>
      <c r="F1768" s="188"/>
      <c r="G1768" s="188"/>
      <c r="H1768" s="188"/>
      <c r="I1768" s="188"/>
    </row>
    <row r="1769" spans="1:17" ht="13" x14ac:dyDescent="0.3">
      <c r="B1769" s="186"/>
      <c r="C1769" s="188"/>
      <c r="D1769" s="188"/>
      <c r="E1769" s="188"/>
      <c r="F1769" s="188"/>
      <c r="G1769" s="188"/>
      <c r="H1769" s="188"/>
      <c r="I1769" s="188"/>
    </row>
    <row r="1770" spans="1:17" x14ac:dyDescent="0.25">
      <c r="B1770" s="188"/>
      <c r="C1770" s="188"/>
      <c r="D1770" s="188"/>
      <c r="E1770" s="188"/>
      <c r="F1770" s="188"/>
      <c r="G1770" s="188"/>
      <c r="H1770" s="188"/>
    </row>
    <row r="1771" spans="1:17" x14ac:dyDescent="0.25">
      <c r="B1771" s="188"/>
      <c r="C1771" s="188"/>
      <c r="D1771" s="188"/>
      <c r="E1771" s="188"/>
      <c r="F1771" s="188"/>
      <c r="G1771" s="188"/>
      <c r="H1771" s="206"/>
      <c r="I1771" s="188"/>
    </row>
    <row r="1772" spans="1:17" x14ac:dyDescent="0.25">
      <c r="B1772" s="188"/>
      <c r="C1772" s="188"/>
      <c r="F1772" s="188"/>
      <c r="G1772" s="188"/>
      <c r="H1772" s="188"/>
      <c r="I1772" s="188"/>
    </row>
    <row r="1773" spans="1:17" x14ac:dyDescent="0.25">
      <c r="B1773" s="206"/>
      <c r="C1773" s="188"/>
      <c r="D1773" s="188"/>
      <c r="E1773" s="188"/>
      <c r="F1773" s="188"/>
      <c r="G1773" s="188"/>
      <c r="H1773" s="188"/>
      <c r="I1773" s="188"/>
    </row>
    <row r="1774" spans="1:17" x14ac:dyDescent="0.25">
      <c r="B1774" s="188"/>
      <c r="C1774" s="188"/>
      <c r="D1774" s="188"/>
      <c r="E1774" s="188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5"/>
    </row>
    <row r="1775" spans="1:17" x14ac:dyDescent="0.25">
      <c r="A1775" s="206"/>
      <c r="B1775" s="206"/>
      <c r="C1775" s="188"/>
      <c r="D1775" s="188"/>
      <c r="E1775" s="188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</row>
    <row r="1776" spans="1:17" x14ac:dyDescent="0.25">
      <c r="A1776" s="5"/>
      <c r="B1776" s="5"/>
      <c r="C1776" s="5"/>
      <c r="D1776" s="13"/>
      <c r="E1776" s="13"/>
    </row>
    <row r="1777" spans="1:16" x14ac:dyDescent="0.25">
      <c r="A1777" s="23"/>
      <c r="B1777" s="23"/>
      <c r="C1777" s="23"/>
      <c r="D1777" s="13"/>
      <c r="E1777" s="5"/>
    </row>
    <row r="1778" spans="1:16" x14ac:dyDescent="0.25">
      <c r="A1778" s="23"/>
      <c r="B1778" s="23"/>
      <c r="C1778" s="23"/>
    </row>
    <row r="1779" spans="1:16" x14ac:dyDescent="0.25">
      <c r="A1779" s="23"/>
      <c r="B1779" s="23"/>
      <c r="C1779" s="23"/>
    </row>
    <row r="1780" spans="1:16" x14ac:dyDescent="0.25">
      <c r="A1780" s="23"/>
      <c r="B1780" s="23"/>
      <c r="C1780" s="23"/>
    </row>
    <row r="1781" spans="1:16" x14ac:dyDescent="0.25">
      <c r="A1781" s="23"/>
      <c r="B1781" s="23"/>
      <c r="C1781" s="23"/>
    </row>
    <row r="1782" spans="1:16" x14ac:dyDescent="0.25">
      <c r="A1782" s="23"/>
      <c r="B1782" s="23"/>
      <c r="C1782" s="23"/>
    </row>
    <row r="1783" spans="1:16" x14ac:dyDescent="0.25">
      <c r="A1783" s="23"/>
      <c r="B1783" s="23"/>
      <c r="C1783" s="23"/>
    </row>
    <row r="1784" spans="1:16" x14ac:dyDescent="0.25">
      <c r="A1784" s="23"/>
      <c r="B1784" s="23"/>
      <c r="C1784" s="23"/>
    </row>
    <row r="1785" spans="1:16" x14ac:dyDescent="0.25">
      <c r="A1785" s="23"/>
      <c r="B1785" s="23"/>
      <c r="C1785" s="23"/>
    </row>
    <row r="1786" spans="1:16" x14ac:dyDescent="0.25">
      <c r="A1786" s="23"/>
      <c r="B1786" s="23"/>
      <c r="C1786" s="23"/>
    </row>
    <row r="1787" spans="1:16" x14ac:dyDescent="0.25">
      <c r="A1787" s="23"/>
      <c r="B1787" s="23"/>
      <c r="C1787" s="23"/>
    </row>
    <row r="1788" spans="1:16" x14ac:dyDescent="0.25">
      <c r="A1788" s="23"/>
      <c r="B1788" s="23"/>
      <c r="C1788" s="23"/>
    </row>
    <row r="1789" spans="1:16" x14ac:dyDescent="0.25">
      <c r="A1789" s="23"/>
      <c r="B1789" s="23"/>
      <c r="C1789" s="23"/>
      <c r="F1789" s="201"/>
      <c r="G1789" s="201"/>
      <c r="H1789" s="201"/>
      <c r="I1789" s="201"/>
      <c r="J1789" s="201"/>
      <c r="K1789" s="201"/>
      <c r="L1789" s="201"/>
      <c r="M1789" s="201"/>
      <c r="N1789" s="201"/>
      <c r="O1789" s="201"/>
      <c r="P1789" s="201"/>
    </row>
    <row r="1790" spans="1:16" x14ac:dyDescent="0.25">
      <c r="A1790" s="23"/>
      <c r="B1790" s="23"/>
      <c r="C1790" s="23"/>
    </row>
    <row r="1791" spans="1:16" x14ac:dyDescent="0.25">
      <c r="A1791" s="23"/>
      <c r="B1791" s="23"/>
      <c r="C1791" s="23"/>
      <c r="E1791" s="201"/>
    </row>
    <row r="1792" spans="1:16" x14ac:dyDescent="0.25">
      <c r="A1792" s="23"/>
      <c r="B1792" s="23"/>
      <c r="C1792" s="23"/>
      <c r="F1792" s="201"/>
      <c r="G1792" s="201"/>
      <c r="H1792" s="201"/>
      <c r="I1792" s="201"/>
      <c r="J1792" s="201"/>
      <c r="K1792" s="201"/>
      <c r="L1792" s="201"/>
      <c r="M1792" s="201"/>
      <c r="N1792" s="201"/>
      <c r="O1792" s="201"/>
      <c r="P1792" s="201"/>
    </row>
    <row r="1793" spans="1:16" x14ac:dyDescent="0.25">
      <c r="A1793" s="23"/>
      <c r="B1793" s="23"/>
      <c r="C1793" s="23"/>
    </row>
    <row r="1794" spans="1:16" x14ac:dyDescent="0.25">
      <c r="A1794" s="23"/>
      <c r="B1794" s="23"/>
      <c r="C1794" s="23"/>
    </row>
    <row r="1795" spans="1:16" x14ac:dyDescent="0.25">
      <c r="A1795" s="23"/>
      <c r="B1795" s="23"/>
      <c r="C1795" s="23"/>
    </row>
    <row r="1796" spans="1:16" x14ac:dyDescent="0.25">
      <c r="A1796" s="23"/>
      <c r="B1796" s="23"/>
      <c r="C1796" s="23"/>
    </row>
    <row r="1797" spans="1:16" x14ac:dyDescent="0.25">
      <c r="A1797" s="23"/>
      <c r="B1797" s="23"/>
      <c r="C1797" s="23"/>
    </row>
    <row r="1798" spans="1:16" x14ac:dyDescent="0.25">
      <c r="A1798" s="23"/>
      <c r="B1798" s="23"/>
      <c r="C1798" s="23"/>
      <c r="F1798" s="202"/>
      <c r="G1798" s="202"/>
      <c r="H1798" s="202"/>
      <c r="I1798" s="202"/>
      <c r="J1798" s="202"/>
      <c r="K1798" s="202"/>
      <c r="L1798" s="202"/>
      <c r="M1798" s="202"/>
      <c r="N1798" s="202"/>
      <c r="O1798" s="202"/>
      <c r="P1798" s="202"/>
    </row>
    <row r="1799" spans="1:16" x14ac:dyDescent="0.25">
      <c r="A1799" s="23"/>
      <c r="B1799" s="23"/>
      <c r="C1799" s="23"/>
      <c r="F1799" s="202"/>
      <c r="G1799" s="202"/>
      <c r="H1799" s="202"/>
      <c r="I1799" s="202"/>
      <c r="J1799" s="202"/>
      <c r="K1799" s="202"/>
      <c r="L1799" s="202"/>
      <c r="M1799" s="202"/>
      <c r="N1799" s="202"/>
      <c r="O1799" s="202"/>
      <c r="P1799" s="202"/>
    </row>
    <row r="1800" spans="1:16" x14ac:dyDescent="0.25">
      <c r="A1800" s="23"/>
      <c r="B1800" s="23"/>
      <c r="C1800" s="23"/>
      <c r="E1800" s="202"/>
    </row>
    <row r="1801" spans="1:16" x14ac:dyDescent="0.25">
      <c r="A1801" s="23"/>
      <c r="B1801" s="23"/>
      <c r="C1801" s="23"/>
      <c r="E1801" s="202"/>
    </row>
    <row r="1802" spans="1:16" x14ac:dyDescent="0.25">
      <c r="A1802" s="23"/>
      <c r="B1802" s="23"/>
      <c r="C1802" s="23"/>
    </row>
    <row r="1803" spans="1:16" x14ac:dyDescent="0.25">
      <c r="A1803" s="23"/>
      <c r="B1803" s="23"/>
      <c r="C1803" s="23"/>
    </row>
    <row r="1804" spans="1:16" x14ac:dyDescent="0.25">
      <c r="A1804" s="23"/>
      <c r="B1804" s="23"/>
      <c r="C1804" s="23"/>
      <c r="F1804" s="203"/>
      <c r="G1804" s="203"/>
      <c r="H1804" s="203"/>
      <c r="I1804" s="203"/>
      <c r="J1804" s="203"/>
      <c r="K1804" s="203"/>
      <c r="L1804" s="203"/>
      <c r="M1804" s="203"/>
      <c r="N1804" s="203"/>
      <c r="O1804" s="203"/>
      <c r="P1804" s="203"/>
    </row>
    <row r="1805" spans="1:16" x14ac:dyDescent="0.25">
      <c r="A1805" s="23"/>
      <c r="B1805" s="23"/>
      <c r="C1805" s="23"/>
      <c r="F1805" s="203"/>
      <c r="G1805" s="203"/>
      <c r="H1805" s="203"/>
      <c r="I1805" s="203"/>
      <c r="J1805" s="203"/>
      <c r="K1805" s="203"/>
      <c r="L1805" s="203"/>
      <c r="M1805" s="203"/>
      <c r="N1805" s="203"/>
      <c r="O1805" s="203"/>
      <c r="P1805" s="203"/>
    </row>
    <row r="1806" spans="1:16" x14ac:dyDescent="0.25">
      <c r="A1806" s="23"/>
      <c r="B1806" s="23"/>
      <c r="C1806" s="23"/>
      <c r="E1806" s="203"/>
      <c r="F1806" s="203"/>
      <c r="G1806" s="203"/>
      <c r="H1806" s="203"/>
      <c r="I1806" s="203"/>
      <c r="J1806" s="203"/>
      <c r="K1806" s="203"/>
      <c r="L1806" s="203"/>
      <c r="M1806" s="203"/>
      <c r="N1806" s="203"/>
      <c r="O1806" s="203"/>
      <c r="P1806" s="203"/>
    </row>
    <row r="1807" spans="1:16" x14ac:dyDescent="0.25">
      <c r="A1807" s="23"/>
      <c r="B1807" s="23"/>
      <c r="C1807" s="23"/>
      <c r="E1807" s="203"/>
    </row>
    <row r="1808" spans="1:16" x14ac:dyDescent="0.25">
      <c r="A1808" s="23"/>
      <c r="B1808" s="23"/>
      <c r="C1808" s="23"/>
      <c r="E1808" s="203"/>
    </row>
    <row r="1809" spans="1:11" x14ac:dyDescent="0.25">
      <c r="A1809" s="23"/>
      <c r="B1809" s="23"/>
      <c r="C1809" s="23"/>
    </row>
    <row r="1810" spans="1:11" x14ac:dyDescent="0.25">
      <c r="A1810" s="23"/>
      <c r="B1810" s="23"/>
      <c r="C1810" s="23"/>
    </row>
    <row r="1811" spans="1:11" x14ac:dyDescent="0.25">
      <c r="A1811" s="23"/>
      <c r="B1811" s="23"/>
      <c r="C1811" s="23"/>
    </row>
    <row r="1815" spans="1:11" ht="13.5" customHeight="1" x14ac:dyDescent="0.25">
      <c r="H1815" s="211"/>
      <c r="I1815" s="211"/>
      <c r="J1815" s="211"/>
      <c r="K1815" s="211"/>
    </row>
    <row r="1816" spans="1:11" x14ac:dyDescent="0.25">
      <c r="H1816" s="211"/>
      <c r="I1816" s="211"/>
      <c r="J1816" s="211"/>
      <c r="K1816" s="211"/>
    </row>
    <row r="1817" spans="1:11" x14ac:dyDescent="0.25">
      <c r="H1817" s="211"/>
      <c r="I1817" s="211"/>
      <c r="J1817" s="211"/>
      <c r="K1817" s="211"/>
    </row>
    <row r="1818" spans="1:11" x14ac:dyDescent="0.25">
      <c r="H1818" s="211"/>
      <c r="I1818" s="211"/>
      <c r="J1818" s="211"/>
      <c r="K1818" s="211"/>
    </row>
    <row r="1820" spans="1:11" x14ac:dyDescent="0.25">
      <c r="H1820" s="211"/>
      <c r="I1820" s="211"/>
      <c r="J1820" s="211"/>
      <c r="K1820" s="211"/>
    </row>
    <row r="1821" spans="1:11" x14ac:dyDescent="0.25">
      <c r="H1821" s="211"/>
      <c r="I1821" s="211"/>
      <c r="J1821" s="211"/>
      <c r="K1821" s="211"/>
    </row>
    <row r="1822" spans="1:11" x14ac:dyDescent="0.25">
      <c r="H1822" s="211"/>
      <c r="I1822" s="211"/>
      <c r="J1822" s="211"/>
      <c r="K1822" s="211"/>
    </row>
    <row r="1823" spans="1:11" x14ac:dyDescent="0.25">
      <c r="H1823" s="211"/>
      <c r="I1823" s="211"/>
      <c r="J1823" s="211"/>
      <c r="K1823" s="211"/>
    </row>
    <row r="1849" spans="5:16" x14ac:dyDescent="0.25">
      <c r="F1849" s="202"/>
      <c r="G1849" s="202"/>
      <c r="H1849" s="202"/>
      <c r="I1849" s="202"/>
      <c r="J1849" s="202"/>
      <c r="K1849" s="202"/>
      <c r="L1849" s="202"/>
      <c r="M1849" s="202"/>
      <c r="N1849" s="202"/>
      <c r="O1849" s="202"/>
      <c r="P1849" s="202"/>
    </row>
    <row r="1851" spans="5:16" x14ac:dyDescent="0.25">
      <c r="E1851" s="202"/>
    </row>
  </sheetData>
  <mergeCells count="19">
    <mergeCell ref="H1823:K1823"/>
    <mergeCell ref="H1816:K1816"/>
    <mergeCell ref="H1817:K1817"/>
    <mergeCell ref="H1818:K1818"/>
    <mergeCell ref="H1820:K1820"/>
    <mergeCell ref="H1821:K1821"/>
    <mergeCell ref="H1822:K1822"/>
    <mergeCell ref="T67:AM67"/>
    <mergeCell ref="T68:AM68"/>
    <mergeCell ref="T69:AM69"/>
    <mergeCell ref="T70:AM70"/>
    <mergeCell ref="T72:AM72"/>
    <mergeCell ref="H1815:K1815"/>
    <mergeCell ref="A8:Q8"/>
    <mergeCell ref="A9:Q9"/>
    <mergeCell ref="A10:Q10"/>
    <mergeCell ref="T29:X29"/>
    <mergeCell ref="Z29:AC29"/>
    <mergeCell ref="T66:AM66"/>
  </mergeCells>
  <pageMargins left="0.5" right="0.5" top="1" bottom="0.75" header="0.55000000000000004" footer="0.3"/>
  <pageSetup scale="52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22" manualBreakCount="22">
    <brk id="113" max="16" man="1"/>
    <brk id="161" max="16" man="1"/>
    <brk id="351" max="16" man="1"/>
    <brk id="399" max="16" man="1"/>
    <brk id="448" max="16" man="1"/>
    <brk id="500" max="16" man="1"/>
    <brk id="548" max="16" man="1"/>
    <brk id="596" max="16" man="1"/>
    <brk id="645" max="16" man="1"/>
    <brk id="874" max="16" man="1"/>
    <brk id="923" max="16" man="1"/>
    <brk id="972" max="16" man="1"/>
    <brk id="1022" max="16" man="1"/>
    <brk id="1071" max="16" man="1"/>
    <brk id="1119" max="16" man="1"/>
    <brk id="1167" max="16" man="1"/>
    <brk id="1216" max="16" man="1"/>
    <brk id="1265" max="16" man="1"/>
    <brk id="1314" max="16" man="1"/>
    <brk id="1363" max="16" man="1"/>
    <brk id="1411" max="16" man="1"/>
    <brk id="1461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8BCD-2F05-4365-8751-BE66BD94C376}">
  <sheetPr transitionEvaluation="1" transitionEntry="1"/>
  <dimension ref="A1:AM1522"/>
  <sheetViews>
    <sheetView showGridLines="0" defaultGridColor="0" view="pageBreakPreview" colorId="8" zoomScale="80" zoomScaleNormal="85" zoomScaleSheetLayoutView="80" workbookViewId="0">
      <selection activeCell="Q28" sqref="Q28"/>
    </sheetView>
  </sheetViews>
  <sheetFormatPr defaultColWidth="11.58203125" defaultRowHeight="12.5" x14ac:dyDescent="0.25"/>
  <cols>
    <col min="1" max="1" width="4.5" style="1" customWidth="1"/>
    <col min="2" max="2" width="3.58203125" style="1" customWidth="1"/>
    <col min="3" max="3" width="32.58203125" style="1" customWidth="1"/>
    <col min="4" max="4" width="16" style="1" customWidth="1"/>
    <col min="5" max="5" width="12.25" style="1" customWidth="1"/>
    <col min="6" max="6" width="12" style="1" customWidth="1"/>
    <col min="7" max="7" width="12.33203125" style="1" customWidth="1"/>
    <col min="8" max="8" width="12" style="1" customWidth="1"/>
    <col min="9" max="10" width="12.25" style="1" customWidth="1"/>
    <col min="11" max="12" width="12.08203125" style="1" customWidth="1"/>
    <col min="13" max="13" width="12" style="1" customWidth="1"/>
    <col min="14" max="15" width="13.75" style="1" customWidth="1"/>
    <col min="16" max="16" width="12.7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7.83203125" style="1" bestFit="1" customWidth="1"/>
    <col min="21" max="21" width="12.58203125" style="1" bestFit="1" customWidth="1"/>
    <col min="22" max="22" width="13.58203125" style="1" bestFit="1" customWidth="1"/>
    <col min="23" max="23" width="12.5" style="1" bestFit="1" customWidth="1"/>
    <col min="24" max="35" width="11.25" style="1" bestFit="1" customWidth="1"/>
    <col min="36" max="38" width="11.58203125" style="1"/>
    <col min="39" max="39" width="13.58203125" style="1" bestFit="1" customWidth="1"/>
    <col min="40" max="16384" width="11.58203125" style="1"/>
  </cols>
  <sheetData>
    <row r="1" spans="1:25" ht="13" x14ac:dyDescent="0.3">
      <c r="Q1" s="2"/>
    </row>
    <row r="2" spans="1:25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29</v>
      </c>
    </row>
    <row r="3" spans="1:25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5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5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5" ht="17.2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5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5" x14ac:dyDescent="0.25">
      <c r="A8" s="211" t="s">
        <v>361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5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25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5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5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5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5" x14ac:dyDescent="0.25">
      <c r="A14" s="13">
        <v>1</v>
      </c>
      <c r="B14" s="23" t="s">
        <v>261</v>
      </c>
      <c r="C14" s="13"/>
    </row>
    <row r="15" spans="1:25" x14ac:dyDescent="0.25">
      <c r="A15" s="13"/>
      <c r="B15" s="23" t="s">
        <v>262</v>
      </c>
      <c r="C15" s="23" t="s">
        <v>263</v>
      </c>
      <c r="E15" s="1">
        <v>75271.66</v>
      </c>
      <c r="F15" s="1">
        <v>9951.2099999999991</v>
      </c>
      <c r="G15" s="1">
        <v>10626.71</v>
      </c>
      <c r="H15" s="1">
        <v>26520.78</v>
      </c>
      <c r="I15" s="1">
        <v>21636.98</v>
      </c>
      <c r="J15" s="1">
        <v>24432.06</v>
      </c>
      <c r="K15" s="1">
        <v>14768.048571400001</v>
      </c>
      <c r="L15" s="1">
        <v>14768.048571400001</v>
      </c>
      <c r="M15" s="1">
        <v>14768.048571400001</v>
      </c>
      <c r="N15" s="1">
        <v>14768.048571400001</v>
      </c>
      <c r="O15" s="1">
        <v>14768.048571400001</v>
      </c>
      <c r="P15" s="1">
        <v>14768.048571400001</v>
      </c>
      <c r="Q15" s="1">
        <f t="shared" ref="Q15:Q20" si="0">SUM(E15:P15)</f>
        <v>257047.69142839996</v>
      </c>
      <c r="U15" s="13"/>
      <c r="V15" s="13"/>
      <c r="W15" s="13"/>
      <c r="X15" s="13"/>
      <c r="Y15" s="13"/>
    </row>
    <row r="16" spans="1:25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  <c r="U16" s="5"/>
      <c r="V16" s="5"/>
      <c r="W16" s="5"/>
      <c r="X16" s="5"/>
      <c r="Y16" s="5"/>
    </row>
    <row r="17" spans="1:35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35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35" x14ac:dyDescent="0.25">
      <c r="A19" s="13"/>
      <c r="B19" s="23" t="s">
        <v>270</v>
      </c>
      <c r="C19" s="23" t="s">
        <v>348</v>
      </c>
      <c r="E19" s="1">
        <v>-130.69999999999999</v>
      </c>
      <c r="F19" s="1">
        <v>0</v>
      </c>
      <c r="G19" s="1">
        <v>0</v>
      </c>
      <c r="H19" s="1">
        <v>0</v>
      </c>
      <c r="I19" s="1">
        <f>130.7</f>
        <v>130.69999999999999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35" x14ac:dyDescent="0.25">
      <c r="A20" s="13"/>
      <c r="B20" s="23" t="s">
        <v>313</v>
      </c>
      <c r="C20" s="23" t="s">
        <v>349</v>
      </c>
      <c r="E20" s="1">
        <f>-1533.69+0.01</f>
        <v>-1533.68</v>
      </c>
      <c r="F20" s="1">
        <v>0</v>
      </c>
      <c r="G20" s="1">
        <v>0</v>
      </c>
      <c r="H20" s="1">
        <v>0</v>
      </c>
      <c r="I20" s="1">
        <f>-5971.42-0.67</f>
        <v>-5972.09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-7505.77</v>
      </c>
    </row>
    <row r="21" spans="1:35" x14ac:dyDescent="0.25">
      <c r="A21" s="13">
        <v>2</v>
      </c>
      <c r="B21" s="23" t="s">
        <v>272</v>
      </c>
      <c r="C21" s="13"/>
      <c r="D21" s="1">
        <v>6042460.0899999999</v>
      </c>
      <c r="E21" s="27">
        <f>D21+E16-E17+E19</f>
        <v>6042329.3899999997</v>
      </c>
      <c r="F21" s="1">
        <f t="shared" ref="F21:P21" si="1">E21+F16-F17</f>
        <v>6042329.3899999997</v>
      </c>
      <c r="G21" s="1">
        <f t="shared" si="1"/>
        <v>6042329.3899999997</v>
      </c>
      <c r="H21" s="1">
        <f t="shared" si="1"/>
        <v>6042329.3899999997</v>
      </c>
      <c r="I21" s="27">
        <f>H21+I16-I17+I19</f>
        <v>6042460.0899999999</v>
      </c>
      <c r="J21" s="1">
        <f t="shared" si="1"/>
        <v>6042460.0899999999</v>
      </c>
      <c r="K21" s="1">
        <f t="shared" si="1"/>
        <v>6042460.0899999999</v>
      </c>
      <c r="L21" s="1">
        <f t="shared" si="1"/>
        <v>6042460.0899999999</v>
      </c>
      <c r="M21" s="1">
        <f t="shared" si="1"/>
        <v>6042460.0899999999</v>
      </c>
      <c r="N21" s="1">
        <f t="shared" si="1"/>
        <v>6042460.0899999999</v>
      </c>
      <c r="O21" s="1">
        <f t="shared" si="1"/>
        <v>6042460.0899999999</v>
      </c>
      <c r="P21" s="1">
        <f t="shared" si="1"/>
        <v>6042460.0899999999</v>
      </c>
      <c r="W21" s="1">
        <f>SUM(X21:AI21)</f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</row>
    <row r="22" spans="1:35" x14ac:dyDescent="0.25">
      <c r="A22" s="13">
        <v>3</v>
      </c>
      <c r="B22" s="23" t="s">
        <v>273</v>
      </c>
      <c r="C22" s="13"/>
      <c r="D22" s="1">
        <v>-410568.75906556478</v>
      </c>
      <c r="E22" s="27">
        <f>D22-E33-E34-E35+E17+E18+E20</f>
        <v>-430961.83891030413</v>
      </c>
      <c r="F22" s="27">
        <f t="shared" ref="F22:P22" si="2">E22-F33-F34-F35+F17+F18+F20</f>
        <v>-449821.02092171228</v>
      </c>
      <c r="G22" s="27">
        <f>F22-G33-G34-G35+G17+G18+G20-0.5</f>
        <v>-468680.70293312042</v>
      </c>
      <c r="H22" s="27">
        <f>G22-H33-H34-H35+H17+H18+H20-0.5</f>
        <v>-487540.38494452857</v>
      </c>
      <c r="I22" s="27">
        <f>H22-I33-I34-I35+I17+I18+I20</f>
        <v>-513077.38844811544</v>
      </c>
      <c r="J22" s="27">
        <f t="shared" si="2"/>
        <v>-531937.00612618588</v>
      </c>
      <c r="K22" s="27">
        <f t="shared" si="2"/>
        <v>-550796.62380425632</v>
      </c>
      <c r="L22" s="27">
        <f t="shared" si="2"/>
        <v>-569656.24148232676</v>
      </c>
      <c r="M22" s="27">
        <f t="shared" si="2"/>
        <v>-588515.8591603972</v>
      </c>
      <c r="N22" s="27">
        <f t="shared" si="2"/>
        <v>-607375.47683846764</v>
      </c>
      <c r="O22" s="27">
        <f t="shared" si="2"/>
        <v>-626235.09451653808</v>
      </c>
      <c r="P22" s="27">
        <f t="shared" si="2"/>
        <v>-645094.71219460852</v>
      </c>
      <c r="W22" s="1">
        <f>SUM(X22:AI22)</f>
        <v>-0.27999999845633283</v>
      </c>
      <c r="X22" s="1">
        <v>1.0000000009313226E-2</v>
      </c>
      <c r="Y22" s="1">
        <v>0.45000000001164153</v>
      </c>
      <c r="Z22" s="1">
        <v>0.38000000006286427</v>
      </c>
      <c r="AA22" s="1">
        <v>0.32000000012340024</v>
      </c>
      <c r="AB22" s="1">
        <v>-0.17999999993480742</v>
      </c>
      <c r="AC22" s="1">
        <v>-0.1799999998183921</v>
      </c>
      <c r="AD22" s="1">
        <v>-0.1799999998183921</v>
      </c>
      <c r="AE22" s="1">
        <v>-0.1799999998183921</v>
      </c>
      <c r="AF22" s="1">
        <v>-0.1799999998183921</v>
      </c>
      <c r="AG22" s="1">
        <v>-0.1799999998183921</v>
      </c>
      <c r="AH22" s="1">
        <v>-0.1799999998183921</v>
      </c>
      <c r="AI22" s="1">
        <v>-0.1799999998183921</v>
      </c>
    </row>
    <row r="23" spans="1:35" x14ac:dyDescent="0.25">
      <c r="A23" s="13">
        <v>4</v>
      </c>
      <c r="B23" s="23" t="s">
        <v>274</v>
      </c>
      <c r="C23" s="13"/>
      <c r="D23" s="199">
        <v>653026.70000000042</v>
      </c>
      <c r="E23" s="199">
        <f>D23+E15-E16</f>
        <v>728298.36000000045</v>
      </c>
      <c r="F23" s="199">
        <f t="shared" ref="F23:P23" si="3">E23+F15-F16</f>
        <v>738249.57000000041</v>
      </c>
      <c r="G23" s="199">
        <f t="shared" si="3"/>
        <v>748876.28000000038</v>
      </c>
      <c r="H23" s="199">
        <f t="shared" si="3"/>
        <v>775397.06000000041</v>
      </c>
      <c r="I23" s="199">
        <f t="shared" si="3"/>
        <v>797034.04000000039</v>
      </c>
      <c r="J23" s="199">
        <f t="shared" si="3"/>
        <v>821466.10000000044</v>
      </c>
      <c r="K23" s="199">
        <f t="shared" si="3"/>
        <v>836234.14857140044</v>
      </c>
      <c r="L23" s="199">
        <f t="shared" si="3"/>
        <v>851002.19714280043</v>
      </c>
      <c r="M23" s="199">
        <f t="shared" si="3"/>
        <v>865770.24571420043</v>
      </c>
      <c r="N23" s="199">
        <f t="shared" si="3"/>
        <v>880538.29428560042</v>
      </c>
      <c r="O23" s="199">
        <f t="shared" si="3"/>
        <v>895306.34285700042</v>
      </c>
      <c r="P23" s="199">
        <f t="shared" si="3"/>
        <v>910074.39142840041</v>
      </c>
      <c r="W23" s="1">
        <f>SUM(X23:AI23)</f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</row>
    <row r="24" spans="1:35" x14ac:dyDescent="0.25">
      <c r="A24" s="13">
        <v>5</v>
      </c>
      <c r="B24" s="23" t="s">
        <v>275</v>
      </c>
      <c r="C24" s="13"/>
      <c r="D24" s="199">
        <f t="shared" ref="D24:P24" si="4">SUM(D21:D23)</f>
        <v>6284918.0309344353</v>
      </c>
      <c r="E24" s="199">
        <f t="shared" si="4"/>
        <v>6339665.911089696</v>
      </c>
      <c r="F24" s="199">
        <f t="shared" si="4"/>
        <v>6330757.9390782882</v>
      </c>
      <c r="G24" s="199">
        <f t="shared" si="4"/>
        <v>6322524.9670668794</v>
      </c>
      <c r="H24" s="199">
        <f t="shared" si="4"/>
        <v>6330186.0650554718</v>
      </c>
      <c r="I24" s="199">
        <f t="shared" si="4"/>
        <v>6326416.7415518845</v>
      </c>
      <c r="J24" s="199">
        <f t="shared" si="4"/>
        <v>6331989.1838738145</v>
      </c>
      <c r="K24" s="199">
        <f t="shared" si="4"/>
        <v>6327897.6147671435</v>
      </c>
      <c r="L24" s="199">
        <f t="shared" si="4"/>
        <v>6323806.0456604734</v>
      </c>
      <c r="M24" s="199">
        <f>SUM(M21:M23)</f>
        <v>6319714.4765538033</v>
      </c>
      <c r="N24" s="199">
        <f t="shared" si="4"/>
        <v>6315622.9074471323</v>
      </c>
      <c r="O24" s="199">
        <f t="shared" si="4"/>
        <v>6311531.3383404622</v>
      </c>
      <c r="P24" s="199">
        <f t="shared" si="4"/>
        <v>6307439.7692337921</v>
      </c>
    </row>
    <row r="25" spans="1:35" x14ac:dyDescent="0.25">
      <c r="A25" s="13"/>
      <c r="B25" s="23"/>
    </row>
    <row r="26" spans="1:35" x14ac:dyDescent="0.25">
      <c r="A26" s="13">
        <v>6</v>
      </c>
      <c r="B26" s="23" t="s">
        <v>276</v>
      </c>
      <c r="C26" s="23"/>
      <c r="E26" s="1">
        <f>(D24+E24)/2</f>
        <v>6312291.9710120652</v>
      </c>
      <c r="F26" s="1">
        <f t="shared" ref="F26:P26" si="5">(E24+F24)/2</f>
        <v>6335211.9250839921</v>
      </c>
      <c r="G26" s="1">
        <f t="shared" si="5"/>
        <v>6326641.4530725833</v>
      </c>
      <c r="H26" s="1">
        <f t="shared" si="5"/>
        <v>6326355.5160611756</v>
      </c>
      <c r="I26" s="1">
        <f t="shared" si="5"/>
        <v>6328301.4033036781</v>
      </c>
      <c r="J26" s="1">
        <f t="shared" si="5"/>
        <v>6329202.9627128495</v>
      </c>
      <c r="K26" s="1">
        <f t="shared" si="5"/>
        <v>6329943.3993204795</v>
      </c>
      <c r="L26" s="1">
        <f t="shared" si="5"/>
        <v>6325851.8302138085</v>
      </c>
      <c r="M26" s="1">
        <f t="shared" si="5"/>
        <v>6321760.2611071384</v>
      </c>
      <c r="N26" s="1">
        <f t="shared" si="5"/>
        <v>6317668.6920004673</v>
      </c>
      <c r="O26" s="1">
        <f t="shared" si="5"/>
        <v>6313577.1228937972</v>
      </c>
      <c r="P26" s="1">
        <f t="shared" si="5"/>
        <v>6309485.5537871271</v>
      </c>
    </row>
    <row r="27" spans="1:35" x14ac:dyDescent="0.25">
      <c r="A27" s="200"/>
      <c r="B27" s="20"/>
    </row>
    <row r="28" spans="1:35" x14ac:dyDescent="0.25">
      <c r="A28" s="13">
        <v>7</v>
      </c>
      <c r="B28" s="23" t="s">
        <v>277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5" x14ac:dyDescent="0.25">
      <c r="A29" s="200"/>
      <c r="B29" s="23" t="s">
        <v>262</v>
      </c>
      <c r="C29" s="23" t="s">
        <v>278</v>
      </c>
      <c r="E29" s="1">
        <v>29061.792234539545</v>
      </c>
      <c r="F29" s="1">
        <v>29167.315703086697</v>
      </c>
      <c r="G29" s="1">
        <v>29127.85724994617</v>
      </c>
      <c r="H29" s="1">
        <v>29126.54079594565</v>
      </c>
      <c r="I29" s="1">
        <v>29135.499660810132</v>
      </c>
      <c r="J29" s="1">
        <v>29139.650440329955</v>
      </c>
      <c r="K29" s="1">
        <v>30314.098939345775</v>
      </c>
      <c r="L29" s="1">
        <v>30294.504414893927</v>
      </c>
      <c r="M29" s="1">
        <v>30274.909890442086</v>
      </c>
      <c r="N29" s="1">
        <v>30255.315365990238</v>
      </c>
      <c r="O29" s="1">
        <v>30235.720841538394</v>
      </c>
      <c r="P29" s="1">
        <v>30216.12631708655</v>
      </c>
      <c r="Q29" s="1">
        <f>ROUND(SUM(E29:P29),2)</f>
        <v>356349.33</v>
      </c>
    </row>
    <row r="30" spans="1:35" x14ac:dyDescent="0.25">
      <c r="A30" s="200"/>
      <c r="B30" s="23" t="s">
        <v>264</v>
      </c>
      <c r="C30" s="23" t="s">
        <v>279</v>
      </c>
      <c r="E30" s="1">
        <v>7334.8832703160197</v>
      </c>
      <c r="F30" s="1">
        <v>7361.5162569475988</v>
      </c>
      <c r="G30" s="1">
        <v>7351.5573684703422</v>
      </c>
      <c r="H30" s="1">
        <v>7351.2251096630862</v>
      </c>
      <c r="I30" s="1">
        <v>7353.4862306388741</v>
      </c>
      <c r="J30" s="1">
        <v>7354.533842672331</v>
      </c>
      <c r="K30" s="1">
        <v>6640.1106258871832</v>
      </c>
      <c r="L30" s="1">
        <v>6635.8185698942852</v>
      </c>
      <c r="M30" s="1">
        <v>6631.5265139013882</v>
      </c>
      <c r="N30" s="1">
        <v>6627.2344579084902</v>
      </c>
      <c r="O30" s="1">
        <v>6622.9424019155931</v>
      </c>
      <c r="P30" s="1">
        <v>6618.6503459226969</v>
      </c>
      <c r="Q30" s="1">
        <f>ROUND(SUM(E30:P30),2)</f>
        <v>83883.48</v>
      </c>
    </row>
    <row r="31" spans="1:35" x14ac:dyDescent="0.25">
      <c r="A31" s="200"/>
      <c r="B31" s="202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5" x14ac:dyDescent="0.25">
      <c r="A32" s="13">
        <v>8</v>
      </c>
      <c r="B32" s="23" t="s">
        <v>280</v>
      </c>
    </row>
    <row r="33" spans="1:17" x14ac:dyDescent="0.25">
      <c r="A33" s="200"/>
      <c r="B33" s="23" t="s">
        <v>262</v>
      </c>
      <c r="C33" s="23" t="s">
        <v>281</v>
      </c>
      <c r="E33" s="250">
        <v>18859.399844739331</v>
      </c>
      <c r="F33" s="250">
        <v>18859.182011408178</v>
      </c>
      <c r="G33" s="250">
        <v>18859.182011408178</v>
      </c>
      <c r="H33" s="250">
        <v>18859.182011408178</v>
      </c>
      <c r="I33" s="250">
        <v>19564.913503586842</v>
      </c>
      <c r="J33" s="250">
        <v>18859.617678070488</v>
      </c>
      <c r="K33" s="250">
        <v>18859.617678070488</v>
      </c>
      <c r="L33" s="250">
        <v>18859.617678070488</v>
      </c>
      <c r="M33" s="250">
        <v>18859.617678070488</v>
      </c>
      <c r="N33" s="250">
        <v>18859.617678070488</v>
      </c>
      <c r="O33" s="250">
        <v>18859.617678070488</v>
      </c>
      <c r="P33" s="250">
        <v>18859.617678070488</v>
      </c>
      <c r="Q33" s="1">
        <f>ROUND(SUM(E33:P33),2)</f>
        <v>227019.18</v>
      </c>
    </row>
    <row r="34" spans="1:17" x14ac:dyDescent="0.25">
      <c r="A34" s="200"/>
      <c r="B34" s="23" t="s">
        <v>264</v>
      </c>
      <c r="C34" s="23" t="s">
        <v>282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ROUND(SUM(E34:P34),2)</f>
        <v>0</v>
      </c>
    </row>
    <row r="35" spans="1:17" x14ac:dyDescent="0.25">
      <c r="A35" s="200"/>
      <c r="B35" s="23" t="s">
        <v>266</v>
      </c>
      <c r="C35" s="23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ROUND(SUM(E35:P35),2)</f>
        <v>0</v>
      </c>
    </row>
    <row r="36" spans="1:17" x14ac:dyDescent="0.25">
      <c r="A36" s="200"/>
      <c r="B36" s="23" t="s">
        <v>268</v>
      </c>
      <c r="C36" s="23" t="s">
        <v>284</v>
      </c>
      <c r="E36" s="1">
        <v>236.86755843942501</v>
      </c>
      <c r="F36" s="1">
        <v>197.26666666666674</v>
      </c>
      <c r="G36" s="1">
        <v>197.26666666666674</v>
      </c>
      <c r="H36" s="1">
        <v>197.26666666666674</v>
      </c>
      <c r="I36" s="1">
        <v>197.26666666666674</v>
      </c>
      <c r="J36" s="1">
        <v>197.26666666666674</v>
      </c>
      <c r="K36" s="1">
        <v>197.26666666666674</v>
      </c>
      <c r="L36" s="1">
        <v>197.26666666666674</v>
      </c>
      <c r="M36" s="1">
        <v>197.26666666666674</v>
      </c>
      <c r="N36" s="1">
        <v>197.26666666666674</v>
      </c>
      <c r="O36" s="1">
        <v>197.26666666666674</v>
      </c>
      <c r="P36" s="1">
        <v>197.26666666666674</v>
      </c>
      <c r="Q36" s="1">
        <f>ROUND(SUM(E36:P36),2)</f>
        <v>2406.8000000000002</v>
      </c>
    </row>
    <row r="37" spans="1:17" x14ac:dyDescent="0.25">
      <c r="A37" s="200"/>
      <c r="B37" s="23" t="s">
        <v>270</v>
      </c>
      <c r="C37" s="23" t="s">
        <v>285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ROUND(SUM(E37:P37),2)</f>
        <v>0</v>
      </c>
    </row>
    <row r="38" spans="1:17" x14ac:dyDescent="0.25">
      <c r="A38" s="200"/>
      <c r="B38" s="202"/>
      <c r="C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x14ac:dyDescent="0.25">
      <c r="A39" s="13">
        <v>9</v>
      </c>
      <c r="B39" s="23" t="s">
        <v>286</v>
      </c>
      <c r="E39" s="1">
        <f>SUM(E29:E37)</f>
        <v>55492.942908034318</v>
      </c>
      <c r="F39" s="1">
        <f t="shared" ref="F39:P39" si="6">SUM(F29:F37)</f>
        <v>55585.280638109143</v>
      </c>
      <c r="G39" s="1">
        <f t="shared" si="6"/>
        <v>55535.863296491363</v>
      </c>
      <c r="H39" s="1">
        <f t="shared" si="6"/>
        <v>55534.214583683584</v>
      </c>
      <c r="I39" s="1">
        <f t="shared" si="6"/>
        <v>56251.166061702512</v>
      </c>
      <c r="J39" s="1">
        <f>SUM(J29:J37)</f>
        <v>55551.068627739449</v>
      </c>
      <c r="K39" s="1">
        <f t="shared" si="6"/>
        <v>56011.093909970114</v>
      </c>
      <c r="L39" s="1">
        <f t="shared" si="6"/>
        <v>55987.207329525372</v>
      </c>
      <c r="M39" s="1">
        <f>SUM(M29:M37)</f>
        <v>55963.320749080631</v>
      </c>
      <c r="N39" s="1">
        <f t="shared" si="6"/>
        <v>55939.434168635889</v>
      </c>
      <c r="O39" s="1">
        <f t="shared" si="6"/>
        <v>55915.547588191148</v>
      </c>
      <c r="P39" s="1">
        <f t="shared" si="6"/>
        <v>55891.661007746407</v>
      </c>
      <c r="Q39" s="1">
        <f>SUM(E39:P39)</f>
        <v>669658.80086890992</v>
      </c>
    </row>
    <row r="40" spans="1:17" x14ac:dyDescent="0.25">
      <c r="A40" s="200"/>
      <c r="B40" s="23" t="s">
        <v>262</v>
      </c>
      <c r="C40" s="23" t="s">
        <v>160</v>
      </c>
      <c r="E40" s="1">
        <f>E39*1/13</f>
        <v>4268.6879160026401</v>
      </c>
      <c r="F40" s="1">
        <f t="shared" ref="F40:P40" si="7">F39*1/13</f>
        <v>4275.790818316088</v>
      </c>
      <c r="G40" s="1">
        <f t="shared" si="7"/>
        <v>4271.9894843454895</v>
      </c>
      <c r="H40" s="1">
        <f t="shared" si="7"/>
        <v>4271.8626602833529</v>
      </c>
      <c r="I40" s="1">
        <f t="shared" si="7"/>
        <v>4327.012773977116</v>
      </c>
      <c r="J40" s="1">
        <f t="shared" si="7"/>
        <v>4273.1591252107264</v>
      </c>
      <c r="K40" s="1">
        <f t="shared" si="7"/>
        <v>4308.5456853823162</v>
      </c>
      <c r="L40" s="1">
        <f t="shared" si="7"/>
        <v>4306.7082561173365</v>
      </c>
      <c r="M40" s="1">
        <f t="shared" si="7"/>
        <v>4304.870826852356</v>
      </c>
      <c r="N40" s="1">
        <f t="shared" si="7"/>
        <v>4303.0333975873764</v>
      </c>
      <c r="O40" s="1">
        <f t="shared" si="7"/>
        <v>4301.1959683223959</v>
      </c>
      <c r="P40" s="1">
        <f t="shared" si="7"/>
        <v>4299.3585390574162</v>
      </c>
      <c r="Q40" s="1">
        <f>SUM(E40:P40)</f>
        <v>51512.215451454613</v>
      </c>
    </row>
    <row r="41" spans="1:17" x14ac:dyDescent="0.25">
      <c r="A41" s="200"/>
      <c r="B41" s="23" t="s">
        <v>264</v>
      </c>
      <c r="C41" s="23" t="s">
        <v>161</v>
      </c>
      <c r="E41" s="1">
        <f t="shared" ref="E41:P41" si="8">ROUND(E39-E40,2)</f>
        <v>51224.25</v>
      </c>
      <c r="F41" s="1">
        <f t="shared" si="8"/>
        <v>51309.49</v>
      </c>
      <c r="G41" s="1">
        <f t="shared" si="8"/>
        <v>51263.87</v>
      </c>
      <c r="H41" s="1">
        <f t="shared" si="8"/>
        <v>51262.35</v>
      </c>
      <c r="I41" s="1">
        <f t="shared" si="8"/>
        <v>51924.15</v>
      </c>
      <c r="J41" s="1">
        <f t="shared" si="8"/>
        <v>51277.91</v>
      </c>
      <c r="K41" s="1">
        <f t="shared" si="8"/>
        <v>51702.55</v>
      </c>
      <c r="L41" s="1">
        <f t="shared" si="8"/>
        <v>51680.5</v>
      </c>
      <c r="M41" s="1">
        <f t="shared" si="8"/>
        <v>51658.45</v>
      </c>
      <c r="N41" s="1">
        <f t="shared" si="8"/>
        <v>51636.4</v>
      </c>
      <c r="O41" s="1">
        <f t="shared" si="8"/>
        <v>51614.35</v>
      </c>
      <c r="P41" s="1">
        <f t="shared" si="8"/>
        <v>51592.3</v>
      </c>
      <c r="Q41" s="1">
        <f>SUM(E41:P41)</f>
        <v>618146.57000000007</v>
      </c>
    </row>
    <row r="42" spans="1:17" x14ac:dyDescent="0.25">
      <c r="A42" s="200"/>
      <c r="B42" s="20"/>
      <c r="C42" s="202"/>
    </row>
    <row r="43" spans="1:17" x14ac:dyDescent="0.25">
      <c r="A43" s="13">
        <v>10</v>
      </c>
      <c r="B43" s="23" t="s">
        <v>287</v>
      </c>
      <c r="E43" s="203">
        <v>1</v>
      </c>
      <c r="F43" s="203">
        <v>1</v>
      </c>
      <c r="G43" s="203">
        <v>1</v>
      </c>
      <c r="H43" s="203">
        <v>1</v>
      </c>
      <c r="I43" s="203">
        <v>1</v>
      </c>
      <c r="J43" s="203">
        <v>1</v>
      </c>
      <c r="K43" s="203">
        <v>1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</row>
    <row r="44" spans="1:17" x14ac:dyDescent="0.25">
      <c r="A44" s="13">
        <v>11</v>
      </c>
      <c r="B44" s="23" t="s">
        <v>288</v>
      </c>
      <c r="E44" s="203">
        <v>0.9723427</v>
      </c>
      <c r="F44" s="203">
        <v>0.9723427</v>
      </c>
      <c r="G44" s="203">
        <v>0.9723427</v>
      </c>
      <c r="H44" s="203">
        <v>0.9723427</v>
      </c>
      <c r="I44" s="203">
        <v>0.9723427</v>
      </c>
      <c r="J44" s="203">
        <v>0.9723427</v>
      </c>
      <c r="K44" s="203">
        <v>0.9723427</v>
      </c>
      <c r="L44" s="203">
        <v>0.9723427</v>
      </c>
      <c r="M44" s="203">
        <v>0.9723427</v>
      </c>
      <c r="N44" s="203">
        <v>0.9723427</v>
      </c>
      <c r="O44" s="203">
        <v>0.9723427</v>
      </c>
      <c r="P44" s="203">
        <v>0.9723427</v>
      </c>
    </row>
    <row r="45" spans="1:17" x14ac:dyDescent="0.25">
      <c r="A45" s="13"/>
      <c r="B45" s="23"/>
      <c r="C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7" x14ac:dyDescent="0.25">
      <c r="A46" s="13">
        <v>12</v>
      </c>
      <c r="B46" s="23" t="s">
        <v>289</v>
      </c>
      <c r="E46" s="1">
        <v>4273.8103415018441</v>
      </c>
      <c r="F46" s="1">
        <v>4280.9217672980676</v>
      </c>
      <c r="G46" s="1">
        <v>4277.1158717267044</v>
      </c>
      <c r="H46" s="1">
        <v>4276.9888954756934</v>
      </c>
      <c r="I46" s="1">
        <v>4332.2051893058888</v>
      </c>
      <c r="J46" s="1">
        <v>4278.2869161609797</v>
      </c>
      <c r="K46" s="1">
        <v>4313.7159402047755</v>
      </c>
      <c r="L46" s="1">
        <v>4311.8763060246774</v>
      </c>
      <c r="M46" s="1">
        <v>4310.0366718445794</v>
      </c>
      <c r="N46" s="1">
        <v>4308.1970376644813</v>
      </c>
      <c r="O46" s="1">
        <v>4306.3574034843832</v>
      </c>
      <c r="P46" s="1">
        <v>4304.5177693042851</v>
      </c>
      <c r="Q46" s="1">
        <f>ROUND(SUM(E46:P46),2)</f>
        <v>51574.03</v>
      </c>
    </row>
    <row r="47" spans="1:17" x14ac:dyDescent="0.25">
      <c r="A47" s="13">
        <v>13</v>
      </c>
      <c r="B47" s="23" t="s">
        <v>290</v>
      </c>
      <c r="E47" s="199">
        <f>E41*E44</f>
        <v>49807.525550475002</v>
      </c>
      <c r="F47" s="199">
        <f t="shared" ref="F47:P47" si="9">F41*F44</f>
        <v>49890.408042222996</v>
      </c>
      <c r="G47" s="199">
        <f t="shared" si="9"/>
        <v>49846.049768249002</v>
      </c>
      <c r="H47" s="199">
        <f t="shared" si="9"/>
        <v>49844.571807344997</v>
      </c>
      <c r="I47" s="199">
        <f t="shared" si="9"/>
        <v>50488.068206205004</v>
      </c>
      <c r="J47" s="199">
        <f t="shared" si="9"/>
        <v>49859.701459757001</v>
      </c>
      <c r="K47" s="199">
        <f t="shared" si="9"/>
        <v>50272.597063885005</v>
      </c>
      <c r="L47" s="199">
        <f t="shared" si="9"/>
        <v>50251.15690735</v>
      </c>
      <c r="M47" s="199">
        <f t="shared" si="9"/>
        <v>50229.716750814994</v>
      </c>
      <c r="N47" s="199">
        <f t="shared" si="9"/>
        <v>50208.276594280003</v>
      </c>
      <c r="O47" s="199">
        <f t="shared" si="9"/>
        <v>50186.836437744998</v>
      </c>
      <c r="P47" s="199">
        <f t="shared" si="9"/>
        <v>50165.39628121</v>
      </c>
      <c r="Q47" s="199">
        <f>SUM(E47:P47)</f>
        <v>601050.30486953899</v>
      </c>
    </row>
    <row r="48" spans="1:17" ht="13" thickBot="1" x14ac:dyDescent="0.3">
      <c r="A48" s="13">
        <v>14</v>
      </c>
      <c r="B48" s="23" t="s">
        <v>291</v>
      </c>
      <c r="E48" s="204">
        <f t="shared" ref="E48:Q48" si="10">E46+E47</f>
        <v>54081.335891976843</v>
      </c>
      <c r="F48" s="204">
        <f t="shared" si="10"/>
        <v>54171.329809521063</v>
      </c>
      <c r="G48" s="204">
        <f t="shared" si="10"/>
        <v>54123.165639975705</v>
      </c>
      <c r="H48" s="204">
        <f t="shared" si="10"/>
        <v>54121.560702820687</v>
      </c>
      <c r="I48" s="204">
        <f t="shared" si="10"/>
        <v>54820.273395510892</v>
      </c>
      <c r="J48" s="204">
        <f t="shared" si="10"/>
        <v>54137.988375917979</v>
      </c>
      <c r="K48" s="204">
        <f t="shared" si="10"/>
        <v>54586.313004089781</v>
      </c>
      <c r="L48" s="204">
        <f t="shared" si="10"/>
        <v>54563.033213374678</v>
      </c>
      <c r="M48" s="204">
        <f t="shared" si="10"/>
        <v>54539.753422659574</v>
      </c>
      <c r="N48" s="204">
        <f t="shared" si="10"/>
        <v>54516.473631944486</v>
      </c>
      <c r="O48" s="204">
        <f t="shared" si="10"/>
        <v>54493.193841229382</v>
      </c>
      <c r="P48" s="204">
        <f t="shared" si="10"/>
        <v>54469.914050514286</v>
      </c>
      <c r="Q48" s="204">
        <f t="shared" si="10"/>
        <v>652624.33486953902</v>
      </c>
    </row>
    <row r="49" spans="1:20" ht="13" thickTop="1" x14ac:dyDescent="0.25">
      <c r="A49" s="200"/>
      <c r="B49" s="200"/>
    </row>
    <row r="50" spans="1:20" x14ac:dyDescent="0.25">
      <c r="A50" s="210" t="s">
        <v>76</v>
      </c>
      <c r="B50" s="13"/>
    </row>
    <row r="51" spans="1:20" x14ac:dyDescent="0.25">
      <c r="A51" s="23" t="s">
        <v>168</v>
      </c>
      <c r="B51" s="23" t="s">
        <v>321</v>
      </c>
    </row>
    <row r="52" spans="1:20" x14ac:dyDescent="0.25">
      <c r="A52" s="23"/>
      <c r="B52" s="228" t="s">
        <v>333</v>
      </c>
    </row>
    <row r="53" spans="1:20" x14ac:dyDescent="0.25">
      <c r="A53" s="23" t="s">
        <v>170</v>
      </c>
      <c r="B53" s="23" t="s">
        <v>293</v>
      </c>
      <c r="S53" s="21"/>
    </row>
    <row r="54" spans="1:20" x14ac:dyDescent="0.25">
      <c r="A54" s="23" t="s">
        <v>255</v>
      </c>
      <c r="B54" s="23" t="s">
        <v>294</v>
      </c>
      <c r="S54" s="21"/>
      <c r="T54" s="239"/>
    </row>
    <row r="55" spans="1:20" x14ac:dyDescent="0.25">
      <c r="A55" s="23" t="s">
        <v>295</v>
      </c>
      <c r="B55" s="23" t="s">
        <v>296</v>
      </c>
      <c r="S55" s="21"/>
      <c r="T55" s="239"/>
    </row>
    <row r="56" spans="1:20" x14ac:dyDescent="0.25">
      <c r="A56" s="23" t="s">
        <v>297</v>
      </c>
      <c r="B56" s="11" t="s">
        <v>298</v>
      </c>
      <c r="S56" s="21"/>
      <c r="T56" s="239"/>
    </row>
    <row r="57" spans="1:20" x14ac:dyDescent="0.25">
      <c r="A57" s="23" t="s">
        <v>299</v>
      </c>
      <c r="B57" s="23" t="s">
        <v>300</v>
      </c>
      <c r="S57" s="21"/>
      <c r="T57" s="239"/>
    </row>
    <row r="58" spans="1:20" x14ac:dyDescent="0.25">
      <c r="A58" s="23" t="s">
        <v>301</v>
      </c>
      <c r="B58" s="23" t="s">
        <v>302</v>
      </c>
      <c r="S58" s="21"/>
      <c r="T58" s="239"/>
    </row>
    <row r="59" spans="1:20" x14ac:dyDescent="0.25">
      <c r="A59" s="23" t="s">
        <v>303</v>
      </c>
      <c r="B59" s="23" t="s">
        <v>304</v>
      </c>
    </row>
    <row r="60" spans="1:20" x14ac:dyDescent="0.25">
      <c r="A60" s="23" t="s">
        <v>305</v>
      </c>
      <c r="B60" s="23" t="s">
        <v>306</v>
      </c>
    </row>
    <row r="61" spans="1:20" x14ac:dyDescent="0.25">
      <c r="A61" s="11" t="s">
        <v>307</v>
      </c>
      <c r="B61" s="23" t="s">
        <v>308</v>
      </c>
      <c r="S61" s="21"/>
      <c r="T61" s="239"/>
    </row>
    <row r="62" spans="1:20" x14ac:dyDescent="0.25">
      <c r="A62" s="11" t="s">
        <v>309</v>
      </c>
      <c r="B62" s="23" t="s">
        <v>310</v>
      </c>
      <c r="S62" s="21"/>
      <c r="T62" s="239"/>
    </row>
    <row r="65" spans="1:39" x14ac:dyDescent="0.2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</row>
    <row r="66" spans="1:39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</row>
    <row r="67" spans="1:39" x14ac:dyDescent="0.2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</row>
    <row r="68" spans="1:39" ht="13" x14ac:dyDescent="0.3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</row>
    <row r="69" spans="1:39" x14ac:dyDescent="0.2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</row>
    <row r="70" spans="1:39" x14ac:dyDescent="0.25">
      <c r="H70" s="21"/>
    </row>
    <row r="71" spans="1:39" x14ac:dyDescent="0.2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</row>
    <row r="73" spans="1:39" x14ac:dyDescent="0.2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C74" s="13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88" spans="5:16" x14ac:dyDescent="0.25"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91" spans="5:16" x14ac:dyDescent="0.25"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</row>
    <row r="97" spans="5:16" x14ac:dyDescent="0.25"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5:16" x14ac:dyDescent="0.25"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103" spans="5:16" x14ac:dyDescent="0.25"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5:16" x14ac:dyDescent="0.25"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5:16" x14ac:dyDescent="0.25"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13" spans="1:17" ht="16.5" customHeight="1" x14ac:dyDescent="0.25"/>
    <row r="115" spans="1:17" x14ac:dyDescent="0.2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1:17" x14ac:dyDescent="0.2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1:17" x14ac:dyDescent="0.2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</row>
    <row r="118" spans="1:17" ht="13" x14ac:dyDescent="0.3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</row>
    <row r="119" spans="1:17" x14ac:dyDescent="0.2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</row>
    <row r="120" spans="1:17" x14ac:dyDescent="0.25">
      <c r="H120" s="249"/>
    </row>
    <row r="121" spans="1:17" x14ac:dyDescent="0.2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</row>
    <row r="123" spans="1:17" x14ac:dyDescent="0.25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C124" s="13"/>
      <c r="D124" s="1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38" spans="5:16" x14ac:dyDescent="0.25"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</row>
    <row r="141" spans="5:16" x14ac:dyDescent="0.25"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</row>
    <row r="147" spans="5:16" x14ac:dyDescent="0.25"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5:16" x14ac:dyDescent="0.25"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53" spans="5:16" x14ac:dyDescent="0.25"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</row>
    <row r="154" spans="5:16" x14ac:dyDescent="0.25"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5:16" x14ac:dyDescent="0.25"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</row>
    <row r="161" spans="1:17" x14ac:dyDescent="0.2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</row>
    <row r="162" spans="1:17" x14ac:dyDescent="0.2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</row>
    <row r="163" spans="1:17" x14ac:dyDescent="0.2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</row>
    <row r="164" spans="1:17" ht="13" x14ac:dyDescent="0.3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</row>
    <row r="165" spans="1:17" x14ac:dyDescent="0.2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</row>
    <row r="166" spans="1:17" x14ac:dyDescent="0.25">
      <c r="H166" s="249"/>
    </row>
    <row r="167" spans="1:17" x14ac:dyDescent="0.2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</row>
    <row r="169" spans="1:17" x14ac:dyDescent="0.2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x14ac:dyDescent="0.25"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84" spans="5:16" x14ac:dyDescent="0.25"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</row>
    <row r="187" spans="5:16" x14ac:dyDescent="0.25"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</row>
    <row r="193" spans="5:16" x14ac:dyDescent="0.25"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</row>
    <row r="194" spans="5:16" x14ac:dyDescent="0.25"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</row>
    <row r="199" spans="5:16" x14ac:dyDescent="0.25"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</row>
    <row r="200" spans="5:16" x14ac:dyDescent="0.25"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</row>
    <row r="201" spans="5:16" x14ac:dyDescent="0.25"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</row>
    <row r="210" spans="1:17" x14ac:dyDescent="0.2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1:17" x14ac:dyDescent="0.2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1:17" x14ac:dyDescent="0.2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1:17" ht="13" x14ac:dyDescent="0.3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</row>
    <row r="214" spans="1:17" x14ac:dyDescent="0.2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</row>
    <row r="216" spans="1:17" x14ac:dyDescent="0.2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</row>
    <row r="218" spans="1:17" x14ac:dyDescent="0.25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x14ac:dyDescent="0.25">
      <c r="C219" s="13"/>
      <c r="D219" s="1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33" spans="5:16" x14ac:dyDescent="0.25"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</row>
    <row r="236" spans="5:16" x14ac:dyDescent="0.25"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</row>
    <row r="242" spans="5:16" x14ac:dyDescent="0.25"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</row>
    <row r="243" spans="5:16" x14ac:dyDescent="0.25"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</row>
    <row r="248" spans="5:16" x14ac:dyDescent="0.25"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</row>
    <row r="249" spans="5:16" x14ac:dyDescent="0.25"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</row>
    <row r="250" spans="5:16" x14ac:dyDescent="0.25"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</row>
    <row r="258" spans="1:17" x14ac:dyDescent="0.2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1:17" x14ac:dyDescent="0.2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1:17" x14ac:dyDescent="0.2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1:17" ht="13" x14ac:dyDescent="0.3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</row>
    <row r="262" spans="1:17" x14ac:dyDescent="0.2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1:17" x14ac:dyDescent="0.25">
      <c r="H263" s="21"/>
    </row>
    <row r="264" spans="1:17" x14ac:dyDescent="0.2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</row>
    <row r="266" spans="1:17" x14ac:dyDescent="0.25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x14ac:dyDescent="0.25">
      <c r="C267" s="13"/>
      <c r="D267" s="1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81" spans="5:16" x14ac:dyDescent="0.25"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</row>
    <row r="284" spans="5:16" x14ac:dyDescent="0.25"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</row>
    <row r="290" spans="5:16" x14ac:dyDescent="0.25"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</row>
    <row r="291" spans="5:16" x14ac:dyDescent="0.25"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</row>
    <row r="296" spans="5:16" x14ac:dyDescent="0.25"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</row>
    <row r="297" spans="5:16" x14ac:dyDescent="0.25"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</row>
    <row r="298" spans="5:16" x14ac:dyDescent="0.25"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</row>
    <row r="307" spans="1:17" x14ac:dyDescent="0.2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</row>
    <row r="308" spans="1:17" x14ac:dyDescent="0.2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</row>
    <row r="309" spans="1:17" x14ac:dyDescent="0.25">
      <c r="A309" s="211"/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</row>
    <row r="310" spans="1:17" ht="13" x14ac:dyDescent="0.3">
      <c r="A310" s="223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</row>
    <row r="311" spans="1:17" x14ac:dyDescent="0.25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</row>
    <row r="313" spans="1:17" x14ac:dyDescent="0.25">
      <c r="A313" s="211"/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</row>
    <row r="315" spans="1:17" x14ac:dyDescent="0.25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 x14ac:dyDescent="0.25">
      <c r="D316" s="1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3"/>
    </row>
    <row r="330" spans="5:16" x14ac:dyDescent="0.25"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</row>
    <row r="333" spans="5:16" x14ac:dyDescent="0.25"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</row>
    <row r="339" spans="5:16" x14ac:dyDescent="0.25"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</row>
    <row r="340" spans="5:16" x14ac:dyDescent="0.25"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</row>
    <row r="345" spans="5:16" x14ac:dyDescent="0.25"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</row>
    <row r="346" spans="5:16" x14ac:dyDescent="0.25"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</row>
    <row r="347" spans="5:16" x14ac:dyDescent="0.25"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</row>
    <row r="356" spans="1:17" x14ac:dyDescent="0.25">
      <c r="A356" s="211"/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</row>
    <row r="357" spans="1:17" x14ac:dyDescent="0.25">
      <c r="A357" s="211"/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</row>
    <row r="358" spans="1:17" x14ac:dyDescent="0.25">
      <c r="A358" s="211"/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</row>
    <row r="359" spans="1:17" ht="13" x14ac:dyDescent="0.3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</row>
    <row r="360" spans="1:17" x14ac:dyDescent="0.25">
      <c r="A360" s="211"/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</row>
    <row r="362" spans="1:17" x14ac:dyDescent="0.25">
      <c r="A362" s="211"/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</row>
    <row r="364" spans="1:17" x14ac:dyDescent="0.25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x14ac:dyDescent="0.25">
      <c r="D365" s="1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13"/>
    </row>
    <row r="379" spans="5:16" x14ac:dyDescent="0.25"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</row>
    <row r="382" spans="5:16" x14ac:dyDescent="0.25"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</row>
    <row r="388" spans="5:16" x14ac:dyDescent="0.25"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</row>
    <row r="389" spans="5:16" x14ac:dyDescent="0.25"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</row>
    <row r="394" spans="5:16" x14ac:dyDescent="0.25"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</row>
    <row r="395" spans="5:16" x14ac:dyDescent="0.25"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</row>
    <row r="396" spans="5:16" x14ac:dyDescent="0.25"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</row>
    <row r="403" spans="1:17" x14ac:dyDescent="0.25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</row>
    <row r="404" spans="1:17" x14ac:dyDescent="0.25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</row>
    <row r="405" spans="1:17" x14ac:dyDescent="0.25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</row>
    <row r="406" spans="1:17" ht="13" x14ac:dyDescent="0.3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</row>
    <row r="407" spans="1:17" x14ac:dyDescent="0.25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</row>
    <row r="409" spans="1:17" x14ac:dyDescent="0.25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</row>
    <row r="411" spans="1:17" x14ac:dyDescent="0.25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 x14ac:dyDescent="0.25">
      <c r="D412" s="1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13"/>
    </row>
    <row r="426" spans="5:16" x14ac:dyDescent="0.25"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</row>
    <row r="429" spans="5:16" x14ac:dyDescent="0.25"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</row>
    <row r="435" spans="5:16" x14ac:dyDescent="0.25"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</row>
    <row r="436" spans="5:16" x14ac:dyDescent="0.25"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</row>
    <row r="441" spans="5:16" x14ac:dyDescent="0.25"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</row>
    <row r="442" spans="5:16" x14ac:dyDescent="0.25"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</row>
    <row r="443" spans="5:16" x14ac:dyDescent="0.25"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</row>
    <row r="452" spans="1:17" x14ac:dyDescent="0.25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</row>
    <row r="453" spans="1:17" x14ac:dyDescent="0.25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</row>
    <row r="454" spans="1:17" x14ac:dyDescent="0.25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</row>
    <row r="455" spans="1:17" ht="13" x14ac:dyDescent="0.3">
      <c r="A455" s="223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</row>
    <row r="456" spans="1:17" x14ac:dyDescent="0.25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</row>
    <row r="458" spans="1:17" x14ac:dyDescent="0.25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</row>
    <row r="460" spans="1:17" x14ac:dyDescent="0.25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 x14ac:dyDescent="0.25">
      <c r="D461" s="1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13"/>
    </row>
    <row r="475" spans="5:16" x14ac:dyDescent="0.25"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</row>
    <row r="478" spans="5:16" x14ac:dyDescent="0.25"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</row>
    <row r="484" spans="5:16" x14ac:dyDescent="0.25"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</row>
    <row r="485" spans="5:16" x14ac:dyDescent="0.25"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</row>
    <row r="490" spans="5:16" x14ac:dyDescent="0.25"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</row>
    <row r="491" spans="5:16" x14ac:dyDescent="0.25"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</row>
    <row r="492" spans="5:16" x14ac:dyDescent="0.25"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</row>
    <row r="501" spans="1:17" x14ac:dyDescent="0.25">
      <c r="A501" s="211"/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</row>
    <row r="502" spans="1:17" x14ac:dyDescent="0.25">
      <c r="A502" s="211"/>
      <c r="B502" s="211"/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</row>
    <row r="503" spans="1:17" x14ac:dyDescent="0.25">
      <c r="A503" s="211"/>
      <c r="B503" s="211"/>
      <c r="C503" s="211"/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</row>
    <row r="504" spans="1:17" ht="13" x14ac:dyDescent="0.3">
      <c r="A504" s="223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</row>
    <row r="505" spans="1:17" x14ac:dyDescent="0.25">
      <c r="A505" s="211"/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</row>
    <row r="507" spans="1:17" x14ac:dyDescent="0.25">
      <c r="A507" s="211"/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</row>
    <row r="509" spans="1:17" x14ac:dyDescent="0.25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 x14ac:dyDescent="0.25">
      <c r="D510" s="1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13"/>
    </row>
    <row r="524" spans="5:16" x14ac:dyDescent="0.25">
      <c r="E524" s="201"/>
      <c r="F524" s="201"/>
      <c r="G524" s="201"/>
      <c r="H524" s="201"/>
      <c r="I524" s="201"/>
      <c r="J524" s="201"/>
      <c r="K524" s="201"/>
      <c r="L524" s="201"/>
      <c r="M524" s="201"/>
      <c r="N524" s="201"/>
      <c r="O524" s="201"/>
      <c r="P524" s="201"/>
    </row>
    <row r="527" spans="5:16" x14ac:dyDescent="0.25"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</row>
    <row r="533" spans="5:16" x14ac:dyDescent="0.25"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</row>
    <row r="534" spans="5:16" x14ac:dyDescent="0.25"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</row>
    <row r="539" spans="5:16" x14ac:dyDescent="0.25"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</row>
    <row r="540" spans="5:16" x14ac:dyDescent="0.25"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</row>
    <row r="541" spans="5:16" x14ac:dyDescent="0.25"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</row>
    <row r="550" spans="1:17" x14ac:dyDescent="0.25">
      <c r="A550" s="211"/>
      <c r="B550" s="211"/>
      <c r="C550" s="211"/>
      <c r="D550" s="211"/>
      <c r="E550" s="211"/>
      <c r="F550" s="211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</row>
    <row r="551" spans="1:17" x14ac:dyDescent="0.25">
      <c r="A551" s="211"/>
      <c r="B551" s="211"/>
      <c r="C551" s="211"/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</row>
    <row r="552" spans="1:17" x14ac:dyDescent="0.25">
      <c r="A552" s="211"/>
      <c r="B552" s="211"/>
      <c r="C552" s="211"/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</row>
    <row r="553" spans="1:17" ht="13" x14ac:dyDescent="0.3">
      <c r="A553" s="223"/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</row>
    <row r="554" spans="1:17" x14ac:dyDescent="0.25">
      <c r="A554" s="211"/>
      <c r="B554" s="211"/>
      <c r="C554" s="211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</row>
    <row r="556" spans="1:17" x14ac:dyDescent="0.25">
      <c r="A556" s="211"/>
      <c r="B556" s="211"/>
      <c r="C556" s="211"/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</row>
    <row r="558" spans="1:17" x14ac:dyDescent="0.25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 x14ac:dyDescent="0.25">
      <c r="D559" s="1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13"/>
    </row>
    <row r="573" spans="5:16" x14ac:dyDescent="0.25">
      <c r="E573" s="201"/>
      <c r="F573" s="201"/>
      <c r="G573" s="201"/>
      <c r="H573" s="201"/>
      <c r="I573" s="201"/>
      <c r="J573" s="201"/>
      <c r="K573" s="201"/>
      <c r="L573" s="201"/>
      <c r="M573" s="201"/>
      <c r="N573" s="201"/>
      <c r="O573" s="201"/>
      <c r="P573" s="201"/>
    </row>
    <row r="576" spans="5:16" x14ac:dyDescent="0.25">
      <c r="F576" s="201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</row>
    <row r="582" spans="5:16" x14ac:dyDescent="0.25"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</row>
    <row r="583" spans="5:16" x14ac:dyDescent="0.25"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</row>
    <row r="588" spans="5:16" x14ac:dyDescent="0.25"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</row>
    <row r="589" spans="5:16" x14ac:dyDescent="0.25"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</row>
    <row r="590" spans="5:16" x14ac:dyDescent="0.25"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</row>
    <row r="599" spans="1:17" x14ac:dyDescent="0.25">
      <c r="A599" s="211"/>
      <c r="B599" s="211"/>
      <c r="C599" s="211"/>
      <c r="D599" s="211"/>
      <c r="E599" s="211"/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</row>
    <row r="600" spans="1:17" x14ac:dyDescent="0.25">
      <c r="A600" s="211"/>
      <c r="B600" s="211"/>
      <c r="C600" s="211"/>
      <c r="D600" s="211"/>
      <c r="E600" s="211"/>
      <c r="F600" s="211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</row>
    <row r="601" spans="1:17" x14ac:dyDescent="0.25">
      <c r="A601" s="211"/>
      <c r="B601" s="211"/>
      <c r="C601" s="211"/>
      <c r="D601" s="211"/>
      <c r="E601" s="211"/>
      <c r="F601" s="211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</row>
    <row r="602" spans="1:17" ht="13" x14ac:dyDescent="0.3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</row>
    <row r="603" spans="1:17" x14ac:dyDescent="0.25">
      <c r="A603" s="211"/>
      <c r="B603" s="211"/>
      <c r="C603" s="211"/>
      <c r="D603" s="211"/>
      <c r="E603" s="211"/>
      <c r="F603" s="211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</row>
    <row r="605" spans="1:17" x14ac:dyDescent="0.25">
      <c r="A605" s="211"/>
      <c r="B605" s="211"/>
      <c r="C605" s="211"/>
      <c r="D605" s="211"/>
      <c r="E605" s="211"/>
      <c r="F605" s="211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</row>
    <row r="607" spans="1:17" x14ac:dyDescent="0.25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 x14ac:dyDescent="0.25">
      <c r="D608" s="1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13"/>
    </row>
    <row r="622" spans="5:16" x14ac:dyDescent="0.25">
      <c r="E622" s="201"/>
      <c r="F622" s="201"/>
      <c r="G622" s="201"/>
      <c r="H622" s="201"/>
      <c r="I622" s="201"/>
      <c r="J622" s="201"/>
      <c r="K622" s="201"/>
      <c r="L622" s="201"/>
      <c r="M622" s="201"/>
      <c r="N622" s="201"/>
      <c r="O622" s="201"/>
      <c r="P622" s="201"/>
    </row>
    <row r="625" spans="5:16" x14ac:dyDescent="0.25">
      <c r="F625" s="201"/>
      <c r="G625" s="201"/>
      <c r="H625" s="201"/>
      <c r="I625" s="201"/>
      <c r="J625" s="201"/>
      <c r="K625" s="201"/>
      <c r="L625" s="201"/>
      <c r="M625" s="201"/>
      <c r="N625" s="201"/>
      <c r="O625" s="201"/>
      <c r="P625" s="201"/>
    </row>
    <row r="631" spans="5:16" x14ac:dyDescent="0.25"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</row>
    <row r="632" spans="5:16" x14ac:dyDescent="0.25"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</row>
    <row r="637" spans="5:16" x14ac:dyDescent="0.25"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</row>
    <row r="638" spans="5:16" x14ac:dyDescent="0.25"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</row>
    <row r="639" spans="5:16" x14ac:dyDescent="0.25"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</row>
    <row r="648" spans="1:17" x14ac:dyDescent="0.25">
      <c r="A648" s="211"/>
      <c r="B648" s="211"/>
      <c r="C648" s="211"/>
      <c r="D648" s="211"/>
      <c r="E648" s="211"/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</row>
    <row r="649" spans="1:17" x14ac:dyDescent="0.25">
      <c r="A649" s="211"/>
      <c r="B649" s="211"/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</row>
    <row r="650" spans="1:17" x14ac:dyDescent="0.25">
      <c r="A650" s="211"/>
      <c r="B650" s="211"/>
      <c r="C650" s="211"/>
      <c r="D650" s="211"/>
      <c r="E650" s="211"/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</row>
    <row r="651" spans="1:17" ht="13" x14ac:dyDescent="0.3">
      <c r="A651" s="223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</row>
    <row r="652" spans="1:17" x14ac:dyDescent="0.25">
      <c r="A652" s="211"/>
      <c r="B652" s="211"/>
      <c r="C652" s="211"/>
      <c r="D652" s="211"/>
      <c r="E652" s="211"/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</row>
    <row r="654" spans="1:17" x14ac:dyDescent="0.25">
      <c r="A654" s="211"/>
      <c r="B654" s="211"/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</row>
    <row r="656" spans="1:17" x14ac:dyDescent="0.25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4:17" x14ac:dyDescent="0.25">
      <c r="D657" s="1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13"/>
    </row>
    <row r="671" spans="4:17" x14ac:dyDescent="0.25">
      <c r="E671" s="201"/>
      <c r="F671" s="201"/>
      <c r="G671" s="201"/>
      <c r="H671" s="201"/>
      <c r="I671" s="201"/>
      <c r="J671" s="201"/>
      <c r="K671" s="201"/>
      <c r="L671" s="201"/>
      <c r="M671" s="201"/>
      <c r="N671" s="201"/>
      <c r="O671" s="201"/>
      <c r="P671" s="201"/>
    </row>
    <row r="674" spans="5:16" x14ac:dyDescent="0.25">
      <c r="F674" s="201"/>
      <c r="G674" s="201"/>
      <c r="H674" s="201"/>
      <c r="I674" s="201"/>
      <c r="J674" s="201"/>
      <c r="K674" s="201"/>
      <c r="L674" s="201"/>
      <c r="M674" s="201"/>
      <c r="N674" s="201"/>
      <c r="O674" s="201"/>
      <c r="P674" s="201"/>
    </row>
    <row r="680" spans="5:16" x14ac:dyDescent="0.25"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</row>
    <row r="681" spans="5:16" x14ac:dyDescent="0.25"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</row>
    <row r="686" spans="5:16" x14ac:dyDescent="0.25"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</row>
    <row r="687" spans="5:16" x14ac:dyDescent="0.25"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</row>
    <row r="688" spans="5:16" x14ac:dyDescent="0.25"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</row>
    <row r="697" spans="1:17" x14ac:dyDescent="0.25">
      <c r="A697" s="211"/>
      <c r="B697" s="211"/>
      <c r="C697" s="211"/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</row>
    <row r="698" spans="1:17" x14ac:dyDescent="0.25">
      <c r="A698" s="211"/>
      <c r="B698" s="211"/>
      <c r="C698" s="211"/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</row>
    <row r="699" spans="1:17" x14ac:dyDescent="0.25">
      <c r="A699" s="211"/>
      <c r="B699" s="211"/>
      <c r="C699" s="211"/>
      <c r="D699" s="211"/>
      <c r="E699" s="211"/>
      <c r="F699" s="211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</row>
    <row r="700" spans="1:17" ht="13" x14ac:dyDescent="0.3">
      <c r="A700" s="223"/>
      <c r="B700" s="223"/>
      <c r="C700" s="223"/>
      <c r="D700" s="223"/>
      <c r="E700" s="223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</row>
    <row r="701" spans="1:17" x14ac:dyDescent="0.25">
      <c r="A701" s="211"/>
      <c r="B701" s="211"/>
      <c r="C701" s="211"/>
      <c r="D701" s="211"/>
      <c r="E701" s="211"/>
      <c r="F701" s="211"/>
      <c r="G701" s="211"/>
      <c r="H701" s="211"/>
      <c r="I701" s="211"/>
      <c r="J701" s="211"/>
      <c r="K701" s="211"/>
      <c r="L701" s="211"/>
      <c r="M701" s="211"/>
      <c r="N701" s="211"/>
      <c r="O701" s="211"/>
      <c r="P701" s="211"/>
      <c r="Q701" s="211"/>
    </row>
    <row r="703" spans="1:17" x14ac:dyDescent="0.25">
      <c r="A703" s="211"/>
      <c r="B703" s="211"/>
      <c r="C703" s="211"/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</row>
    <row r="705" spans="4:17" x14ac:dyDescent="0.25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4:17" x14ac:dyDescent="0.25">
      <c r="D706" s="1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13"/>
    </row>
    <row r="720" spans="4:17" x14ac:dyDescent="0.25">
      <c r="E720" s="201"/>
      <c r="F720" s="201"/>
      <c r="G720" s="201"/>
      <c r="H720" s="201"/>
      <c r="I720" s="201"/>
      <c r="J720" s="201"/>
      <c r="K720" s="201"/>
      <c r="L720" s="201"/>
      <c r="M720" s="201"/>
      <c r="N720" s="201"/>
      <c r="O720" s="201"/>
      <c r="P720" s="201"/>
    </row>
    <row r="723" spans="5:16" x14ac:dyDescent="0.25">
      <c r="F723" s="201"/>
      <c r="G723" s="201"/>
      <c r="H723" s="201"/>
      <c r="I723" s="201"/>
      <c r="J723" s="201"/>
      <c r="K723" s="201"/>
      <c r="L723" s="201"/>
      <c r="M723" s="201"/>
      <c r="N723" s="201"/>
      <c r="O723" s="201"/>
      <c r="P723" s="201"/>
    </row>
    <row r="729" spans="5:16" x14ac:dyDescent="0.25"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</row>
    <row r="730" spans="5:16" x14ac:dyDescent="0.25"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</row>
    <row r="735" spans="5:16" x14ac:dyDescent="0.25"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</row>
    <row r="736" spans="5:16" x14ac:dyDescent="0.25"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</row>
    <row r="737" spans="1:17" x14ac:dyDescent="0.25"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</row>
    <row r="746" spans="1:17" x14ac:dyDescent="0.25">
      <c r="A746" s="211"/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</row>
    <row r="747" spans="1:17" x14ac:dyDescent="0.25">
      <c r="A747" s="211"/>
      <c r="B747" s="211"/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</row>
    <row r="748" spans="1:17" x14ac:dyDescent="0.25">
      <c r="A748" s="211"/>
      <c r="B748" s="211"/>
      <c r="C748" s="211"/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</row>
    <row r="749" spans="1:17" ht="13" x14ac:dyDescent="0.3">
      <c r="A749" s="223"/>
      <c r="B749" s="223"/>
      <c r="C749" s="223"/>
      <c r="D749" s="223"/>
      <c r="E749" s="223"/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</row>
    <row r="750" spans="1:17" x14ac:dyDescent="0.25">
      <c r="A750" s="211"/>
      <c r="B750" s="211"/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</row>
    <row r="752" spans="1:17" x14ac:dyDescent="0.25">
      <c r="A752" s="211"/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</row>
    <row r="754" spans="4:17" x14ac:dyDescent="0.25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4:17" x14ac:dyDescent="0.25">
      <c r="D755" s="1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13"/>
    </row>
    <row r="769" spans="5:16" x14ac:dyDescent="0.25">
      <c r="E769" s="201"/>
      <c r="F769" s="201"/>
      <c r="G769" s="201"/>
      <c r="H769" s="201"/>
      <c r="I769" s="201"/>
      <c r="J769" s="201"/>
      <c r="K769" s="201"/>
      <c r="L769" s="201"/>
      <c r="M769" s="201"/>
      <c r="N769" s="201"/>
      <c r="O769" s="201"/>
      <c r="P769" s="201"/>
    </row>
    <row r="772" spans="5:16" x14ac:dyDescent="0.25">
      <c r="F772" s="201"/>
      <c r="G772" s="201"/>
      <c r="H772" s="201"/>
      <c r="I772" s="201"/>
      <c r="J772" s="201"/>
      <c r="K772" s="201"/>
      <c r="L772" s="201"/>
      <c r="M772" s="201"/>
      <c r="N772" s="201"/>
      <c r="O772" s="201"/>
      <c r="P772" s="201"/>
    </row>
    <row r="778" spans="5:16" x14ac:dyDescent="0.25"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</row>
    <row r="779" spans="5:16" x14ac:dyDescent="0.25"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</row>
    <row r="784" spans="5:16" x14ac:dyDescent="0.25"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</row>
    <row r="785" spans="1:17" x14ac:dyDescent="0.25"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</row>
    <row r="786" spans="1:17" x14ac:dyDescent="0.25"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</row>
    <row r="794" spans="1:17" x14ac:dyDescent="0.25">
      <c r="A794" s="211"/>
      <c r="B794" s="211"/>
      <c r="C794" s="211"/>
      <c r="D794" s="211"/>
      <c r="E794" s="211"/>
      <c r="F794" s="211"/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</row>
    <row r="795" spans="1:17" x14ac:dyDescent="0.25">
      <c r="A795" s="211"/>
      <c r="B795" s="211"/>
      <c r="C795" s="211"/>
      <c r="D795" s="211"/>
      <c r="E795" s="211"/>
      <c r="F795" s="211"/>
      <c r="G795" s="211"/>
      <c r="H795" s="211"/>
      <c r="I795" s="211"/>
      <c r="J795" s="211"/>
      <c r="K795" s="211"/>
      <c r="L795" s="211"/>
      <c r="M795" s="211"/>
      <c r="N795" s="211"/>
      <c r="O795" s="211"/>
      <c r="P795" s="211"/>
      <c r="Q795" s="211"/>
    </row>
    <row r="796" spans="1:17" x14ac:dyDescent="0.25">
      <c r="A796" s="211"/>
      <c r="B796" s="211"/>
      <c r="C796" s="211"/>
      <c r="D796" s="211"/>
      <c r="E796" s="211"/>
      <c r="F796" s="211"/>
      <c r="G796" s="211"/>
      <c r="H796" s="211"/>
      <c r="I796" s="211"/>
      <c r="J796" s="211"/>
      <c r="K796" s="211"/>
      <c r="L796" s="211"/>
      <c r="M796" s="211"/>
      <c r="N796" s="211"/>
      <c r="O796" s="211"/>
      <c r="P796" s="211"/>
      <c r="Q796" s="211"/>
    </row>
    <row r="797" spans="1:17" ht="13" x14ac:dyDescent="0.3">
      <c r="A797" s="223"/>
      <c r="B797" s="223"/>
      <c r="C797" s="223"/>
      <c r="D797" s="223"/>
      <c r="E797" s="223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</row>
    <row r="798" spans="1:17" x14ac:dyDescent="0.25">
      <c r="A798" s="211"/>
      <c r="B798" s="211"/>
      <c r="C798" s="211"/>
      <c r="D798" s="211"/>
      <c r="E798" s="211"/>
      <c r="F798" s="211"/>
      <c r="G798" s="211"/>
      <c r="H798" s="211"/>
      <c r="I798" s="211"/>
      <c r="J798" s="211"/>
      <c r="K798" s="211"/>
      <c r="L798" s="211"/>
      <c r="M798" s="211"/>
      <c r="N798" s="211"/>
      <c r="O798" s="211"/>
      <c r="P798" s="211"/>
      <c r="Q798" s="211"/>
    </row>
    <row r="800" spans="1:17" x14ac:dyDescent="0.25">
      <c r="A800" s="211"/>
      <c r="B800" s="211"/>
      <c r="C800" s="211"/>
      <c r="D800" s="211"/>
      <c r="E800" s="211"/>
      <c r="F800" s="211"/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</row>
    <row r="802" spans="4:17" x14ac:dyDescent="0.25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4:17" x14ac:dyDescent="0.25">
      <c r="D803" s="13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13"/>
    </row>
    <row r="817" spans="5:16" x14ac:dyDescent="0.25"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</row>
    <row r="820" spans="5:16" x14ac:dyDescent="0.25"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</row>
    <row r="826" spans="5:16" x14ac:dyDescent="0.25"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</row>
    <row r="827" spans="5:16" x14ac:dyDescent="0.25"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</row>
    <row r="832" spans="5:16" x14ac:dyDescent="0.25"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</row>
    <row r="833" spans="1:17" x14ac:dyDescent="0.25"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</row>
    <row r="834" spans="1:17" x14ac:dyDescent="0.25"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</row>
    <row r="843" spans="1:17" x14ac:dyDescent="0.25">
      <c r="A843" s="211"/>
      <c r="B843" s="211"/>
      <c r="C843" s="211"/>
      <c r="D843" s="211"/>
      <c r="E843" s="211"/>
      <c r="F843" s="211"/>
      <c r="G843" s="211"/>
      <c r="H843" s="211"/>
      <c r="I843" s="211"/>
      <c r="J843" s="211"/>
      <c r="K843" s="211"/>
      <c r="L843" s="211"/>
      <c r="M843" s="211"/>
      <c r="N843" s="211"/>
      <c r="O843" s="211"/>
      <c r="P843" s="211"/>
      <c r="Q843" s="211"/>
    </row>
    <row r="844" spans="1:17" x14ac:dyDescent="0.25">
      <c r="A844" s="211"/>
      <c r="B844" s="211"/>
      <c r="C844" s="211"/>
      <c r="D844" s="211"/>
      <c r="E844" s="211"/>
      <c r="F844" s="211"/>
      <c r="G844" s="211"/>
      <c r="H844" s="211"/>
      <c r="I844" s="211"/>
      <c r="J844" s="211"/>
      <c r="K844" s="211"/>
      <c r="L844" s="211"/>
      <c r="M844" s="211"/>
      <c r="N844" s="211"/>
      <c r="O844" s="211"/>
      <c r="P844" s="211"/>
      <c r="Q844" s="211"/>
    </row>
    <row r="845" spans="1:17" x14ac:dyDescent="0.25">
      <c r="A845" s="211"/>
      <c r="B845" s="211"/>
      <c r="C845" s="211"/>
      <c r="D845" s="211"/>
      <c r="E845" s="211"/>
      <c r="F845" s="211"/>
      <c r="G845" s="211"/>
      <c r="H845" s="211"/>
      <c r="I845" s="211"/>
      <c r="J845" s="211"/>
      <c r="K845" s="211"/>
      <c r="L845" s="211"/>
      <c r="M845" s="211"/>
      <c r="N845" s="211"/>
      <c r="O845" s="211"/>
      <c r="P845" s="211"/>
      <c r="Q845" s="211"/>
    </row>
    <row r="846" spans="1:17" ht="13" x14ac:dyDescent="0.3">
      <c r="A846" s="223"/>
      <c r="B846" s="223"/>
      <c r="C846" s="223"/>
      <c r="D846" s="223"/>
      <c r="E846" s="223"/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</row>
    <row r="847" spans="1:17" x14ac:dyDescent="0.25">
      <c r="A847" s="211"/>
      <c r="B847" s="211"/>
      <c r="C847" s="211"/>
      <c r="D847" s="211"/>
      <c r="E847" s="211"/>
      <c r="F847" s="211"/>
      <c r="G847" s="211"/>
      <c r="H847" s="211"/>
      <c r="I847" s="211"/>
      <c r="J847" s="211"/>
      <c r="K847" s="211"/>
      <c r="L847" s="211"/>
      <c r="M847" s="211"/>
      <c r="N847" s="211"/>
      <c r="O847" s="211"/>
      <c r="P847" s="211"/>
      <c r="Q847" s="211"/>
    </row>
    <row r="849" spans="1:17" x14ac:dyDescent="0.25">
      <c r="A849" s="211"/>
      <c r="B849" s="211"/>
      <c r="C849" s="211"/>
      <c r="D849" s="211"/>
      <c r="E849" s="211"/>
      <c r="F849" s="211"/>
      <c r="G849" s="211"/>
      <c r="H849" s="211"/>
      <c r="I849" s="211"/>
      <c r="J849" s="211"/>
      <c r="K849" s="211"/>
      <c r="L849" s="211"/>
      <c r="M849" s="211"/>
      <c r="N849" s="211"/>
      <c r="O849" s="211"/>
      <c r="P849" s="211"/>
      <c r="Q849" s="211"/>
    </row>
    <row r="851" spans="1:17" x14ac:dyDescent="0.25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1:17" x14ac:dyDescent="0.25">
      <c r="D852" s="13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3"/>
    </row>
    <row r="866" spans="5:16" x14ac:dyDescent="0.25"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</row>
    <row r="869" spans="5:16" x14ac:dyDescent="0.25"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</row>
    <row r="875" spans="5:16" x14ac:dyDescent="0.25"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</row>
    <row r="876" spans="5:16" x14ac:dyDescent="0.25"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</row>
    <row r="881" spans="1:17" x14ac:dyDescent="0.25"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</row>
    <row r="882" spans="1:17" x14ac:dyDescent="0.25"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</row>
    <row r="883" spans="1:17" x14ac:dyDescent="0.25"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</row>
    <row r="892" spans="1:17" x14ac:dyDescent="0.25">
      <c r="A892" s="211"/>
      <c r="B892" s="211"/>
      <c r="C892" s="211"/>
      <c r="D892" s="211"/>
      <c r="E892" s="211"/>
      <c r="F892" s="211"/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</row>
    <row r="893" spans="1:17" x14ac:dyDescent="0.25">
      <c r="A893" s="211"/>
      <c r="B893" s="211"/>
      <c r="C893" s="211"/>
      <c r="D893" s="211"/>
      <c r="E893" s="211"/>
      <c r="F893" s="211"/>
      <c r="G893" s="211"/>
      <c r="H893" s="211"/>
      <c r="I893" s="211"/>
      <c r="J893" s="211"/>
      <c r="K893" s="211"/>
      <c r="L893" s="211"/>
      <c r="M893" s="211"/>
      <c r="N893" s="211"/>
      <c r="O893" s="211"/>
      <c r="P893" s="211"/>
      <c r="Q893" s="211"/>
    </row>
    <row r="894" spans="1:17" x14ac:dyDescent="0.25">
      <c r="A894" s="211"/>
      <c r="B894" s="211"/>
      <c r="C894" s="211"/>
      <c r="D894" s="211"/>
      <c r="E894" s="211"/>
      <c r="F894" s="211"/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</row>
    <row r="895" spans="1:17" ht="13" x14ac:dyDescent="0.3">
      <c r="A895" s="223"/>
      <c r="B895" s="223"/>
      <c r="C895" s="223"/>
      <c r="D895" s="223"/>
      <c r="E895" s="223"/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</row>
    <row r="896" spans="1:17" x14ac:dyDescent="0.25">
      <c r="A896" s="211"/>
      <c r="B896" s="211"/>
      <c r="C896" s="211"/>
      <c r="D896" s="211"/>
      <c r="E896" s="211"/>
      <c r="F896" s="211"/>
      <c r="G896" s="211"/>
      <c r="H896" s="211"/>
      <c r="I896" s="211"/>
      <c r="J896" s="211"/>
      <c r="K896" s="211"/>
      <c r="L896" s="211"/>
      <c r="M896" s="211"/>
      <c r="N896" s="211"/>
      <c r="O896" s="211"/>
      <c r="P896" s="211"/>
      <c r="Q896" s="211"/>
    </row>
    <row r="898" spans="1:17" x14ac:dyDescent="0.25">
      <c r="A898" s="211"/>
      <c r="B898" s="211"/>
      <c r="C898" s="211"/>
      <c r="D898" s="211"/>
      <c r="E898" s="211"/>
      <c r="F898" s="211"/>
      <c r="G898" s="211"/>
      <c r="H898" s="211"/>
      <c r="I898" s="211"/>
      <c r="J898" s="211"/>
      <c r="K898" s="211"/>
      <c r="L898" s="211"/>
      <c r="M898" s="211"/>
      <c r="N898" s="211"/>
      <c r="O898" s="211"/>
      <c r="P898" s="211"/>
      <c r="Q898" s="211"/>
    </row>
    <row r="900" spans="1:17" x14ac:dyDescent="0.25"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1:17" x14ac:dyDescent="0.25">
      <c r="D901" s="13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3"/>
    </row>
    <row r="915" spans="5:16" x14ac:dyDescent="0.25">
      <c r="E915" s="201"/>
      <c r="F915" s="201"/>
      <c r="G915" s="201"/>
      <c r="H915" s="201"/>
      <c r="I915" s="201"/>
      <c r="J915" s="201"/>
      <c r="K915" s="201"/>
      <c r="L915" s="201"/>
      <c r="M915" s="201"/>
      <c r="N915" s="201"/>
      <c r="O915" s="201"/>
      <c r="P915" s="201"/>
    </row>
    <row r="918" spans="5:16" x14ac:dyDescent="0.25">
      <c r="F918" s="201"/>
      <c r="G918" s="201"/>
      <c r="H918" s="201"/>
      <c r="I918" s="201"/>
      <c r="J918" s="201"/>
      <c r="K918" s="201"/>
      <c r="L918" s="201"/>
      <c r="M918" s="201"/>
      <c r="N918" s="201"/>
      <c r="O918" s="201"/>
      <c r="P918" s="201"/>
    </row>
    <row r="924" spans="5:16" x14ac:dyDescent="0.25"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</row>
    <row r="925" spans="5:16" x14ac:dyDescent="0.25"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</row>
    <row r="930" spans="1:17" x14ac:dyDescent="0.25"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</row>
    <row r="931" spans="1:17" x14ac:dyDescent="0.25"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</row>
    <row r="932" spans="1:17" x14ac:dyDescent="0.25"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</row>
    <row r="941" spans="1:17" x14ac:dyDescent="0.25">
      <c r="A941" s="211"/>
      <c r="B941" s="211"/>
      <c r="C941" s="211"/>
      <c r="D941" s="211"/>
      <c r="E941" s="211"/>
      <c r="F941" s="211"/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</row>
    <row r="942" spans="1:17" x14ac:dyDescent="0.25">
      <c r="A942" s="211"/>
      <c r="B942" s="211"/>
      <c r="C942" s="211"/>
      <c r="D942" s="211"/>
      <c r="E942" s="211"/>
      <c r="F942" s="211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</row>
    <row r="943" spans="1:17" x14ac:dyDescent="0.25">
      <c r="A943" s="211"/>
      <c r="B943" s="211"/>
      <c r="C943" s="211"/>
      <c r="D943" s="211"/>
      <c r="E943" s="211"/>
      <c r="F943" s="211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</row>
    <row r="944" spans="1:17" ht="13" x14ac:dyDescent="0.3">
      <c r="A944" s="223"/>
      <c r="B944" s="223"/>
      <c r="C944" s="223"/>
      <c r="D944" s="223"/>
      <c r="E944" s="223"/>
      <c r="F944" s="223"/>
      <c r="G944" s="223"/>
      <c r="H944" s="223"/>
      <c r="I944" s="223"/>
      <c r="J944" s="223"/>
      <c r="K944" s="223"/>
      <c r="L944" s="223"/>
      <c r="M944" s="223"/>
      <c r="N944" s="223"/>
      <c r="O944" s="223"/>
      <c r="P944" s="223"/>
      <c r="Q944" s="223"/>
    </row>
    <row r="945" spans="1:17" x14ac:dyDescent="0.25">
      <c r="A945" s="211"/>
      <c r="B945" s="211"/>
      <c r="C945" s="211"/>
      <c r="D945" s="211"/>
      <c r="E945" s="211"/>
      <c r="F945" s="211"/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</row>
    <row r="947" spans="1:17" x14ac:dyDescent="0.25">
      <c r="A947" s="211"/>
      <c r="B947" s="211"/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211"/>
      <c r="O947" s="211"/>
      <c r="P947" s="211"/>
      <c r="Q947" s="211"/>
    </row>
    <row r="949" spans="1:17" x14ac:dyDescent="0.25"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1:17" x14ac:dyDescent="0.25">
      <c r="D950" s="13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13"/>
    </row>
    <row r="964" spans="5:16" x14ac:dyDescent="0.25">
      <c r="E964" s="201"/>
      <c r="F964" s="201"/>
      <c r="G964" s="201"/>
      <c r="H964" s="201"/>
      <c r="I964" s="201"/>
      <c r="J964" s="201"/>
      <c r="K964" s="201"/>
      <c r="L964" s="201"/>
      <c r="M964" s="201"/>
      <c r="N964" s="201"/>
      <c r="O964" s="201"/>
      <c r="P964" s="201"/>
    </row>
    <row r="967" spans="5:16" x14ac:dyDescent="0.25">
      <c r="F967" s="201"/>
      <c r="G967" s="201"/>
      <c r="H967" s="201"/>
      <c r="I967" s="201"/>
      <c r="J967" s="201"/>
      <c r="K967" s="201"/>
      <c r="L967" s="201"/>
      <c r="M967" s="201"/>
      <c r="N967" s="201"/>
      <c r="O967" s="201"/>
      <c r="P967" s="201"/>
    </row>
    <row r="973" spans="5:16" x14ac:dyDescent="0.25"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</row>
    <row r="974" spans="5:16" x14ac:dyDescent="0.25"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</row>
    <row r="979" spans="1:17" x14ac:dyDescent="0.25"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</row>
    <row r="980" spans="1:17" x14ac:dyDescent="0.25"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</row>
    <row r="981" spans="1:17" x14ac:dyDescent="0.25"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</row>
    <row r="990" spans="1:17" x14ac:dyDescent="0.25">
      <c r="A990" s="211"/>
      <c r="B990" s="211"/>
      <c r="C990" s="211"/>
      <c r="D990" s="211"/>
      <c r="E990" s="211"/>
      <c r="F990" s="211"/>
      <c r="G990" s="211"/>
      <c r="H990" s="211"/>
      <c r="I990" s="211"/>
      <c r="J990" s="211"/>
      <c r="K990" s="211"/>
      <c r="L990" s="211"/>
      <c r="M990" s="211"/>
      <c r="N990" s="211"/>
      <c r="O990" s="211"/>
      <c r="P990" s="211"/>
      <c r="Q990" s="211"/>
    </row>
    <row r="991" spans="1:17" x14ac:dyDescent="0.25">
      <c r="A991" s="211"/>
      <c r="B991" s="211"/>
      <c r="C991" s="211"/>
      <c r="D991" s="211"/>
      <c r="E991" s="211"/>
      <c r="F991" s="211"/>
      <c r="G991" s="211"/>
      <c r="H991" s="211"/>
      <c r="I991" s="211"/>
      <c r="J991" s="211"/>
      <c r="K991" s="211"/>
      <c r="L991" s="211"/>
      <c r="M991" s="211"/>
      <c r="N991" s="211"/>
      <c r="O991" s="211"/>
      <c r="P991" s="211"/>
      <c r="Q991" s="211"/>
    </row>
    <row r="992" spans="1:17" x14ac:dyDescent="0.25">
      <c r="A992" s="211"/>
      <c r="B992" s="211"/>
      <c r="C992" s="211"/>
      <c r="D992" s="211"/>
      <c r="E992" s="211"/>
      <c r="F992" s="211"/>
      <c r="G992" s="211"/>
      <c r="H992" s="211"/>
      <c r="I992" s="211"/>
      <c r="J992" s="211"/>
      <c r="K992" s="211"/>
      <c r="L992" s="211"/>
      <c r="M992" s="211"/>
      <c r="N992" s="211"/>
      <c r="O992" s="211"/>
      <c r="P992" s="211"/>
      <c r="Q992" s="211"/>
    </row>
    <row r="993" spans="1:17" ht="13" x14ac:dyDescent="0.3">
      <c r="A993" s="223"/>
      <c r="B993" s="223"/>
      <c r="C993" s="223"/>
      <c r="D993" s="223"/>
      <c r="E993" s="223"/>
      <c r="F993" s="223"/>
      <c r="G993" s="223"/>
      <c r="H993" s="223"/>
      <c r="I993" s="223"/>
      <c r="J993" s="223"/>
      <c r="K993" s="223"/>
      <c r="L993" s="223"/>
      <c r="M993" s="223"/>
      <c r="N993" s="223"/>
      <c r="O993" s="223"/>
      <c r="P993" s="223"/>
      <c r="Q993" s="223"/>
    </row>
    <row r="994" spans="1:17" x14ac:dyDescent="0.25">
      <c r="A994" s="211"/>
      <c r="B994" s="211"/>
      <c r="C994" s="211"/>
      <c r="D994" s="211"/>
      <c r="E994" s="211"/>
      <c r="F994" s="211"/>
      <c r="G994" s="211"/>
      <c r="H994" s="211"/>
      <c r="I994" s="211"/>
      <c r="J994" s="211"/>
      <c r="K994" s="211"/>
      <c r="L994" s="211"/>
      <c r="M994" s="211"/>
      <c r="N994" s="211"/>
      <c r="O994" s="211"/>
      <c r="P994" s="211"/>
      <c r="Q994" s="211"/>
    </row>
    <row r="996" spans="1:17" x14ac:dyDescent="0.25">
      <c r="A996" s="211"/>
      <c r="B996" s="211"/>
      <c r="C996" s="211"/>
      <c r="D996" s="211"/>
      <c r="E996" s="211"/>
      <c r="F996" s="211"/>
      <c r="G996" s="211"/>
      <c r="H996" s="211"/>
      <c r="I996" s="211"/>
      <c r="J996" s="211"/>
      <c r="K996" s="211"/>
      <c r="L996" s="211"/>
      <c r="M996" s="211"/>
      <c r="N996" s="211"/>
      <c r="O996" s="211"/>
      <c r="P996" s="211"/>
      <c r="Q996" s="211"/>
    </row>
    <row r="998" spans="1:17" x14ac:dyDescent="0.25"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1:17" x14ac:dyDescent="0.25">
      <c r="D999" s="13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13"/>
    </row>
    <row r="1013" spans="5:16" x14ac:dyDescent="0.25">
      <c r="E1013" s="201"/>
      <c r="F1013" s="201"/>
      <c r="G1013" s="201"/>
      <c r="H1013" s="201"/>
      <c r="I1013" s="201"/>
      <c r="J1013" s="201"/>
      <c r="K1013" s="201"/>
      <c r="L1013" s="201"/>
      <c r="M1013" s="201"/>
      <c r="N1013" s="201"/>
      <c r="O1013" s="201"/>
      <c r="P1013" s="201"/>
    </row>
    <row r="1016" spans="5:16" x14ac:dyDescent="0.25">
      <c r="F1016" s="201"/>
      <c r="G1016" s="201"/>
      <c r="H1016" s="201"/>
      <c r="I1016" s="201"/>
      <c r="J1016" s="201"/>
      <c r="K1016" s="201"/>
      <c r="L1016" s="201"/>
      <c r="M1016" s="201"/>
      <c r="N1016" s="201"/>
      <c r="O1016" s="201"/>
      <c r="P1016" s="201"/>
    </row>
    <row r="1022" spans="5:16" x14ac:dyDescent="0.25">
      <c r="E1022" s="202"/>
      <c r="F1022" s="202"/>
      <c r="G1022" s="202"/>
      <c r="H1022" s="202"/>
      <c r="I1022" s="202"/>
      <c r="J1022" s="202"/>
      <c r="K1022" s="202"/>
      <c r="L1022" s="202"/>
      <c r="M1022" s="202"/>
      <c r="N1022" s="202"/>
      <c r="O1022" s="202"/>
      <c r="P1022" s="202"/>
    </row>
    <row r="1023" spans="5:16" x14ac:dyDescent="0.25">
      <c r="E1023" s="202"/>
      <c r="F1023" s="202"/>
      <c r="G1023" s="202"/>
      <c r="H1023" s="202"/>
      <c r="I1023" s="202"/>
      <c r="J1023" s="202"/>
      <c r="K1023" s="202"/>
      <c r="L1023" s="202"/>
      <c r="M1023" s="202"/>
      <c r="N1023" s="202"/>
      <c r="O1023" s="202"/>
      <c r="P1023" s="202"/>
    </row>
    <row r="1028" spans="1:17" x14ac:dyDescent="0.25"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</row>
    <row r="1029" spans="1:17" x14ac:dyDescent="0.25"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</row>
    <row r="1030" spans="1:17" x14ac:dyDescent="0.25"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</row>
    <row r="1039" spans="1:17" x14ac:dyDescent="0.25">
      <c r="A1039" s="211"/>
      <c r="B1039" s="211"/>
      <c r="C1039" s="211"/>
      <c r="D1039" s="211"/>
      <c r="E1039" s="211"/>
      <c r="F1039" s="211"/>
      <c r="G1039" s="211"/>
      <c r="H1039" s="211"/>
      <c r="I1039" s="211"/>
      <c r="J1039" s="211"/>
      <c r="K1039" s="211"/>
      <c r="L1039" s="211"/>
      <c r="M1039" s="211"/>
      <c r="N1039" s="211"/>
      <c r="O1039" s="211"/>
      <c r="P1039" s="211"/>
      <c r="Q1039" s="211"/>
    </row>
    <row r="1040" spans="1:17" x14ac:dyDescent="0.25">
      <c r="A1040" s="211"/>
      <c r="B1040" s="211"/>
      <c r="C1040" s="211"/>
      <c r="D1040" s="211"/>
      <c r="E1040" s="211"/>
      <c r="F1040" s="211"/>
      <c r="G1040" s="211"/>
      <c r="H1040" s="211"/>
      <c r="I1040" s="211"/>
      <c r="J1040" s="211"/>
      <c r="K1040" s="211"/>
      <c r="L1040" s="211"/>
      <c r="M1040" s="211"/>
      <c r="N1040" s="211"/>
      <c r="O1040" s="211"/>
      <c r="P1040" s="211"/>
      <c r="Q1040" s="211"/>
    </row>
    <row r="1041" spans="1:17" x14ac:dyDescent="0.25">
      <c r="A1041" s="211"/>
      <c r="B1041" s="211"/>
      <c r="C1041" s="211"/>
      <c r="D1041" s="211"/>
      <c r="E1041" s="211"/>
      <c r="F1041" s="211"/>
      <c r="G1041" s="211"/>
      <c r="H1041" s="211"/>
      <c r="I1041" s="211"/>
      <c r="J1041" s="211"/>
      <c r="K1041" s="211"/>
      <c r="L1041" s="211"/>
      <c r="M1041" s="211"/>
      <c r="N1041" s="211"/>
      <c r="O1041" s="211"/>
      <c r="P1041" s="211"/>
      <c r="Q1041" s="211"/>
    </row>
    <row r="1042" spans="1:17" ht="13" x14ac:dyDescent="0.3">
      <c r="A1042" s="223"/>
      <c r="B1042" s="223"/>
      <c r="C1042" s="223"/>
      <c r="D1042" s="223"/>
      <c r="E1042" s="223"/>
      <c r="F1042" s="223"/>
      <c r="G1042" s="223"/>
      <c r="H1042" s="223"/>
      <c r="I1042" s="223"/>
      <c r="J1042" s="223"/>
      <c r="K1042" s="223"/>
      <c r="L1042" s="223"/>
      <c r="M1042" s="223"/>
      <c r="N1042" s="223"/>
      <c r="O1042" s="223"/>
      <c r="P1042" s="223"/>
      <c r="Q1042" s="223"/>
    </row>
    <row r="1043" spans="1:17" x14ac:dyDescent="0.25">
      <c r="A1043" s="211"/>
      <c r="B1043" s="211"/>
      <c r="C1043" s="211"/>
      <c r="D1043" s="211"/>
      <c r="E1043" s="211"/>
      <c r="F1043" s="211"/>
      <c r="G1043" s="211"/>
      <c r="H1043" s="211"/>
      <c r="I1043" s="211"/>
      <c r="J1043" s="211"/>
      <c r="K1043" s="211"/>
      <c r="L1043" s="211"/>
      <c r="M1043" s="211"/>
      <c r="N1043" s="211"/>
      <c r="O1043" s="211"/>
      <c r="P1043" s="211"/>
      <c r="Q1043" s="211"/>
    </row>
    <row r="1045" spans="1:17" x14ac:dyDescent="0.25">
      <c r="A1045" s="211"/>
      <c r="B1045" s="211"/>
      <c r="C1045" s="211"/>
      <c r="D1045" s="211"/>
      <c r="E1045" s="211"/>
      <c r="F1045" s="211"/>
      <c r="G1045" s="211"/>
      <c r="H1045" s="211"/>
      <c r="I1045" s="211"/>
      <c r="J1045" s="211"/>
      <c r="K1045" s="211"/>
      <c r="L1045" s="211"/>
      <c r="M1045" s="211"/>
      <c r="N1045" s="211"/>
      <c r="O1045" s="211"/>
      <c r="P1045" s="211"/>
      <c r="Q1045" s="211"/>
    </row>
    <row r="1047" spans="1:17" x14ac:dyDescent="0.25"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1:17" x14ac:dyDescent="0.25">
      <c r="D1048" s="13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13"/>
    </row>
    <row r="1062" spans="5:16" x14ac:dyDescent="0.25">
      <c r="E1062" s="201"/>
      <c r="F1062" s="201"/>
      <c r="G1062" s="201"/>
      <c r="H1062" s="201"/>
      <c r="I1062" s="201"/>
      <c r="J1062" s="201"/>
      <c r="K1062" s="201"/>
      <c r="L1062" s="201"/>
      <c r="M1062" s="201"/>
      <c r="N1062" s="201"/>
      <c r="O1062" s="201"/>
      <c r="P1062" s="201"/>
    </row>
    <row r="1065" spans="5:16" x14ac:dyDescent="0.25">
      <c r="F1065" s="201"/>
      <c r="G1065" s="201"/>
      <c r="H1065" s="201"/>
      <c r="I1065" s="201"/>
      <c r="J1065" s="201"/>
      <c r="K1065" s="201"/>
      <c r="L1065" s="201"/>
      <c r="M1065" s="201"/>
      <c r="N1065" s="201"/>
      <c r="O1065" s="201"/>
      <c r="P1065" s="201"/>
    </row>
    <row r="1071" spans="5:16" x14ac:dyDescent="0.25">
      <c r="E1071" s="202"/>
      <c r="F1071" s="202"/>
      <c r="G1071" s="202"/>
      <c r="H1071" s="202"/>
      <c r="I1071" s="202"/>
      <c r="J1071" s="202"/>
      <c r="K1071" s="202"/>
      <c r="L1071" s="202"/>
      <c r="M1071" s="202"/>
      <c r="N1071" s="202"/>
      <c r="O1071" s="202"/>
      <c r="P1071" s="202"/>
    </row>
    <row r="1072" spans="5:16" x14ac:dyDescent="0.25">
      <c r="E1072" s="202"/>
      <c r="F1072" s="202"/>
      <c r="G1072" s="202"/>
      <c r="H1072" s="202"/>
      <c r="I1072" s="202"/>
      <c r="J1072" s="202"/>
      <c r="K1072" s="202"/>
      <c r="L1072" s="202"/>
      <c r="M1072" s="202"/>
      <c r="N1072" s="202"/>
      <c r="O1072" s="202"/>
      <c r="P1072" s="202"/>
    </row>
    <row r="1077" spans="1:17" x14ac:dyDescent="0.25">
      <c r="E1077" s="203"/>
      <c r="F1077" s="203"/>
      <c r="G1077" s="203"/>
      <c r="H1077" s="203"/>
      <c r="I1077" s="203"/>
      <c r="J1077" s="203"/>
      <c r="K1077" s="203"/>
      <c r="L1077" s="203"/>
      <c r="M1077" s="203"/>
      <c r="N1077" s="203"/>
      <c r="O1077" s="203"/>
      <c r="P1077" s="203"/>
    </row>
    <row r="1078" spans="1:17" x14ac:dyDescent="0.25">
      <c r="E1078" s="203"/>
      <c r="F1078" s="203"/>
      <c r="G1078" s="203"/>
      <c r="H1078" s="203"/>
      <c r="I1078" s="203"/>
      <c r="J1078" s="203"/>
      <c r="K1078" s="203"/>
      <c r="L1078" s="203"/>
      <c r="M1078" s="203"/>
      <c r="N1078" s="203"/>
      <c r="O1078" s="203"/>
      <c r="P1078" s="203"/>
    </row>
    <row r="1079" spans="1:17" x14ac:dyDescent="0.25">
      <c r="E1079" s="203"/>
      <c r="F1079" s="203"/>
      <c r="G1079" s="203"/>
      <c r="H1079" s="203"/>
      <c r="I1079" s="203"/>
      <c r="J1079" s="203"/>
      <c r="K1079" s="203"/>
      <c r="L1079" s="203"/>
      <c r="M1079" s="203"/>
      <c r="N1079" s="203"/>
      <c r="O1079" s="203"/>
      <c r="P1079" s="203"/>
    </row>
    <row r="1088" spans="1:17" x14ac:dyDescent="0.25">
      <c r="A1088" s="211"/>
      <c r="B1088" s="211"/>
      <c r="C1088" s="211"/>
      <c r="D1088" s="211"/>
      <c r="E1088" s="211"/>
      <c r="F1088" s="211"/>
      <c r="G1088" s="211"/>
      <c r="H1088" s="211"/>
      <c r="I1088" s="211"/>
      <c r="J1088" s="211"/>
      <c r="K1088" s="211"/>
      <c r="L1088" s="211"/>
      <c r="M1088" s="211"/>
      <c r="N1088" s="211"/>
      <c r="O1088" s="211"/>
      <c r="P1088" s="211"/>
      <c r="Q1088" s="211"/>
    </row>
    <row r="1089" spans="1:17" x14ac:dyDescent="0.25">
      <c r="A1089" s="211"/>
      <c r="B1089" s="211"/>
      <c r="C1089" s="211"/>
      <c r="D1089" s="211"/>
      <c r="E1089" s="211"/>
      <c r="F1089" s="211"/>
      <c r="G1089" s="211"/>
      <c r="H1089" s="211"/>
      <c r="I1089" s="211"/>
      <c r="J1089" s="211"/>
      <c r="K1089" s="211"/>
      <c r="L1089" s="211"/>
      <c r="M1089" s="211"/>
      <c r="N1089" s="211"/>
      <c r="O1089" s="211"/>
      <c r="P1089" s="211"/>
      <c r="Q1089" s="211"/>
    </row>
    <row r="1090" spans="1:17" x14ac:dyDescent="0.25">
      <c r="A1090" s="211"/>
      <c r="B1090" s="211"/>
      <c r="C1090" s="211"/>
      <c r="D1090" s="211"/>
      <c r="E1090" s="211"/>
      <c r="F1090" s="211"/>
      <c r="G1090" s="211"/>
      <c r="H1090" s="211"/>
      <c r="I1090" s="211"/>
      <c r="J1090" s="211"/>
      <c r="K1090" s="211"/>
      <c r="L1090" s="211"/>
      <c r="M1090" s="211"/>
      <c r="N1090" s="211"/>
      <c r="O1090" s="211"/>
      <c r="P1090" s="211"/>
      <c r="Q1090" s="211"/>
    </row>
    <row r="1091" spans="1:17" ht="13" x14ac:dyDescent="0.3">
      <c r="A1091" s="223"/>
      <c r="B1091" s="223"/>
      <c r="C1091" s="223"/>
      <c r="D1091" s="223"/>
      <c r="E1091" s="223"/>
      <c r="F1091" s="223"/>
      <c r="G1091" s="223"/>
      <c r="H1091" s="223"/>
      <c r="I1091" s="223"/>
      <c r="J1091" s="223"/>
      <c r="K1091" s="223"/>
      <c r="L1091" s="223"/>
      <c r="M1091" s="223"/>
      <c r="N1091" s="223"/>
      <c r="O1091" s="223"/>
      <c r="P1091" s="223"/>
      <c r="Q1091" s="223"/>
    </row>
    <row r="1092" spans="1:17" x14ac:dyDescent="0.25">
      <c r="A1092" s="211"/>
      <c r="B1092" s="211"/>
      <c r="C1092" s="211"/>
      <c r="D1092" s="211"/>
      <c r="E1092" s="211"/>
      <c r="F1092" s="211"/>
      <c r="G1092" s="211"/>
      <c r="H1092" s="211"/>
      <c r="I1092" s="211"/>
      <c r="J1092" s="211"/>
      <c r="K1092" s="211"/>
      <c r="L1092" s="211"/>
      <c r="M1092" s="211"/>
      <c r="N1092" s="211"/>
      <c r="O1092" s="211"/>
      <c r="P1092" s="211"/>
      <c r="Q1092" s="211"/>
    </row>
    <row r="1094" spans="1:17" x14ac:dyDescent="0.25">
      <c r="A1094" s="211"/>
      <c r="B1094" s="211"/>
      <c r="C1094" s="211"/>
      <c r="D1094" s="211"/>
      <c r="E1094" s="211"/>
      <c r="F1094" s="211"/>
      <c r="G1094" s="211"/>
      <c r="H1094" s="211"/>
      <c r="I1094" s="211"/>
      <c r="J1094" s="211"/>
      <c r="K1094" s="211"/>
      <c r="L1094" s="211"/>
      <c r="M1094" s="211"/>
      <c r="N1094" s="211"/>
      <c r="O1094" s="211"/>
      <c r="P1094" s="211"/>
      <c r="Q1094" s="211"/>
    </row>
    <row r="1096" spans="1:17" x14ac:dyDescent="0.25"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</row>
    <row r="1097" spans="1:17" x14ac:dyDescent="0.25">
      <c r="D1097" s="13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111" spans="5:16" x14ac:dyDescent="0.25">
      <c r="E1111" s="201"/>
      <c r="F1111" s="201"/>
      <c r="G1111" s="201"/>
      <c r="H1111" s="201"/>
      <c r="I1111" s="201"/>
      <c r="J1111" s="201"/>
      <c r="K1111" s="201"/>
      <c r="L1111" s="201"/>
      <c r="M1111" s="201"/>
      <c r="N1111" s="201"/>
      <c r="O1111" s="201"/>
      <c r="P1111" s="201"/>
    </row>
    <row r="1114" spans="5:16" x14ac:dyDescent="0.25">
      <c r="F1114" s="201"/>
      <c r="G1114" s="201"/>
      <c r="H1114" s="201"/>
      <c r="I1114" s="201"/>
      <c r="J1114" s="201"/>
      <c r="K1114" s="201"/>
      <c r="L1114" s="201"/>
      <c r="M1114" s="201"/>
      <c r="N1114" s="201"/>
      <c r="O1114" s="201"/>
      <c r="P1114" s="201"/>
    </row>
    <row r="1120" spans="5:16" x14ac:dyDescent="0.25">
      <c r="E1120" s="202"/>
      <c r="F1120" s="202"/>
      <c r="G1120" s="202"/>
      <c r="H1120" s="202"/>
      <c r="I1120" s="202"/>
      <c r="J1120" s="202"/>
      <c r="K1120" s="202"/>
      <c r="L1120" s="202"/>
      <c r="M1120" s="202"/>
      <c r="N1120" s="202"/>
      <c r="O1120" s="202"/>
      <c r="P1120" s="202"/>
    </row>
    <row r="1121" spans="5:16" x14ac:dyDescent="0.25">
      <c r="E1121" s="202"/>
      <c r="F1121" s="202"/>
      <c r="G1121" s="202"/>
      <c r="H1121" s="202"/>
      <c r="I1121" s="202"/>
      <c r="J1121" s="202"/>
      <c r="K1121" s="202"/>
      <c r="L1121" s="202"/>
      <c r="M1121" s="202"/>
      <c r="N1121" s="202"/>
      <c r="O1121" s="202"/>
      <c r="P1121" s="202"/>
    </row>
    <row r="1126" spans="5:16" x14ac:dyDescent="0.25">
      <c r="E1126" s="203"/>
      <c r="F1126" s="203"/>
      <c r="G1126" s="203"/>
      <c r="H1126" s="203"/>
      <c r="I1126" s="203"/>
      <c r="J1126" s="203"/>
      <c r="K1126" s="203"/>
      <c r="L1126" s="203"/>
      <c r="M1126" s="203"/>
      <c r="N1126" s="203"/>
      <c r="O1126" s="203"/>
      <c r="P1126" s="203"/>
    </row>
    <row r="1127" spans="5:16" x14ac:dyDescent="0.25">
      <c r="E1127" s="203"/>
      <c r="F1127" s="203"/>
      <c r="G1127" s="203"/>
      <c r="H1127" s="203"/>
      <c r="I1127" s="203"/>
      <c r="J1127" s="203"/>
      <c r="K1127" s="203"/>
      <c r="L1127" s="203"/>
      <c r="M1127" s="203"/>
      <c r="N1127" s="203"/>
      <c r="O1127" s="203"/>
      <c r="P1127" s="203"/>
    </row>
    <row r="1128" spans="5:16" x14ac:dyDescent="0.25">
      <c r="E1128" s="203"/>
      <c r="F1128" s="203"/>
      <c r="G1128" s="203"/>
      <c r="H1128" s="203"/>
      <c r="I1128" s="203"/>
      <c r="J1128" s="203"/>
      <c r="K1128" s="203"/>
      <c r="L1128" s="203"/>
      <c r="M1128" s="203"/>
      <c r="N1128" s="203"/>
      <c r="O1128" s="203"/>
      <c r="P1128" s="203"/>
    </row>
    <row r="1137" spans="1:17" x14ac:dyDescent="0.25">
      <c r="A1137" s="211"/>
      <c r="B1137" s="211"/>
      <c r="C1137" s="211"/>
      <c r="D1137" s="211"/>
      <c r="E1137" s="211"/>
      <c r="F1137" s="211"/>
      <c r="G1137" s="211"/>
      <c r="H1137" s="211"/>
      <c r="I1137" s="211"/>
      <c r="J1137" s="211"/>
      <c r="K1137" s="211"/>
      <c r="L1137" s="211"/>
      <c r="M1137" s="211"/>
      <c r="N1137" s="211"/>
      <c r="O1137" s="211"/>
      <c r="P1137" s="211"/>
      <c r="Q1137" s="211"/>
    </row>
    <row r="1138" spans="1:17" x14ac:dyDescent="0.25">
      <c r="A1138" s="211"/>
      <c r="B1138" s="211"/>
      <c r="C1138" s="211"/>
      <c r="D1138" s="211"/>
      <c r="E1138" s="211"/>
      <c r="F1138" s="211"/>
      <c r="G1138" s="211"/>
      <c r="H1138" s="211"/>
      <c r="I1138" s="211"/>
      <c r="J1138" s="211"/>
      <c r="K1138" s="211"/>
      <c r="L1138" s="211"/>
      <c r="M1138" s="211"/>
      <c r="N1138" s="211"/>
      <c r="O1138" s="211"/>
      <c r="P1138" s="211"/>
      <c r="Q1138" s="211"/>
    </row>
    <row r="1139" spans="1:17" x14ac:dyDescent="0.25">
      <c r="A1139" s="211"/>
      <c r="B1139" s="211"/>
      <c r="C1139" s="211"/>
      <c r="D1139" s="211"/>
      <c r="E1139" s="211"/>
      <c r="F1139" s="211"/>
      <c r="G1139" s="211"/>
      <c r="H1139" s="211"/>
      <c r="I1139" s="211"/>
      <c r="J1139" s="211"/>
      <c r="K1139" s="211"/>
      <c r="L1139" s="211"/>
      <c r="M1139" s="211"/>
      <c r="N1139" s="211"/>
      <c r="O1139" s="211"/>
      <c r="P1139" s="211"/>
      <c r="Q1139" s="211"/>
    </row>
    <row r="1140" spans="1:17" ht="13" x14ac:dyDescent="0.3">
      <c r="A1140" s="223"/>
      <c r="B1140" s="223"/>
      <c r="C1140" s="223"/>
      <c r="D1140" s="223"/>
      <c r="E1140" s="223"/>
      <c r="F1140" s="223"/>
      <c r="G1140" s="223"/>
      <c r="H1140" s="223"/>
      <c r="I1140" s="223"/>
      <c r="J1140" s="223"/>
      <c r="K1140" s="223"/>
      <c r="L1140" s="223"/>
      <c r="M1140" s="223"/>
      <c r="N1140" s="223"/>
      <c r="O1140" s="223"/>
      <c r="P1140" s="223"/>
      <c r="Q1140" s="223"/>
    </row>
    <row r="1141" spans="1:17" x14ac:dyDescent="0.25">
      <c r="A1141" s="211"/>
      <c r="B1141" s="211"/>
      <c r="C1141" s="211"/>
      <c r="D1141" s="211"/>
      <c r="E1141" s="211"/>
      <c r="F1141" s="211"/>
      <c r="G1141" s="211"/>
      <c r="H1141" s="211"/>
      <c r="I1141" s="211"/>
      <c r="J1141" s="211"/>
      <c r="K1141" s="211"/>
      <c r="L1141" s="211"/>
      <c r="M1141" s="211"/>
      <c r="N1141" s="211"/>
      <c r="O1141" s="211"/>
      <c r="P1141" s="211"/>
      <c r="Q1141" s="211"/>
    </row>
    <row r="1143" spans="1:17" x14ac:dyDescent="0.25">
      <c r="A1143" s="211"/>
      <c r="B1143" s="211"/>
      <c r="C1143" s="211"/>
      <c r="D1143" s="211"/>
      <c r="E1143" s="211"/>
      <c r="F1143" s="211"/>
      <c r="G1143" s="211"/>
      <c r="H1143" s="211"/>
      <c r="I1143" s="211"/>
      <c r="J1143" s="211"/>
      <c r="K1143" s="211"/>
      <c r="L1143" s="211"/>
      <c r="M1143" s="211"/>
      <c r="N1143" s="211"/>
      <c r="O1143" s="211"/>
      <c r="P1143" s="211"/>
      <c r="Q1143" s="211"/>
    </row>
    <row r="1145" spans="1:17" x14ac:dyDescent="0.25"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</row>
    <row r="1146" spans="1:17" x14ac:dyDescent="0.25">
      <c r="D1146" s="13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60" spans="5:16" x14ac:dyDescent="0.25">
      <c r="E1160" s="201"/>
      <c r="F1160" s="201"/>
      <c r="G1160" s="201"/>
      <c r="H1160" s="201"/>
      <c r="I1160" s="201"/>
      <c r="J1160" s="201"/>
      <c r="K1160" s="201"/>
      <c r="L1160" s="201"/>
      <c r="M1160" s="201"/>
      <c r="N1160" s="201"/>
      <c r="O1160" s="201"/>
      <c r="P1160" s="201"/>
    </row>
    <row r="1163" spans="5:16" x14ac:dyDescent="0.25">
      <c r="F1163" s="201"/>
      <c r="G1163" s="201"/>
      <c r="H1163" s="201"/>
      <c r="I1163" s="201"/>
      <c r="J1163" s="201"/>
      <c r="K1163" s="201"/>
      <c r="L1163" s="201"/>
      <c r="M1163" s="201"/>
      <c r="N1163" s="201"/>
      <c r="O1163" s="201"/>
      <c r="P1163" s="201"/>
    </row>
    <row r="1169" spans="5:16" x14ac:dyDescent="0.25">
      <c r="E1169" s="202"/>
      <c r="F1169" s="202"/>
      <c r="G1169" s="202"/>
      <c r="H1169" s="202"/>
      <c r="I1169" s="202"/>
      <c r="J1169" s="202"/>
      <c r="K1169" s="202"/>
      <c r="L1169" s="202"/>
      <c r="M1169" s="202"/>
      <c r="N1169" s="202"/>
      <c r="O1169" s="202"/>
      <c r="P1169" s="202"/>
    </row>
    <row r="1170" spans="5:16" x14ac:dyDescent="0.25">
      <c r="E1170" s="202"/>
      <c r="F1170" s="202"/>
      <c r="G1170" s="202"/>
      <c r="H1170" s="202"/>
      <c r="I1170" s="202"/>
      <c r="J1170" s="202"/>
      <c r="K1170" s="202"/>
      <c r="L1170" s="202"/>
      <c r="M1170" s="202"/>
      <c r="N1170" s="202"/>
      <c r="O1170" s="202"/>
      <c r="P1170" s="202"/>
    </row>
    <row r="1175" spans="5:16" x14ac:dyDescent="0.25">
      <c r="E1175" s="203"/>
      <c r="F1175" s="203"/>
      <c r="G1175" s="203"/>
      <c r="H1175" s="203"/>
      <c r="I1175" s="203"/>
      <c r="J1175" s="203"/>
      <c r="K1175" s="203"/>
      <c r="L1175" s="203"/>
      <c r="M1175" s="203"/>
      <c r="N1175" s="203"/>
      <c r="O1175" s="203"/>
      <c r="P1175" s="203"/>
    </row>
    <row r="1176" spans="5:16" x14ac:dyDescent="0.25">
      <c r="E1176" s="203"/>
      <c r="F1176" s="203"/>
      <c r="G1176" s="203"/>
      <c r="H1176" s="203"/>
      <c r="I1176" s="203"/>
      <c r="J1176" s="203"/>
      <c r="K1176" s="203"/>
      <c r="L1176" s="203"/>
      <c r="M1176" s="203"/>
      <c r="N1176" s="203"/>
      <c r="O1176" s="203"/>
      <c r="P1176" s="203"/>
    </row>
    <row r="1177" spans="5:16" x14ac:dyDescent="0.25">
      <c r="E1177" s="203"/>
      <c r="F1177" s="203"/>
      <c r="G1177" s="203"/>
      <c r="H1177" s="203"/>
      <c r="I1177" s="203"/>
      <c r="J1177" s="203"/>
      <c r="K1177" s="203"/>
      <c r="L1177" s="203"/>
      <c r="M1177" s="203"/>
      <c r="N1177" s="203"/>
      <c r="O1177" s="203"/>
      <c r="P1177" s="203"/>
    </row>
    <row r="1185" spans="1:17" ht="16.899999999999999" customHeight="1" x14ac:dyDescent="0.25"/>
    <row r="1186" spans="1:17" x14ac:dyDescent="0.25">
      <c r="A1186" s="211"/>
      <c r="B1186" s="211"/>
      <c r="C1186" s="211"/>
      <c r="D1186" s="211"/>
      <c r="E1186" s="211"/>
      <c r="F1186" s="211"/>
      <c r="G1186" s="211"/>
      <c r="H1186" s="211"/>
      <c r="I1186" s="211"/>
      <c r="J1186" s="211"/>
      <c r="K1186" s="211"/>
      <c r="L1186" s="211"/>
      <c r="M1186" s="211"/>
      <c r="N1186" s="211"/>
      <c r="O1186" s="211"/>
      <c r="P1186" s="211"/>
      <c r="Q1186" s="211"/>
    </row>
    <row r="1187" spans="1:17" x14ac:dyDescent="0.25">
      <c r="A1187" s="211"/>
      <c r="B1187" s="211"/>
      <c r="C1187" s="211"/>
      <c r="D1187" s="211"/>
      <c r="E1187" s="211"/>
      <c r="F1187" s="211"/>
      <c r="G1187" s="211"/>
      <c r="H1187" s="211"/>
      <c r="I1187" s="211"/>
      <c r="J1187" s="211"/>
      <c r="K1187" s="211"/>
      <c r="L1187" s="211"/>
      <c r="M1187" s="211"/>
      <c r="N1187" s="211"/>
      <c r="O1187" s="211"/>
      <c r="P1187" s="211"/>
      <c r="Q1187" s="211"/>
    </row>
    <row r="1188" spans="1:17" x14ac:dyDescent="0.25">
      <c r="A1188" s="211"/>
      <c r="B1188" s="211"/>
      <c r="C1188" s="211"/>
      <c r="D1188" s="211"/>
      <c r="E1188" s="211"/>
      <c r="F1188" s="211"/>
      <c r="G1188" s="211"/>
      <c r="H1188" s="211"/>
      <c r="I1188" s="211"/>
      <c r="J1188" s="211"/>
      <c r="K1188" s="211"/>
      <c r="L1188" s="211"/>
      <c r="M1188" s="211"/>
      <c r="N1188" s="211"/>
      <c r="O1188" s="211"/>
      <c r="P1188" s="211"/>
      <c r="Q1188" s="211"/>
    </row>
    <row r="1189" spans="1:17" ht="13" x14ac:dyDescent="0.3">
      <c r="A1189" s="223"/>
      <c r="B1189" s="223"/>
      <c r="C1189" s="223"/>
      <c r="D1189" s="223"/>
      <c r="E1189" s="223"/>
      <c r="F1189" s="223"/>
      <c r="G1189" s="223"/>
      <c r="H1189" s="223"/>
      <c r="I1189" s="223"/>
      <c r="J1189" s="223"/>
      <c r="K1189" s="223"/>
      <c r="L1189" s="223"/>
      <c r="M1189" s="223"/>
      <c r="N1189" s="223"/>
      <c r="O1189" s="223"/>
      <c r="P1189" s="223"/>
      <c r="Q1189" s="223"/>
    </row>
    <row r="1190" spans="1:17" x14ac:dyDescent="0.25">
      <c r="A1190" s="211"/>
      <c r="B1190" s="211"/>
      <c r="C1190" s="211"/>
      <c r="D1190" s="211"/>
      <c r="E1190" s="211"/>
      <c r="F1190" s="211"/>
      <c r="G1190" s="211"/>
      <c r="H1190" s="211"/>
      <c r="I1190" s="211"/>
      <c r="J1190" s="211"/>
      <c r="K1190" s="211"/>
      <c r="L1190" s="211"/>
      <c r="M1190" s="211"/>
      <c r="N1190" s="211"/>
      <c r="O1190" s="211"/>
      <c r="P1190" s="211"/>
      <c r="Q1190" s="211"/>
    </row>
    <row r="1192" spans="1:17" x14ac:dyDescent="0.25">
      <c r="A1192" s="211"/>
      <c r="B1192" s="211"/>
      <c r="C1192" s="211"/>
      <c r="D1192" s="211"/>
      <c r="E1192" s="211"/>
      <c r="F1192" s="211"/>
      <c r="G1192" s="211"/>
      <c r="H1192" s="211"/>
      <c r="I1192" s="211"/>
      <c r="J1192" s="211"/>
      <c r="K1192" s="211"/>
      <c r="L1192" s="211"/>
      <c r="M1192" s="211"/>
      <c r="N1192" s="211"/>
      <c r="O1192" s="211"/>
      <c r="P1192" s="211"/>
      <c r="Q1192" s="211"/>
    </row>
    <row r="1194" spans="1:17" x14ac:dyDescent="0.25"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</row>
    <row r="1195" spans="1:17" x14ac:dyDescent="0.25">
      <c r="D1195" s="13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209" spans="5:16" x14ac:dyDescent="0.25">
      <c r="E1209" s="201"/>
      <c r="F1209" s="201"/>
      <c r="G1209" s="201"/>
      <c r="H1209" s="201"/>
      <c r="I1209" s="201"/>
      <c r="J1209" s="201"/>
      <c r="K1209" s="201"/>
      <c r="L1209" s="201"/>
      <c r="M1209" s="201"/>
      <c r="N1209" s="201"/>
      <c r="O1209" s="201"/>
      <c r="P1209" s="201"/>
    </row>
    <row r="1212" spans="5:16" x14ac:dyDescent="0.25">
      <c r="F1212" s="201"/>
      <c r="G1212" s="201"/>
      <c r="H1212" s="201"/>
      <c r="I1212" s="201"/>
      <c r="J1212" s="201"/>
      <c r="K1212" s="201"/>
      <c r="L1212" s="201"/>
      <c r="M1212" s="201"/>
      <c r="N1212" s="201"/>
      <c r="O1212" s="201"/>
      <c r="P1212" s="201"/>
    </row>
    <row r="1218" spans="5:16" x14ac:dyDescent="0.25">
      <c r="E1218" s="202"/>
      <c r="F1218" s="202"/>
      <c r="G1218" s="202"/>
      <c r="H1218" s="202"/>
      <c r="I1218" s="202"/>
      <c r="J1218" s="202"/>
      <c r="K1218" s="202"/>
      <c r="L1218" s="202"/>
      <c r="M1218" s="202"/>
      <c r="N1218" s="202"/>
      <c r="O1218" s="202"/>
      <c r="P1218" s="202"/>
    </row>
    <row r="1219" spans="5:16" x14ac:dyDescent="0.25">
      <c r="E1219" s="202"/>
      <c r="F1219" s="202"/>
      <c r="G1219" s="202"/>
      <c r="H1219" s="202"/>
      <c r="I1219" s="202"/>
      <c r="J1219" s="202"/>
      <c r="K1219" s="202"/>
      <c r="L1219" s="202"/>
      <c r="M1219" s="202"/>
      <c r="N1219" s="202"/>
      <c r="O1219" s="202"/>
      <c r="P1219" s="202"/>
    </row>
    <row r="1224" spans="5:16" x14ac:dyDescent="0.25">
      <c r="E1224" s="203"/>
      <c r="F1224" s="203"/>
      <c r="G1224" s="203"/>
      <c r="H1224" s="203"/>
      <c r="I1224" s="203"/>
      <c r="J1224" s="203"/>
      <c r="K1224" s="203"/>
      <c r="L1224" s="203"/>
      <c r="M1224" s="203"/>
      <c r="N1224" s="203"/>
      <c r="O1224" s="203"/>
      <c r="P1224" s="203"/>
    </row>
    <row r="1225" spans="5:16" x14ac:dyDescent="0.25">
      <c r="E1225" s="203"/>
      <c r="F1225" s="203"/>
      <c r="G1225" s="203"/>
      <c r="H1225" s="203"/>
      <c r="I1225" s="203"/>
      <c r="J1225" s="203"/>
      <c r="K1225" s="203"/>
      <c r="L1225" s="203"/>
      <c r="M1225" s="203"/>
      <c r="N1225" s="203"/>
      <c r="O1225" s="203"/>
      <c r="P1225" s="203"/>
    </row>
    <row r="1226" spans="5:16" x14ac:dyDescent="0.25">
      <c r="E1226" s="203"/>
      <c r="F1226" s="203"/>
      <c r="G1226" s="203"/>
      <c r="H1226" s="203"/>
      <c r="I1226" s="203"/>
      <c r="J1226" s="203"/>
      <c r="K1226" s="203"/>
      <c r="L1226" s="203"/>
      <c r="M1226" s="203"/>
      <c r="N1226" s="203"/>
      <c r="O1226" s="203"/>
      <c r="P1226" s="203"/>
    </row>
    <row r="1235" spans="1:17" x14ac:dyDescent="0.25">
      <c r="A1235" s="211"/>
      <c r="B1235" s="211"/>
      <c r="C1235" s="211"/>
      <c r="D1235" s="211"/>
      <c r="E1235" s="211"/>
      <c r="F1235" s="211"/>
      <c r="G1235" s="211"/>
      <c r="H1235" s="211"/>
      <c r="I1235" s="211"/>
      <c r="J1235" s="211"/>
      <c r="K1235" s="211"/>
      <c r="L1235" s="211"/>
      <c r="M1235" s="211"/>
      <c r="N1235" s="211"/>
      <c r="O1235" s="211"/>
      <c r="P1235" s="211"/>
      <c r="Q1235" s="211"/>
    </row>
    <row r="1236" spans="1:17" x14ac:dyDescent="0.25">
      <c r="A1236" s="211"/>
      <c r="B1236" s="211"/>
      <c r="C1236" s="211"/>
      <c r="D1236" s="211"/>
      <c r="E1236" s="211"/>
      <c r="F1236" s="211"/>
      <c r="G1236" s="211"/>
      <c r="H1236" s="211"/>
      <c r="I1236" s="211"/>
      <c r="J1236" s="211"/>
      <c r="K1236" s="211"/>
      <c r="L1236" s="211"/>
      <c r="M1236" s="211"/>
      <c r="N1236" s="211"/>
      <c r="O1236" s="211"/>
      <c r="P1236" s="211"/>
      <c r="Q1236" s="211"/>
    </row>
    <row r="1237" spans="1:17" x14ac:dyDescent="0.25">
      <c r="A1237" s="211"/>
      <c r="B1237" s="211"/>
      <c r="C1237" s="211"/>
      <c r="D1237" s="211"/>
      <c r="E1237" s="211"/>
      <c r="F1237" s="211"/>
      <c r="G1237" s="211"/>
      <c r="H1237" s="211"/>
      <c r="I1237" s="211"/>
      <c r="J1237" s="211"/>
      <c r="K1237" s="211"/>
      <c r="L1237" s="211"/>
      <c r="M1237" s="211"/>
      <c r="N1237" s="211"/>
      <c r="O1237" s="211"/>
      <c r="P1237" s="211"/>
      <c r="Q1237" s="211"/>
    </row>
    <row r="1238" spans="1:17" ht="13" x14ac:dyDescent="0.3">
      <c r="A1238" s="223"/>
      <c r="B1238" s="223"/>
      <c r="C1238" s="223"/>
      <c r="D1238" s="223"/>
      <c r="E1238" s="223"/>
      <c r="F1238" s="223"/>
      <c r="G1238" s="223"/>
      <c r="H1238" s="223"/>
      <c r="I1238" s="223"/>
      <c r="J1238" s="223"/>
      <c r="K1238" s="223"/>
      <c r="L1238" s="223"/>
      <c r="M1238" s="223"/>
      <c r="N1238" s="223"/>
      <c r="O1238" s="223"/>
      <c r="P1238" s="223"/>
      <c r="Q1238" s="223"/>
    </row>
    <row r="1239" spans="1:17" x14ac:dyDescent="0.25">
      <c r="A1239" s="211"/>
      <c r="B1239" s="211"/>
      <c r="C1239" s="211"/>
      <c r="D1239" s="211"/>
      <c r="E1239" s="211"/>
      <c r="F1239" s="211"/>
      <c r="G1239" s="211"/>
      <c r="H1239" s="211"/>
      <c r="I1239" s="211"/>
      <c r="J1239" s="211"/>
      <c r="K1239" s="211"/>
      <c r="L1239" s="211"/>
      <c r="M1239" s="211"/>
      <c r="N1239" s="211"/>
      <c r="O1239" s="211"/>
      <c r="P1239" s="211"/>
      <c r="Q1239" s="211"/>
    </row>
    <row r="1241" spans="1:17" x14ac:dyDescent="0.25">
      <c r="A1241" s="211"/>
      <c r="B1241" s="211"/>
      <c r="C1241" s="211"/>
      <c r="D1241" s="211"/>
      <c r="E1241" s="211"/>
      <c r="F1241" s="211"/>
      <c r="G1241" s="211"/>
      <c r="H1241" s="211"/>
      <c r="I1241" s="211"/>
      <c r="J1241" s="211"/>
      <c r="K1241" s="211"/>
      <c r="L1241" s="211"/>
      <c r="M1241" s="211"/>
      <c r="N1241" s="211"/>
      <c r="O1241" s="211"/>
      <c r="P1241" s="211"/>
      <c r="Q1241" s="211"/>
    </row>
    <row r="1243" spans="1:17" x14ac:dyDescent="0.25"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</row>
    <row r="1244" spans="1:17" x14ac:dyDescent="0.25">
      <c r="D1244" s="13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58" spans="5:16" x14ac:dyDescent="0.25">
      <c r="E1258" s="201"/>
      <c r="F1258" s="201"/>
      <c r="G1258" s="201"/>
      <c r="H1258" s="201"/>
      <c r="I1258" s="201"/>
      <c r="J1258" s="201"/>
      <c r="K1258" s="201"/>
      <c r="L1258" s="201"/>
      <c r="M1258" s="201"/>
      <c r="N1258" s="201"/>
      <c r="O1258" s="201"/>
      <c r="P1258" s="201"/>
    </row>
    <row r="1261" spans="5:16" x14ac:dyDescent="0.25">
      <c r="F1261" s="201"/>
      <c r="G1261" s="201"/>
      <c r="H1261" s="201"/>
      <c r="I1261" s="201"/>
      <c r="J1261" s="201"/>
      <c r="K1261" s="201"/>
      <c r="L1261" s="201"/>
      <c r="M1261" s="201"/>
      <c r="N1261" s="201"/>
      <c r="O1261" s="201"/>
      <c r="P1261" s="201"/>
    </row>
    <row r="1267" spans="5:16" x14ac:dyDescent="0.25">
      <c r="E1267" s="202"/>
      <c r="F1267" s="202"/>
      <c r="G1267" s="202"/>
      <c r="H1267" s="202"/>
      <c r="I1267" s="202"/>
      <c r="J1267" s="202"/>
      <c r="K1267" s="202"/>
      <c r="L1267" s="202"/>
      <c r="M1267" s="202"/>
      <c r="N1267" s="202"/>
      <c r="O1267" s="202"/>
      <c r="P1267" s="202"/>
    </row>
    <row r="1268" spans="5:16" x14ac:dyDescent="0.25">
      <c r="E1268" s="202"/>
      <c r="F1268" s="202"/>
      <c r="G1268" s="202"/>
      <c r="H1268" s="202"/>
      <c r="I1268" s="202"/>
      <c r="J1268" s="202"/>
      <c r="K1268" s="202"/>
      <c r="L1268" s="202"/>
      <c r="M1268" s="202"/>
      <c r="N1268" s="202"/>
      <c r="O1268" s="202"/>
      <c r="P1268" s="202"/>
    </row>
    <row r="1273" spans="5:16" x14ac:dyDescent="0.25">
      <c r="E1273" s="203"/>
      <c r="F1273" s="203"/>
      <c r="G1273" s="203"/>
      <c r="H1273" s="203"/>
      <c r="I1273" s="203"/>
      <c r="J1273" s="203"/>
      <c r="K1273" s="203"/>
      <c r="L1273" s="203"/>
      <c r="M1273" s="203"/>
      <c r="N1273" s="203"/>
      <c r="O1273" s="203"/>
      <c r="P1273" s="203"/>
    </row>
    <row r="1274" spans="5:16" x14ac:dyDescent="0.25">
      <c r="E1274" s="203"/>
      <c r="F1274" s="203"/>
      <c r="G1274" s="203"/>
      <c r="H1274" s="203"/>
      <c r="I1274" s="203"/>
      <c r="J1274" s="203"/>
      <c r="K1274" s="203"/>
      <c r="L1274" s="203"/>
      <c r="M1274" s="203"/>
      <c r="N1274" s="203"/>
      <c r="O1274" s="203"/>
      <c r="P1274" s="203"/>
    </row>
    <row r="1275" spans="5:16" x14ac:dyDescent="0.25">
      <c r="E1275" s="203"/>
      <c r="F1275" s="203"/>
      <c r="G1275" s="203"/>
      <c r="H1275" s="203"/>
      <c r="I1275" s="203"/>
      <c r="J1275" s="203"/>
      <c r="K1275" s="203"/>
      <c r="L1275" s="203"/>
      <c r="M1275" s="203"/>
      <c r="N1275" s="203"/>
      <c r="O1275" s="203"/>
      <c r="P1275" s="203"/>
    </row>
    <row r="1284" spans="1:17" ht="13" x14ac:dyDescent="0.3">
      <c r="B1284" s="187"/>
      <c r="C1284" s="188"/>
      <c r="D1284" s="188"/>
      <c r="E1284" s="188"/>
      <c r="F1284" s="188"/>
      <c r="G1284" s="188"/>
      <c r="H1284" s="187"/>
      <c r="I1284" s="188"/>
    </row>
    <row r="1285" spans="1:17" x14ac:dyDescent="0.25">
      <c r="B1285" s="188"/>
      <c r="C1285" s="188"/>
      <c r="D1285" s="188"/>
      <c r="E1285" s="188"/>
      <c r="F1285" s="188"/>
      <c r="G1285" s="188"/>
      <c r="H1285" s="188"/>
      <c r="I1285" s="188"/>
    </row>
    <row r="1286" spans="1:17" x14ac:dyDescent="0.25">
      <c r="B1286" s="188"/>
      <c r="C1286" s="188"/>
      <c r="D1286" s="188"/>
      <c r="E1286" s="188"/>
      <c r="F1286" s="188"/>
      <c r="G1286" s="188"/>
      <c r="H1286" s="188"/>
      <c r="I1286" s="188"/>
    </row>
    <row r="1287" spans="1:17" ht="13" x14ac:dyDescent="0.3">
      <c r="B1287" s="186"/>
      <c r="C1287" s="188"/>
      <c r="D1287" s="188"/>
      <c r="E1287" s="188"/>
      <c r="F1287" s="188"/>
      <c r="G1287" s="188"/>
      <c r="H1287" s="186"/>
      <c r="I1287" s="188"/>
    </row>
    <row r="1288" spans="1:17" x14ac:dyDescent="0.25">
      <c r="B1288" s="188"/>
      <c r="C1288" s="188"/>
      <c r="D1288" s="188"/>
      <c r="E1288" s="188"/>
      <c r="F1288" s="188"/>
      <c r="G1288" s="188"/>
      <c r="H1288" s="188"/>
      <c r="I1288" s="188"/>
    </row>
    <row r="1289" spans="1:17" x14ac:dyDescent="0.25">
      <c r="B1289" s="188"/>
      <c r="C1289" s="188"/>
      <c r="D1289" s="188"/>
      <c r="E1289" s="188"/>
      <c r="F1289" s="188"/>
      <c r="G1289" s="188"/>
      <c r="H1289" s="188"/>
      <c r="I1289" s="188"/>
    </row>
    <row r="1290" spans="1:17" x14ac:dyDescent="0.25">
      <c r="B1290" s="188"/>
      <c r="C1290" s="188"/>
      <c r="F1290" s="188"/>
      <c r="G1290" s="188"/>
      <c r="H1290" s="188"/>
    </row>
    <row r="1291" spans="1:17" x14ac:dyDescent="0.25">
      <c r="B1291" s="206"/>
      <c r="C1291" s="188"/>
      <c r="D1291" s="188"/>
      <c r="E1291" s="188"/>
      <c r="F1291" s="188"/>
      <c r="G1291" s="188"/>
      <c r="H1291" s="206"/>
      <c r="I1291" s="188"/>
    </row>
    <row r="1292" spans="1:17" x14ac:dyDescent="0.25">
      <c r="B1292" s="188"/>
      <c r="C1292" s="188"/>
      <c r="D1292" s="188"/>
      <c r="E1292" s="188"/>
      <c r="F1292" s="188"/>
      <c r="G1292" s="188"/>
      <c r="H1292" s="188"/>
      <c r="I1292" s="188"/>
    </row>
    <row r="1293" spans="1:17" x14ac:dyDescent="0.25">
      <c r="A1293" s="206"/>
      <c r="B1293" s="206"/>
      <c r="C1293" s="188"/>
      <c r="D1293" s="188"/>
      <c r="E1293" s="188"/>
      <c r="F1293" s="188"/>
      <c r="G1293" s="188"/>
      <c r="H1293" s="188"/>
      <c r="I1293" s="188"/>
    </row>
    <row r="1294" spans="1:17" x14ac:dyDescent="0.25">
      <c r="A1294" s="5"/>
      <c r="B1294" s="5"/>
      <c r="C1294" s="5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5"/>
    </row>
    <row r="1295" spans="1:17" x14ac:dyDescent="0.25">
      <c r="A1295" s="23"/>
      <c r="B1295" s="23"/>
      <c r="C1295" s="23"/>
      <c r="D1295" s="13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x14ac:dyDescent="0.25">
      <c r="A1296" s="23"/>
      <c r="B1296" s="23"/>
      <c r="C1296" s="23"/>
    </row>
    <row r="1297" spans="1:16" x14ac:dyDescent="0.25">
      <c r="A1297" s="23"/>
      <c r="B1297" s="23"/>
      <c r="C1297" s="23"/>
    </row>
    <row r="1298" spans="1:16" x14ac:dyDescent="0.25">
      <c r="A1298" s="23"/>
      <c r="B1298" s="23"/>
      <c r="C1298" s="23"/>
    </row>
    <row r="1299" spans="1:16" x14ac:dyDescent="0.25">
      <c r="A1299" s="23"/>
      <c r="B1299" s="23"/>
      <c r="C1299" s="23"/>
    </row>
    <row r="1300" spans="1:16" x14ac:dyDescent="0.25">
      <c r="A1300" s="23"/>
      <c r="B1300" s="23"/>
      <c r="C1300" s="23"/>
    </row>
    <row r="1301" spans="1:16" x14ac:dyDescent="0.25">
      <c r="A1301" s="23"/>
      <c r="B1301" s="23"/>
      <c r="C1301" s="23"/>
    </row>
    <row r="1302" spans="1:16" x14ac:dyDescent="0.25">
      <c r="A1302" s="23"/>
      <c r="B1302" s="23"/>
      <c r="C1302" s="23"/>
    </row>
    <row r="1303" spans="1:16" x14ac:dyDescent="0.25">
      <c r="A1303" s="23"/>
      <c r="B1303" s="23"/>
      <c r="C1303" s="23"/>
    </row>
    <row r="1304" spans="1:16" x14ac:dyDescent="0.25">
      <c r="A1304" s="23"/>
      <c r="B1304" s="23"/>
      <c r="C1304" s="23"/>
    </row>
    <row r="1305" spans="1:16" x14ac:dyDescent="0.25">
      <c r="A1305" s="23"/>
      <c r="B1305" s="23"/>
      <c r="C1305" s="23"/>
    </row>
    <row r="1306" spans="1:16" x14ac:dyDescent="0.25">
      <c r="A1306" s="23"/>
      <c r="B1306" s="23"/>
      <c r="C1306" s="23"/>
    </row>
    <row r="1307" spans="1:16" x14ac:dyDescent="0.25">
      <c r="A1307" s="23"/>
      <c r="B1307" s="23"/>
      <c r="C1307" s="23"/>
    </row>
    <row r="1308" spans="1:16" x14ac:dyDescent="0.25">
      <c r="A1308" s="23"/>
      <c r="B1308" s="23"/>
      <c r="C1308" s="23"/>
    </row>
    <row r="1309" spans="1:16" x14ac:dyDescent="0.25">
      <c r="A1309" s="23"/>
      <c r="B1309" s="23"/>
      <c r="C1309" s="23"/>
      <c r="E1309" s="201"/>
      <c r="F1309" s="201"/>
      <c r="G1309" s="201"/>
      <c r="H1309" s="201"/>
      <c r="I1309" s="201"/>
      <c r="J1309" s="201"/>
      <c r="K1309" s="201"/>
      <c r="L1309" s="201"/>
      <c r="M1309" s="201"/>
      <c r="N1309" s="201"/>
      <c r="O1309" s="201"/>
      <c r="P1309" s="201"/>
    </row>
    <row r="1310" spans="1:16" x14ac:dyDescent="0.25">
      <c r="A1310" s="23"/>
      <c r="B1310" s="23"/>
      <c r="C1310" s="23"/>
    </row>
    <row r="1311" spans="1:16" x14ac:dyDescent="0.25">
      <c r="A1311" s="23"/>
      <c r="B1311" s="23"/>
      <c r="C1311" s="23"/>
    </row>
    <row r="1312" spans="1:16" x14ac:dyDescent="0.25">
      <c r="A1312" s="23"/>
      <c r="B1312" s="23"/>
      <c r="C1312" s="23"/>
      <c r="F1312" s="201"/>
      <c r="G1312" s="201"/>
      <c r="H1312" s="201"/>
      <c r="I1312" s="201"/>
      <c r="J1312" s="201"/>
      <c r="K1312" s="201"/>
      <c r="L1312" s="201"/>
      <c r="M1312" s="201"/>
      <c r="N1312" s="201"/>
      <c r="O1312" s="201"/>
      <c r="P1312" s="201"/>
    </row>
    <row r="1313" spans="1:16" x14ac:dyDescent="0.25">
      <c r="A1313" s="23"/>
      <c r="B1313" s="23"/>
      <c r="C1313" s="23"/>
    </row>
    <row r="1314" spans="1:16" x14ac:dyDescent="0.25">
      <c r="A1314" s="23"/>
      <c r="B1314" s="23"/>
      <c r="C1314" s="23"/>
    </row>
    <row r="1315" spans="1:16" x14ac:dyDescent="0.25">
      <c r="A1315" s="23"/>
      <c r="B1315" s="23"/>
      <c r="C1315" s="23"/>
    </row>
    <row r="1316" spans="1:16" x14ac:dyDescent="0.25">
      <c r="A1316" s="23"/>
      <c r="B1316" s="23"/>
      <c r="C1316" s="23"/>
    </row>
    <row r="1317" spans="1:16" x14ac:dyDescent="0.25">
      <c r="A1317" s="23"/>
      <c r="B1317" s="23"/>
      <c r="C1317" s="23"/>
    </row>
    <row r="1318" spans="1:16" x14ac:dyDescent="0.25">
      <c r="A1318" s="23"/>
      <c r="B1318" s="23"/>
      <c r="C1318" s="23"/>
      <c r="E1318" s="202"/>
      <c r="F1318" s="202"/>
      <c r="G1318" s="202"/>
      <c r="H1318" s="202"/>
      <c r="I1318" s="202"/>
      <c r="J1318" s="202"/>
      <c r="K1318" s="202"/>
      <c r="L1318" s="202"/>
      <c r="M1318" s="202"/>
      <c r="N1318" s="202"/>
      <c r="O1318" s="202"/>
      <c r="P1318" s="202"/>
    </row>
    <row r="1319" spans="1:16" x14ac:dyDescent="0.25">
      <c r="A1319" s="23"/>
      <c r="B1319" s="23"/>
      <c r="C1319" s="23"/>
      <c r="E1319" s="202"/>
      <c r="F1319" s="202"/>
      <c r="G1319" s="202"/>
      <c r="H1319" s="202"/>
      <c r="I1319" s="202"/>
      <c r="J1319" s="202"/>
      <c r="K1319" s="202"/>
      <c r="L1319" s="202"/>
      <c r="M1319" s="202"/>
      <c r="N1319" s="202"/>
      <c r="O1319" s="202"/>
      <c r="P1319" s="202"/>
    </row>
    <row r="1320" spans="1:16" x14ac:dyDescent="0.25">
      <c r="A1320" s="23"/>
      <c r="B1320" s="23"/>
      <c r="C1320" s="23"/>
    </row>
    <row r="1321" spans="1:16" x14ac:dyDescent="0.25">
      <c r="A1321" s="23"/>
      <c r="B1321" s="23"/>
      <c r="C1321" s="23"/>
    </row>
    <row r="1322" spans="1:16" x14ac:dyDescent="0.25">
      <c r="A1322" s="23"/>
      <c r="B1322" s="23"/>
      <c r="C1322" s="23"/>
    </row>
    <row r="1323" spans="1:16" x14ac:dyDescent="0.25">
      <c r="A1323" s="23"/>
      <c r="B1323" s="23"/>
      <c r="C1323" s="23"/>
    </row>
    <row r="1324" spans="1:16" x14ac:dyDescent="0.25">
      <c r="A1324" s="23"/>
      <c r="B1324" s="23"/>
      <c r="C1324" s="23"/>
      <c r="E1324" s="203"/>
      <c r="F1324" s="203"/>
      <c r="G1324" s="203"/>
      <c r="H1324" s="203"/>
      <c r="I1324" s="203"/>
      <c r="J1324" s="203"/>
      <c r="K1324" s="203"/>
      <c r="L1324" s="203"/>
      <c r="M1324" s="203"/>
      <c r="N1324" s="203"/>
      <c r="O1324" s="203"/>
      <c r="P1324" s="203"/>
    </row>
    <row r="1325" spans="1:16" x14ac:dyDescent="0.25">
      <c r="A1325" s="23"/>
      <c r="B1325" s="23"/>
      <c r="C1325" s="23"/>
      <c r="E1325" s="203"/>
      <c r="F1325" s="203"/>
      <c r="G1325" s="203"/>
      <c r="H1325" s="203"/>
      <c r="I1325" s="203"/>
      <c r="J1325" s="203"/>
      <c r="K1325" s="203"/>
      <c r="L1325" s="203"/>
      <c r="M1325" s="203"/>
      <c r="N1325" s="203"/>
      <c r="O1325" s="203"/>
      <c r="P1325" s="203"/>
    </row>
    <row r="1326" spans="1:16" x14ac:dyDescent="0.25">
      <c r="A1326" s="23"/>
      <c r="B1326" s="23"/>
      <c r="C1326" s="23"/>
      <c r="E1326" s="203"/>
      <c r="F1326" s="203"/>
      <c r="G1326" s="203"/>
      <c r="H1326" s="203"/>
      <c r="I1326" s="203"/>
      <c r="J1326" s="203"/>
      <c r="K1326" s="203"/>
      <c r="L1326" s="203"/>
      <c r="M1326" s="203"/>
      <c r="N1326" s="203"/>
      <c r="O1326" s="203"/>
      <c r="P1326" s="203"/>
    </row>
    <row r="1327" spans="1:16" x14ac:dyDescent="0.25">
      <c r="A1327" s="23"/>
      <c r="B1327" s="23"/>
      <c r="C1327" s="23"/>
    </row>
    <row r="1328" spans="1:16" x14ac:dyDescent="0.25">
      <c r="A1328" s="23"/>
      <c r="B1328" s="23"/>
      <c r="C1328" s="23"/>
    </row>
    <row r="1329" spans="1:9" x14ac:dyDescent="0.25">
      <c r="A1329" s="23"/>
      <c r="B1329" s="23"/>
      <c r="C1329" s="23"/>
    </row>
    <row r="1335" spans="1:9" ht="13" x14ac:dyDescent="0.3">
      <c r="B1335" s="187"/>
      <c r="C1335" s="188"/>
      <c r="D1335" s="188"/>
      <c r="E1335" s="188"/>
      <c r="F1335" s="188"/>
      <c r="G1335" s="188"/>
      <c r="H1335" s="187"/>
      <c r="I1335" s="188"/>
    </row>
    <row r="1336" spans="1:9" x14ac:dyDescent="0.25">
      <c r="B1336" s="188"/>
      <c r="C1336" s="188"/>
      <c r="D1336" s="188"/>
      <c r="E1336" s="188"/>
      <c r="F1336" s="188"/>
      <c r="G1336" s="188"/>
      <c r="H1336" s="188"/>
      <c r="I1336" s="188"/>
    </row>
    <row r="1337" spans="1:9" ht="13" x14ac:dyDescent="0.3">
      <c r="B1337" s="188"/>
      <c r="C1337" s="188"/>
      <c r="D1337" s="188"/>
      <c r="E1337" s="188"/>
      <c r="F1337" s="188"/>
      <c r="G1337" s="188"/>
      <c r="H1337" s="186"/>
      <c r="I1337" s="188"/>
    </row>
    <row r="1338" spans="1:9" ht="13" x14ac:dyDescent="0.3">
      <c r="B1338" s="186"/>
      <c r="C1338" s="188"/>
      <c r="D1338" s="188"/>
      <c r="E1338" s="188"/>
      <c r="F1338" s="188"/>
      <c r="G1338" s="188"/>
      <c r="H1338" s="186"/>
      <c r="I1338" s="188"/>
    </row>
    <row r="1339" spans="1:9" x14ac:dyDescent="0.25">
      <c r="B1339" s="188"/>
      <c r="C1339" s="188"/>
      <c r="D1339" s="188"/>
      <c r="E1339" s="188"/>
      <c r="F1339" s="188"/>
      <c r="G1339" s="188"/>
      <c r="H1339" s="188"/>
      <c r="I1339" s="188"/>
    </row>
    <row r="1340" spans="1:9" x14ac:dyDescent="0.25">
      <c r="B1340" s="188"/>
      <c r="C1340" s="188"/>
      <c r="D1340" s="188"/>
      <c r="E1340" s="188"/>
      <c r="F1340" s="188"/>
      <c r="G1340" s="188"/>
      <c r="H1340" s="188"/>
      <c r="I1340" s="188"/>
    </row>
    <row r="1341" spans="1:9" x14ac:dyDescent="0.25">
      <c r="B1341" s="188"/>
      <c r="C1341" s="188"/>
      <c r="F1341" s="188"/>
      <c r="G1341" s="188"/>
      <c r="H1341" s="188"/>
    </row>
    <row r="1342" spans="1:9" x14ac:dyDescent="0.25">
      <c r="B1342" s="206"/>
      <c r="C1342" s="188"/>
      <c r="D1342" s="188"/>
      <c r="E1342" s="188"/>
      <c r="F1342" s="188"/>
      <c r="G1342" s="188"/>
      <c r="H1342" s="206"/>
      <c r="I1342" s="188"/>
    </row>
    <row r="1343" spans="1:9" x14ac:dyDescent="0.25">
      <c r="B1343" s="188"/>
      <c r="C1343" s="188"/>
      <c r="D1343" s="188"/>
      <c r="E1343" s="188"/>
      <c r="F1343" s="188"/>
      <c r="G1343" s="188"/>
      <c r="H1343" s="188"/>
      <c r="I1343" s="188"/>
    </row>
    <row r="1344" spans="1:9" x14ac:dyDescent="0.25">
      <c r="A1344" s="206"/>
      <c r="B1344" s="206"/>
      <c r="C1344" s="188"/>
      <c r="D1344" s="188"/>
      <c r="E1344" s="188"/>
      <c r="F1344" s="188"/>
      <c r="G1344" s="188"/>
      <c r="H1344" s="188"/>
      <c r="I1344" s="188"/>
    </row>
    <row r="1345" spans="1:17" x14ac:dyDescent="0.25">
      <c r="A1345" s="5"/>
      <c r="B1345" s="5"/>
      <c r="C1345" s="5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5"/>
    </row>
    <row r="1346" spans="1:17" x14ac:dyDescent="0.25">
      <c r="A1346" s="23"/>
      <c r="B1346" s="23"/>
      <c r="C1346" s="23"/>
      <c r="D1346" s="13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x14ac:dyDescent="0.25">
      <c r="A1347" s="23"/>
      <c r="B1347" s="23"/>
      <c r="C1347" s="23"/>
    </row>
    <row r="1348" spans="1:17" x14ac:dyDescent="0.25">
      <c r="A1348" s="23"/>
      <c r="B1348" s="23"/>
      <c r="C1348" s="23"/>
    </row>
    <row r="1349" spans="1:17" x14ac:dyDescent="0.25">
      <c r="A1349" s="23"/>
      <c r="B1349" s="23"/>
      <c r="C1349" s="23"/>
    </row>
    <row r="1350" spans="1:17" x14ac:dyDescent="0.25">
      <c r="A1350" s="23"/>
      <c r="B1350" s="23"/>
      <c r="C1350" s="23"/>
    </row>
    <row r="1351" spans="1:17" x14ac:dyDescent="0.25">
      <c r="A1351" s="23"/>
      <c r="B1351" s="23"/>
      <c r="C1351" s="23"/>
    </row>
    <row r="1352" spans="1:17" x14ac:dyDescent="0.25">
      <c r="A1352" s="23"/>
      <c r="B1352" s="23"/>
      <c r="C1352" s="23"/>
    </row>
    <row r="1353" spans="1:17" x14ac:dyDescent="0.25">
      <c r="A1353" s="23"/>
      <c r="B1353" s="23"/>
      <c r="C1353" s="23"/>
    </row>
    <row r="1354" spans="1:17" x14ac:dyDescent="0.25">
      <c r="A1354" s="23"/>
      <c r="B1354" s="23"/>
      <c r="C1354" s="23"/>
    </row>
    <row r="1355" spans="1:17" x14ac:dyDescent="0.25">
      <c r="A1355" s="23"/>
      <c r="B1355" s="23"/>
      <c r="C1355" s="23"/>
    </row>
    <row r="1356" spans="1:17" x14ac:dyDescent="0.25">
      <c r="A1356" s="23"/>
      <c r="B1356" s="23"/>
      <c r="C1356" s="23"/>
    </row>
    <row r="1357" spans="1:17" x14ac:dyDescent="0.25">
      <c r="A1357" s="23"/>
      <c r="B1357" s="23"/>
      <c r="C1357" s="23"/>
    </row>
    <row r="1358" spans="1:17" x14ac:dyDescent="0.25">
      <c r="A1358" s="23"/>
      <c r="B1358" s="23"/>
      <c r="C1358" s="23"/>
    </row>
    <row r="1359" spans="1:17" x14ac:dyDescent="0.25">
      <c r="A1359" s="23"/>
      <c r="B1359" s="23"/>
      <c r="C1359" s="23"/>
    </row>
    <row r="1360" spans="1:17" x14ac:dyDescent="0.25">
      <c r="A1360" s="23"/>
      <c r="B1360" s="23"/>
      <c r="C1360" s="23"/>
      <c r="E1360" s="201"/>
      <c r="F1360" s="201"/>
      <c r="G1360" s="201"/>
      <c r="H1360" s="201"/>
      <c r="I1360" s="201"/>
      <c r="J1360" s="201"/>
      <c r="K1360" s="201"/>
      <c r="L1360" s="201"/>
      <c r="M1360" s="201"/>
      <c r="N1360" s="201"/>
      <c r="O1360" s="201"/>
      <c r="P1360" s="201"/>
    </row>
    <row r="1361" spans="1:16" x14ac:dyDescent="0.25">
      <c r="A1361" s="23"/>
      <c r="B1361" s="23"/>
      <c r="C1361" s="23"/>
    </row>
    <row r="1362" spans="1:16" x14ac:dyDescent="0.25">
      <c r="A1362" s="23"/>
      <c r="B1362" s="23"/>
      <c r="C1362" s="23"/>
    </row>
    <row r="1363" spans="1:16" x14ac:dyDescent="0.25">
      <c r="A1363" s="23"/>
      <c r="B1363" s="23"/>
      <c r="C1363" s="23"/>
      <c r="F1363" s="201"/>
      <c r="G1363" s="201"/>
      <c r="H1363" s="201"/>
      <c r="I1363" s="201"/>
      <c r="J1363" s="201"/>
      <c r="K1363" s="201"/>
      <c r="L1363" s="201"/>
      <c r="M1363" s="201"/>
      <c r="N1363" s="201"/>
      <c r="O1363" s="201"/>
      <c r="P1363" s="201"/>
    </row>
    <row r="1364" spans="1:16" x14ac:dyDescent="0.25">
      <c r="A1364" s="23"/>
      <c r="B1364" s="23"/>
      <c r="C1364" s="23"/>
    </row>
    <row r="1365" spans="1:16" x14ac:dyDescent="0.25">
      <c r="A1365" s="23"/>
      <c r="B1365" s="23"/>
      <c r="C1365" s="23"/>
    </row>
    <row r="1366" spans="1:16" x14ac:dyDescent="0.25">
      <c r="A1366" s="23"/>
      <c r="B1366" s="23"/>
      <c r="C1366" s="23"/>
    </row>
    <row r="1367" spans="1:16" x14ac:dyDescent="0.25">
      <c r="A1367" s="23"/>
      <c r="B1367" s="23"/>
      <c r="C1367" s="23"/>
    </row>
    <row r="1368" spans="1:16" x14ac:dyDescent="0.25">
      <c r="A1368" s="23"/>
      <c r="B1368" s="23"/>
      <c r="C1368" s="23"/>
    </row>
    <row r="1369" spans="1:16" x14ac:dyDescent="0.25">
      <c r="A1369" s="23"/>
      <c r="B1369" s="23"/>
      <c r="C1369" s="23"/>
      <c r="E1369" s="202"/>
      <c r="F1369" s="202"/>
      <c r="G1369" s="202"/>
      <c r="H1369" s="202"/>
      <c r="I1369" s="202"/>
      <c r="J1369" s="202"/>
      <c r="K1369" s="202"/>
      <c r="L1369" s="202"/>
      <c r="M1369" s="202"/>
      <c r="N1369" s="202"/>
      <c r="O1369" s="202"/>
      <c r="P1369" s="202"/>
    </row>
    <row r="1370" spans="1:16" x14ac:dyDescent="0.25">
      <c r="A1370" s="23"/>
      <c r="B1370" s="23"/>
      <c r="C1370" s="23"/>
      <c r="E1370" s="202"/>
      <c r="F1370" s="202"/>
      <c r="G1370" s="202"/>
      <c r="H1370" s="202"/>
      <c r="I1370" s="202"/>
      <c r="J1370" s="202"/>
      <c r="K1370" s="202"/>
      <c r="L1370" s="202"/>
      <c r="M1370" s="202"/>
      <c r="N1370" s="202"/>
      <c r="O1370" s="202"/>
      <c r="P1370" s="202"/>
    </row>
    <row r="1371" spans="1:16" x14ac:dyDescent="0.25">
      <c r="A1371" s="23"/>
      <c r="B1371" s="23"/>
      <c r="C1371" s="23"/>
    </row>
    <row r="1372" spans="1:16" x14ac:dyDescent="0.25">
      <c r="A1372" s="23"/>
      <c r="B1372" s="23"/>
      <c r="C1372" s="23"/>
    </row>
    <row r="1373" spans="1:16" x14ac:dyDescent="0.25">
      <c r="A1373" s="23"/>
      <c r="B1373" s="23"/>
      <c r="C1373" s="23"/>
    </row>
    <row r="1374" spans="1:16" x14ac:dyDescent="0.25">
      <c r="A1374" s="23"/>
      <c r="B1374" s="23"/>
      <c r="C1374" s="23"/>
    </row>
    <row r="1375" spans="1:16" x14ac:dyDescent="0.25">
      <c r="A1375" s="23"/>
      <c r="B1375" s="23"/>
      <c r="C1375" s="23"/>
      <c r="E1375" s="203"/>
      <c r="F1375" s="203"/>
      <c r="G1375" s="203"/>
      <c r="H1375" s="203"/>
      <c r="I1375" s="203"/>
      <c r="J1375" s="203"/>
      <c r="K1375" s="203"/>
      <c r="L1375" s="203"/>
      <c r="M1375" s="203"/>
      <c r="N1375" s="203"/>
      <c r="O1375" s="203"/>
      <c r="P1375" s="203"/>
    </row>
    <row r="1376" spans="1:16" x14ac:dyDescent="0.25">
      <c r="A1376" s="23"/>
      <c r="B1376" s="23"/>
      <c r="C1376" s="23"/>
      <c r="E1376" s="203"/>
      <c r="F1376" s="203"/>
      <c r="G1376" s="203"/>
      <c r="H1376" s="203"/>
      <c r="I1376" s="203"/>
      <c r="J1376" s="203"/>
      <c r="K1376" s="203"/>
      <c r="L1376" s="203"/>
      <c r="M1376" s="203"/>
      <c r="N1376" s="203"/>
      <c r="O1376" s="203"/>
      <c r="P1376" s="203"/>
    </row>
    <row r="1377" spans="1:16" x14ac:dyDescent="0.25">
      <c r="A1377" s="23"/>
      <c r="B1377" s="23"/>
      <c r="C1377" s="23"/>
      <c r="E1377" s="203"/>
      <c r="F1377" s="203"/>
      <c r="G1377" s="203"/>
      <c r="H1377" s="203"/>
      <c r="I1377" s="203"/>
      <c r="J1377" s="203"/>
      <c r="K1377" s="203"/>
      <c r="L1377" s="203"/>
      <c r="M1377" s="203"/>
      <c r="N1377" s="203"/>
      <c r="O1377" s="203"/>
      <c r="P1377" s="203"/>
    </row>
    <row r="1378" spans="1:16" x14ac:dyDescent="0.25">
      <c r="A1378" s="23"/>
      <c r="B1378" s="23"/>
      <c r="C1378" s="23"/>
    </row>
    <row r="1379" spans="1:16" x14ac:dyDescent="0.25">
      <c r="A1379" s="23"/>
      <c r="B1379" s="23"/>
      <c r="C1379" s="23"/>
    </row>
    <row r="1380" spans="1:16" x14ac:dyDescent="0.25">
      <c r="A1380" s="23"/>
      <c r="B1380" s="23"/>
      <c r="C1380" s="23"/>
    </row>
    <row r="1386" spans="1:16" ht="13" x14ac:dyDescent="0.3">
      <c r="B1386" s="187"/>
      <c r="C1386" s="188"/>
      <c r="D1386" s="188"/>
      <c r="E1386" s="188"/>
      <c r="F1386" s="188"/>
      <c r="G1386" s="188"/>
      <c r="H1386" s="187"/>
      <c r="I1386" s="188"/>
    </row>
    <row r="1387" spans="1:16" x14ac:dyDescent="0.25">
      <c r="B1387" s="188"/>
      <c r="C1387" s="188"/>
      <c r="D1387" s="188"/>
      <c r="E1387" s="188"/>
      <c r="F1387" s="188"/>
      <c r="G1387" s="188"/>
      <c r="H1387" s="188"/>
      <c r="I1387" s="188"/>
    </row>
    <row r="1388" spans="1:16" ht="13" x14ac:dyDescent="0.3">
      <c r="B1388" s="188"/>
      <c r="C1388" s="188"/>
      <c r="D1388" s="188"/>
      <c r="E1388" s="188"/>
      <c r="F1388" s="188"/>
      <c r="G1388" s="188"/>
      <c r="H1388" s="186"/>
      <c r="I1388" s="188"/>
    </row>
    <row r="1389" spans="1:16" ht="13" x14ac:dyDescent="0.3">
      <c r="B1389" s="186"/>
      <c r="C1389" s="188"/>
      <c r="D1389" s="188"/>
      <c r="E1389" s="188"/>
      <c r="F1389" s="188"/>
      <c r="G1389" s="188"/>
      <c r="H1389" s="186"/>
      <c r="I1389" s="188"/>
    </row>
    <row r="1390" spans="1:16" x14ac:dyDescent="0.25">
      <c r="B1390" s="188"/>
      <c r="C1390" s="188"/>
      <c r="D1390" s="188"/>
      <c r="E1390" s="188"/>
      <c r="F1390" s="188"/>
      <c r="G1390" s="188"/>
      <c r="H1390" s="188"/>
      <c r="I1390" s="188"/>
    </row>
    <row r="1391" spans="1:16" x14ac:dyDescent="0.25">
      <c r="B1391" s="188"/>
      <c r="C1391" s="188"/>
      <c r="D1391" s="188"/>
      <c r="E1391" s="188"/>
      <c r="F1391" s="188"/>
      <c r="G1391" s="188"/>
      <c r="H1391" s="188"/>
      <c r="I1391" s="188"/>
    </row>
    <row r="1392" spans="1:16" x14ac:dyDescent="0.25">
      <c r="B1392" s="188"/>
      <c r="C1392" s="188"/>
      <c r="F1392" s="188"/>
      <c r="G1392" s="188"/>
      <c r="H1392" s="188"/>
    </row>
    <row r="1393" spans="1:17" x14ac:dyDescent="0.25">
      <c r="B1393" s="206"/>
      <c r="C1393" s="188"/>
      <c r="D1393" s="188"/>
      <c r="E1393" s="188"/>
      <c r="F1393" s="188"/>
      <c r="G1393" s="188"/>
      <c r="H1393" s="206"/>
      <c r="I1393" s="188"/>
    </row>
    <row r="1394" spans="1:17" x14ac:dyDescent="0.25">
      <c r="B1394" s="188"/>
      <c r="C1394" s="188"/>
      <c r="D1394" s="188"/>
      <c r="E1394" s="188"/>
      <c r="F1394" s="188"/>
      <c r="G1394" s="188"/>
      <c r="H1394" s="188"/>
      <c r="I1394" s="188"/>
    </row>
    <row r="1395" spans="1:17" x14ac:dyDescent="0.25">
      <c r="A1395" s="206"/>
      <c r="B1395" s="206"/>
      <c r="C1395" s="188"/>
      <c r="D1395" s="188"/>
      <c r="E1395" s="188"/>
      <c r="F1395" s="188"/>
      <c r="G1395" s="188"/>
      <c r="H1395" s="188"/>
      <c r="I1395" s="188"/>
    </row>
    <row r="1396" spans="1:17" x14ac:dyDescent="0.25">
      <c r="A1396" s="5"/>
      <c r="B1396" s="5"/>
      <c r="C1396" s="5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5"/>
    </row>
    <row r="1397" spans="1:17" x14ac:dyDescent="0.25">
      <c r="A1397" s="23"/>
      <c r="B1397" s="23"/>
      <c r="C1397" s="23"/>
      <c r="D1397" s="13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x14ac:dyDescent="0.25">
      <c r="A1398" s="23"/>
      <c r="B1398" s="23"/>
      <c r="C1398" s="23"/>
    </row>
    <row r="1399" spans="1:17" x14ac:dyDescent="0.25">
      <c r="A1399" s="23"/>
      <c r="B1399" s="23"/>
      <c r="C1399" s="23"/>
    </row>
    <row r="1400" spans="1:17" x14ac:dyDescent="0.25">
      <c r="A1400" s="23"/>
      <c r="B1400" s="23"/>
      <c r="C1400" s="23"/>
    </row>
    <row r="1401" spans="1:17" x14ac:dyDescent="0.25">
      <c r="A1401" s="23"/>
      <c r="B1401" s="23"/>
      <c r="C1401" s="23"/>
    </row>
    <row r="1402" spans="1:17" x14ac:dyDescent="0.25">
      <c r="A1402" s="23"/>
      <c r="B1402" s="23"/>
      <c r="C1402" s="23"/>
    </row>
    <row r="1403" spans="1:17" x14ac:dyDescent="0.25">
      <c r="A1403" s="23"/>
      <c r="B1403" s="23"/>
      <c r="C1403" s="23"/>
    </row>
    <row r="1404" spans="1:17" x14ac:dyDescent="0.25">
      <c r="A1404" s="23"/>
      <c r="B1404" s="23"/>
      <c r="C1404" s="23"/>
    </row>
    <row r="1405" spans="1:17" x14ac:dyDescent="0.25">
      <c r="A1405" s="23"/>
      <c r="B1405" s="23"/>
      <c r="C1405" s="23"/>
    </row>
    <row r="1406" spans="1:17" x14ac:dyDescent="0.25">
      <c r="A1406" s="23"/>
      <c r="B1406" s="23"/>
      <c r="C1406" s="23"/>
    </row>
    <row r="1407" spans="1:17" x14ac:dyDescent="0.25">
      <c r="A1407" s="23"/>
      <c r="B1407" s="23"/>
      <c r="C1407" s="23"/>
    </row>
    <row r="1408" spans="1:17" x14ac:dyDescent="0.25">
      <c r="A1408" s="23"/>
      <c r="B1408" s="23"/>
      <c r="C1408" s="23"/>
    </row>
    <row r="1409" spans="1:16" x14ac:dyDescent="0.25">
      <c r="A1409" s="23"/>
      <c r="B1409" s="23"/>
      <c r="C1409" s="23"/>
    </row>
    <row r="1410" spans="1:16" x14ac:dyDescent="0.25">
      <c r="A1410" s="23"/>
      <c r="B1410" s="23"/>
      <c r="C1410" s="23"/>
    </row>
    <row r="1411" spans="1:16" x14ac:dyDescent="0.25">
      <c r="A1411" s="23"/>
      <c r="B1411" s="23"/>
      <c r="C1411" s="23"/>
      <c r="E1411" s="201"/>
      <c r="F1411" s="201"/>
      <c r="G1411" s="201"/>
      <c r="H1411" s="201"/>
      <c r="I1411" s="201"/>
      <c r="J1411" s="201"/>
      <c r="K1411" s="201"/>
      <c r="L1411" s="201"/>
      <c r="M1411" s="201"/>
      <c r="N1411" s="201"/>
      <c r="O1411" s="201"/>
      <c r="P1411" s="201"/>
    </row>
    <row r="1412" spans="1:16" x14ac:dyDescent="0.25">
      <c r="A1412" s="23"/>
      <c r="B1412" s="23"/>
      <c r="C1412" s="23"/>
    </row>
    <row r="1413" spans="1:16" x14ac:dyDescent="0.25">
      <c r="A1413" s="23"/>
      <c r="B1413" s="23"/>
      <c r="C1413" s="23"/>
    </row>
    <row r="1414" spans="1:16" x14ac:dyDescent="0.25">
      <c r="A1414" s="23"/>
      <c r="B1414" s="23"/>
      <c r="C1414" s="23"/>
      <c r="F1414" s="201"/>
      <c r="G1414" s="201"/>
      <c r="H1414" s="201"/>
      <c r="I1414" s="201"/>
      <c r="J1414" s="201"/>
      <c r="K1414" s="201"/>
      <c r="L1414" s="201"/>
      <c r="M1414" s="201"/>
      <c r="N1414" s="201"/>
      <c r="O1414" s="201"/>
      <c r="P1414" s="201"/>
    </row>
    <row r="1415" spans="1:16" x14ac:dyDescent="0.25">
      <c r="A1415" s="23"/>
      <c r="B1415" s="23"/>
      <c r="C1415" s="23"/>
    </row>
    <row r="1416" spans="1:16" x14ac:dyDescent="0.25">
      <c r="A1416" s="23"/>
      <c r="B1416" s="23"/>
      <c r="C1416" s="23"/>
    </row>
    <row r="1417" spans="1:16" x14ac:dyDescent="0.25">
      <c r="A1417" s="23"/>
      <c r="B1417" s="23"/>
      <c r="C1417" s="23"/>
    </row>
    <row r="1418" spans="1:16" x14ac:dyDescent="0.25">
      <c r="A1418" s="23"/>
      <c r="B1418" s="23"/>
      <c r="C1418" s="23"/>
    </row>
    <row r="1419" spans="1:16" x14ac:dyDescent="0.25">
      <c r="A1419" s="23"/>
      <c r="B1419" s="23"/>
      <c r="C1419" s="23"/>
    </row>
    <row r="1420" spans="1:16" x14ac:dyDescent="0.25">
      <c r="A1420" s="23"/>
      <c r="B1420" s="23"/>
      <c r="C1420" s="23"/>
      <c r="E1420" s="202"/>
      <c r="F1420" s="202"/>
      <c r="G1420" s="202"/>
      <c r="H1420" s="202"/>
      <c r="I1420" s="202"/>
      <c r="J1420" s="202"/>
      <c r="K1420" s="202"/>
      <c r="L1420" s="202"/>
      <c r="M1420" s="202"/>
      <c r="N1420" s="202"/>
      <c r="O1420" s="202"/>
      <c r="P1420" s="202"/>
    </row>
    <row r="1421" spans="1:16" x14ac:dyDescent="0.25">
      <c r="A1421" s="23"/>
      <c r="B1421" s="23"/>
      <c r="C1421" s="23"/>
      <c r="E1421" s="202"/>
      <c r="F1421" s="202"/>
      <c r="G1421" s="202"/>
      <c r="H1421" s="202"/>
      <c r="I1421" s="202"/>
      <c r="J1421" s="202"/>
      <c r="K1421" s="202"/>
      <c r="L1421" s="202"/>
      <c r="M1421" s="202"/>
      <c r="N1421" s="202"/>
      <c r="O1421" s="202"/>
      <c r="P1421" s="202"/>
    </row>
    <row r="1422" spans="1:16" x14ac:dyDescent="0.25">
      <c r="A1422" s="23"/>
      <c r="B1422" s="23"/>
      <c r="C1422" s="23"/>
    </row>
    <row r="1423" spans="1:16" x14ac:dyDescent="0.25">
      <c r="A1423" s="23"/>
      <c r="B1423" s="23"/>
      <c r="C1423" s="23"/>
    </row>
    <row r="1424" spans="1:16" x14ac:dyDescent="0.25">
      <c r="A1424" s="23"/>
      <c r="B1424" s="23"/>
      <c r="C1424" s="23"/>
    </row>
    <row r="1425" spans="1:16" x14ac:dyDescent="0.25">
      <c r="A1425" s="23"/>
      <c r="B1425" s="23"/>
      <c r="C1425" s="23"/>
    </row>
    <row r="1426" spans="1:16" x14ac:dyDescent="0.25">
      <c r="A1426" s="23"/>
      <c r="B1426" s="23"/>
      <c r="C1426" s="23"/>
      <c r="E1426" s="203"/>
      <c r="F1426" s="203"/>
      <c r="G1426" s="203"/>
      <c r="H1426" s="203"/>
      <c r="I1426" s="203"/>
      <c r="J1426" s="203"/>
      <c r="K1426" s="203"/>
      <c r="L1426" s="203"/>
      <c r="M1426" s="203"/>
      <c r="N1426" s="203"/>
      <c r="O1426" s="203"/>
      <c r="P1426" s="203"/>
    </row>
    <row r="1427" spans="1:16" x14ac:dyDescent="0.25">
      <c r="A1427" s="23"/>
      <c r="B1427" s="23"/>
      <c r="C1427" s="23"/>
      <c r="E1427" s="203"/>
      <c r="F1427" s="203"/>
      <c r="G1427" s="203"/>
      <c r="H1427" s="203"/>
      <c r="I1427" s="203"/>
      <c r="J1427" s="203"/>
      <c r="K1427" s="203"/>
      <c r="L1427" s="203"/>
      <c r="M1427" s="203"/>
      <c r="N1427" s="203"/>
      <c r="O1427" s="203"/>
      <c r="P1427" s="203"/>
    </row>
    <row r="1428" spans="1:16" x14ac:dyDescent="0.25">
      <c r="A1428" s="23"/>
      <c r="B1428" s="23"/>
      <c r="C1428" s="23"/>
      <c r="E1428" s="203"/>
      <c r="F1428" s="203"/>
      <c r="G1428" s="203"/>
      <c r="H1428" s="203"/>
      <c r="I1428" s="203"/>
      <c r="J1428" s="203"/>
      <c r="K1428" s="203"/>
      <c r="L1428" s="203"/>
      <c r="M1428" s="203"/>
      <c r="N1428" s="203"/>
      <c r="O1428" s="203"/>
      <c r="P1428" s="203"/>
    </row>
    <row r="1429" spans="1:16" x14ac:dyDescent="0.25">
      <c r="A1429" s="23"/>
      <c r="B1429" s="23"/>
      <c r="C1429" s="23"/>
    </row>
    <row r="1430" spans="1:16" x14ac:dyDescent="0.25">
      <c r="A1430" s="23"/>
      <c r="B1430" s="23"/>
      <c r="C1430" s="23"/>
    </row>
    <row r="1431" spans="1:16" x14ac:dyDescent="0.25">
      <c r="A1431" s="23"/>
      <c r="B1431" s="23"/>
      <c r="C1431" s="23"/>
    </row>
    <row r="1432" spans="1:16" x14ac:dyDescent="0.25">
      <c r="A1432" s="23"/>
      <c r="B1432" s="23"/>
      <c r="C1432" s="23"/>
    </row>
    <row r="1433" spans="1:16" x14ac:dyDescent="0.25">
      <c r="A1433" s="23"/>
      <c r="B1433" s="23"/>
      <c r="C1433" s="23"/>
    </row>
    <row r="1434" spans="1:16" x14ac:dyDescent="0.25">
      <c r="A1434" s="23"/>
      <c r="B1434" s="23"/>
      <c r="C1434" s="23"/>
    </row>
    <row r="1435" spans="1:16" x14ac:dyDescent="0.25">
      <c r="A1435" s="23"/>
      <c r="B1435" s="23"/>
      <c r="C1435" s="23"/>
    </row>
    <row r="1436" spans="1:16" x14ac:dyDescent="0.25">
      <c r="A1436" s="23"/>
      <c r="B1436" s="23"/>
      <c r="C1436" s="23"/>
    </row>
    <row r="1437" spans="1:16" ht="13" x14ac:dyDescent="0.3">
      <c r="B1437" s="187"/>
      <c r="C1437" s="188"/>
      <c r="D1437" s="188"/>
      <c r="E1437" s="188"/>
      <c r="F1437" s="188"/>
      <c r="G1437" s="188"/>
      <c r="H1437" s="187"/>
      <c r="I1437" s="188"/>
    </row>
    <row r="1438" spans="1:16" x14ac:dyDescent="0.25">
      <c r="B1438" s="188"/>
      <c r="C1438" s="188"/>
      <c r="D1438" s="188"/>
      <c r="E1438" s="188"/>
      <c r="F1438" s="188"/>
      <c r="G1438" s="188"/>
      <c r="H1438" s="188"/>
      <c r="I1438" s="188"/>
    </row>
    <row r="1439" spans="1:16" ht="13" x14ac:dyDescent="0.3">
      <c r="B1439" s="188"/>
      <c r="C1439" s="188"/>
      <c r="D1439" s="188"/>
      <c r="E1439" s="188"/>
      <c r="F1439" s="188"/>
      <c r="G1439" s="188"/>
      <c r="H1439" s="186"/>
      <c r="I1439" s="188"/>
    </row>
    <row r="1440" spans="1:16" ht="13" x14ac:dyDescent="0.3">
      <c r="B1440" s="186"/>
      <c r="C1440" s="188"/>
      <c r="D1440" s="188"/>
      <c r="E1440" s="188"/>
      <c r="F1440" s="188"/>
      <c r="G1440" s="188"/>
      <c r="H1440" s="186"/>
      <c r="I1440" s="188"/>
    </row>
    <row r="1441" spans="1:17" x14ac:dyDescent="0.25">
      <c r="B1441" s="188"/>
      <c r="C1441" s="188"/>
      <c r="D1441" s="188"/>
      <c r="E1441" s="188"/>
      <c r="F1441" s="188"/>
      <c r="G1441" s="188"/>
      <c r="H1441" s="188"/>
      <c r="I1441" s="188"/>
    </row>
    <row r="1442" spans="1:17" x14ac:dyDescent="0.25">
      <c r="B1442" s="188"/>
      <c r="C1442" s="188"/>
      <c r="D1442" s="188"/>
      <c r="E1442" s="188"/>
      <c r="F1442" s="188"/>
      <c r="G1442" s="188"/>
      <c r="H1442" s="188"/>
      <c r="I1442" s="188"/>
    </row>
    <row r="1443" spans="1:17" x14ac:dyDescent="0.25">
      <c r="B1443" s="188"/>
      <c r="C1443" s="188"/>
      <c r="F1443" s="188"/>
      <c r="G1443" s="188"/>
      <c r="H1443" s="188"/>
    </row>
    <row r="1444" spans="1:17" x14ac:dyDescent="0.25">
      <c r="B1444" s="206"/>
      <c r="C1444" s="188"/>
      <c r="D1444" s="188"/>
      <c r="E1444" s="188"/>
      <c r="F1444" s="188"/>
      <c r="G1444" s="188"/>
      <c r="H1444" s="206"/>
      <c r="I1444" s="188"/>
    </row>
    <row r="1445" spans="1:17" x14ac:dyDescent="0.25">
      <c r="B1445" s="188"/>
      <c r="C1445" s="188"/>
      <c r="D1445" s="188"/>
      <c r="E1445" s="188"/>
      <c r="F1445" s="188"/>
      <c r="G1445" s="188"/>
      <c r="H1445" s="188"/>
      <c r="I1445" s="188"/>
    </row>
    <row r="1446" spans="1:17" x14ac:dyDescent="0.25">
      <c r="A1446" s="206"/>
      <c r="B1446" s="206"/>
      <c r="C1446" s="188"/>
      <c r="D1446" s="188"/>
      <c r="E1446" s="188"/>
      <c r="F1446" s="188"/>
      <c r="G1446" s="188"/>
      <c r="H1446" s="188"/>
      <c r="I1446" s="188"/>
    </row>
    <row r="1447" spans="1:17" x14ac:dyDescent="0.25">
      <c r="A1447" s="5"/>
      <c r="B1447" s="5"/>
      <c r="C1447" s="5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5"/>
    </row>
    <row r="1448" spans="1:17" x14ac:dyDescent="0.25">
      <c r="A1448" s="23"/>
      <c r="B1448" s="23"/>
      <c r="C1448" s="23"/>
      <c r="D1448" s="13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x14ac:dyDescent="0.25">
      <c r="A1449" s="23"/>
      <c r="B1449" s="23"/>
      <c r="C1449" s="23"/>
    </row>
    <row r="1450" spans="1:17" x14ac:dyDescent="0.25">
      <c r="A1450" s="23"/>
      <c r="B1450" s="23"/>
      <c r="C1450" s="23"/>
    </row>
    <row r="1451" spans="1:17" x14ac:dyDescent="0.25">
      <c r="A1451" s="23"/>
      <c r="B1451" s="23"/>
      <c r="C1451" s="23"/>
    </row>
    <row r="1452" spans="1:17" x14ac:dyDescent="0.25">
      <c r="A1452" s="23"/>
      <c r="B1452" s="23"/>
      <c r="C1452" s="23"/>
    </row>
    <row r="1453" spans="1:17" x14ac:dyDescent="0.25">
      <c r="A1453" s="23"/>
      <c r="B1453" s="23"/>
      <c r="C1453" s="23"/>
    </row>
    <row r="1454" spans="1:17" x14ac:dyDescent="0.25">
      <c r="A1454" s="23"/>
      <c r="B1454" s="23"/>
      <c r="C1454" s="23"/>
    </row>
    <row r="1455" spans="1:17" x14ac:dyDescent="0.25">
      <c r="A1455" s="23"/>
      <c r="B1455" s="23"/>
      <c r="C1455" s="23"/>
    </row>
    <row r="1456" spans="1:17" x14ac:dyDescent="0.25">
      <c r="A1456" s="23"/>
      <c r="B1456" s="23"/>
      <c r="C1456" s="23"/>
    </row>
    <row r="1457" spans="1:16" x14ac:dyDescent="0.25">
      <c r="A1457" s="23"/>
      <c r="B1457" s="23"/>
      <c r="C1457" s="23"/>
    </row>
    <row r="1458" spans="1:16" x14ac:dyDescent="0.25">
      <c r="A1458" s="23"/>
      <c r="B1458" s="23"/>
      <c r="C1458" s="23"/>
    </row>
    <row r="1459" spans="1:16" x14ac:dyDescent="0.25">
      <c r="A1459" s="23"/>
      <c r="B1459" s="23"/>
      <c r="C1459" s="23"/>
    </row>
    <row r="1460" spans="1:16" x14ac:dyDescent="0.25">
      <c r="A1460" s="23"/>
      <c r="B1460" s="23"/>
      <c r="C1460" s="23"/>
    </row>
    <row r="1461" spans="1:16" x14ac:dyDescent="0.25">
      <c r="A1461" s="23"/>
      <c r="B1461" s="23"/>
      <c r="C1461" s="23"/>
    </row>
    <row r="1462" spans="1:16" x14ac:dyDescent="0.25">
      <c r="A1462" s="23"/>
      <c r="B1462" s="23"/>
      <c r="C1462" s="23"/>
      <c r="E1462" s="201"/>
      <c r="F1462" s="201"/>
      <c r="G1462" s="201"/>
      <c r="H1462" s="201"/>
      <c r="I1462" s="201"/>
      <c r="J1462" s="201"/>
      <c r="K1462" s="201"/>
      <c r="L1462" s="201"/>
      <c r="M1462" s="201"/>
      <c r="N1462" s="201"/>
      <c r="O1462" s="201"/>
      <c r="P1462" s="201"/>
    </row>
    <row r="1463" spans="1:16" x14ac:dyDescent="0.25">
      <c r="A1463" s="23"/>
      <c r="B1463" s="23"/>
      <c r="C1463" s="23"/>
    </row>
    <row r="1464" spans="1:16" x14ac:dyDescent="0.25">
      <c r="A1464" s="23"/>
      <c r="B1464" s="23"/>
      <c r="C1464" s="23"/>
    </row>
    <row r="1465" spans="1:16" x14ac:dyDescent="0.25">
      <c r="A1465" s="23"/>
      <c r="B1465" s="23"/>
      <c r="C1465" s="23"/>
      <c r="F1465" s="201"/>
      <c r="G1465" s="201"/>
      <c r="H1465" s="201"/>
      <c r="I1465" s="201"/>
      <c r="J1465" s="201"/>
      <c r="K1465" s="201"/>
      <c r="L1465" s="201"/>
      <c r="M1465" s="201"/>
      <c r="N1465" s="201"/>
      <c r="O1465" s="201"/>
      <c r="P1465" s="201"/>
    </row>
    <row r="1466" spans="1:16" x14ac:dyDescent="0.25">
      <c r="A1466" s="23"/>
      <c r="B1466" s="23"/>
      <c r="C1466" s="23"/>
    </row>
    <row r="1467" spans="1:16" x14ac:dyDescent="0.25">
      <c r="A1467" s="23"/>
      <c r="B1467" s="23"/>
      <c r="C1467" s="23"/>
    </row>
    <row r="1468" spans="1:16" x14ac:dyDescent="0.25">
      <c r="A1468" s="23"/>
      <c r="B1468" s="23"/>
      <c r="C1468" s="23"/>
    </row>
    <row r="1469" spans="1:16" x14ac:dyDescent="0.25">
      <c r="A1469" s="23"/>
      <c r="B1469" s="23"/>
      <c r="C1469" s="23"/>
    </row>
    <row r="1470" spans="1:16" x14ac:dyDescent="0.25">
      <c r="A1470" s="23"/>
      <c r="B1470" s="23"/>
      <c r="C1470" s="23"/>
    </row>
    <row r="1471" spans="1:16" x14ac:dyDescent="0.25">
      <c r="A1471" s="23"/>
      <c r="B1471" s="23"/>
      <c r="C1471" s="23"/>
      <c r="E1471" s="202"/>
      <c r="F1471" s="202"/>
      <c r="G1471" s="202"/>
      <c r="H1471" s="202"/>
      <c r="I1471" s="202"/>
      <c r="J1471" s="202"/>
      <c r="K1471" s="202"/>
      <c r="L1471" s="202"/>
      <c r="M1471" s="202"/>
      <c r="N1471" s="202"/>
      <c r="O1471" s="202"/>
      <c r="P1471" s="202"/>
    </row>
    <row r="1472" spans="1:16" x14ac:dyDescent="0.25">
      <c r="A1472" s="23"/>
      <c r="B1472" s="23"/>
      <c r="C1472" s="23"/>
      <c r="E1472" s="202"/>
      <c r="F1472" s="202"/>
      <c r="G1472" s="202"/>
      <c r="H1472" s="202"/>
      <c r="I1472" s="202"/>
      <c r="J1472" s="202"/>
      <c r="K1472" s="202"/>
      <c r="L1472" s="202"/>
      <c r="M1472" s="202"/>
      <c r="N1472" s="202"/>
      <c r="O1472" s="202"/>
      <c r="P1472" s="202"/>
    </row>
    <row r="1473" spans="1:16" x14ac:dyDescent="0.25">
      <c r="A1473" s="23"/>
      <c r="B1473" s="23"/>
      <c r="C1473" s="23"/>
    </row>
    <row r="1474" spans="1:16" x14ac:dyDescent="0.25">
      <c r="A1474" s="23"/>
      <c r="B1474" s="23"/>
      <c r="C1474" s="23"/>
    </row>
    <row r="1475" spans="1:16" x14ac:dyDescent="0.25">
      <c r="A1475" s="23"/>
      <c r="B1475" s="23"/>
      <c r="C1475" s="23"/>
    </row>
    <row r="1476" spans="1:16" x14ac:dyDescent="0.25">
      <c r="A1476" s="23"/>
      <c r="B1476" s="23"/>
      <c r="C1476" s="23"/>
    </row>
    <row r="1477" spans="1:16" x14ac:dyDescent="0.25">
      <c r="A1477" s="23"/>
      <c r="B1477" s="23"/>
      <c r="C1477" s="23"/>
      <c r="E1477" s="203"/>
      <c r="F1477" s="203"/>
      <c r="G1477" s="203"/>
      <c r="H1477" s="203"/>
      <c r="I1477" s="203"/>
      <c r="J1477" s="203"/>
      <c r="K1477" s="203"/>
      <c r="L1477" s="203"/>
      <c r="M1477" s="203"/>
      <c r="N1477" s="203"/>
      <c r="O1477" s="203"/>
      <c r="P1477" s="203"/>
    </row>
    <row r="1478" spans="1:16" x14ac:dyDescent="0.25">
      <c r="A1478" s="23"/>
      <c r="B1478" s="23"/>
      <c r="C1478" s="23"/>
      <c r="E1478" s="203"/>
      <c r="F1478" s="203"/>
      <c r="G1478" s="203"/>
      <c r="H1478" s="203"/>
      <c r="I1478" s="203"/>
      <c r="J1478" s="203"/>
      <c r="K1478" s="203"/>
      <c r="L1478" s="203"/>
      <c r="M1478" s="203"/>
      <c r="N1478" s="203"/>
      <c r="O1478" s="203"/>
      <c r="P1478" s="203"/>
    </row>
    <row r="1479" spans="1:16" x14ac:dyDescent="0.25">
      <c r="A1479" s="23"/>
      <c r="B1479" s="23"/>
      <c r="C1479" s="23"/>
      <c r="E1479" s="203"/>
      <c r="F1479" s="203"/>
      <c r="G1479" s="203"/>
      <c r="H1479" s="203"/>
      <c r="I1479" s="203"/>
      <c r="J1479" s="203"/>
      <c r="K1479" s="203"/>
      <c r="L1479" s="203"/>
      <c r="M1479" s="203"/>
      <c r="N1479" s="203"/>
      <c r="O1479" s="203"/>
      <c r="P1479" s="203"/>
    </row>
    <row r="1480" spans="1:16" x14ac:dyDescent="0.25">
      <c r="A1480" s="23"/>
      <c r="B1480" s="23"/>
      <c r="C1480" s="23"/>
    </row>
    <row r="1481" spans="1:16" x14ac:dyDescent="0.25">
      <c r="A1481" s="23"/>
      <c r="B1481" s="23"/>
      <c r="C1481" s="23"/>
    </row>
    <row r="1482" spans="1:16" x14ac:dyDescent="0.25">
      <c r="A1482" s="23"/>
      <c r="B1482" s="23"/>
      <c r="C1482" s="23"/>
    </row>
    <row r="1488" spans="1:16" ht="13.5" customHeight="1" x14ac:dyDescent="0.25">
      <c r="H1488" s="211"/>
      <c r="I1488" s="211"/>
      <c r="J1488" s="211"/>
      <c r="K1488" s="211"/>
    </row>
    <row r="1489" spans="8:11" x14ac:dyDescent="0.25">
      <c r="H1489" s="211"/>
      <c r="I1489" s="211"/>
      <c r="J1489" s="211"/>
      <c r="K1489" s="211"/>
    </row>
    <row r="1490" spans="8:11" x14ac:dyDescent="0.25">
      <c r="H1490" s="211"/>
      <c r="I1490" s="211"/>
      <c r="J1490" s="211"/>
      <c r="K1490" s="211"/>
    </row>
    <row r="1491" spans="8:11" x14ac:dyDescent="0.25">
      <c r="H1491" s="211"/>
      <c r="I1491" s="211"/>
      <c r="J1491" s="211"/>
      <c r="K1491" s="211"/>
    </row>
    <row r="1493" spans="8:11" x14ac:dyDescent="0.25">
      <c r="H1493" s="211"/>
      <c r="I1493" s="211"/>
      <c r="J1493" s="211"/>
      <c r="K1493" s="211"/>
    </row>
    <row r="1494" spans="8:11" x14ac:dyDescent="0.25">
      <c r="H1494" s="211"/>
      <c r="I1494" s="211"/>
      <c r="J1494" s="211"/>
      <c r="K1494" s="211"/>
    </row>
    <row r="1495" spans="8:11" x14ac:dyDescent="0.25">
      <c r="H1495" s="211"/>
      <c r="I1495" s="211"/>
      <c r="J1495" s="211"/>
      <c r="K1495" s="211"/>
    </row>
    <row r="1496" spans="8:11" x14ac:dyDescent="0.25">
      <c r="H1496" s="211"/>
      <c r="I1496" s="211"/>
      <c r="J1496" s="211"/>
      <c r="K1496" s="211"/>
    </row>
    <row r="1522" spans="5:16" x14ac:dyDescent="0.25">
      <c r="E1522" s="202"/>
      <c r="F1522" s="202"/>
      <c r="G1522" s="202"/>
      <c r="H1522" s="202"/>
      <c r="I1522" s="202"/>
      <c r="J1522" s="202"/>
      <c r="K1522" s="202"/>
      <c r="L1522" s="202"/>
      <c r="M1522" s="202"/>
      <c r="N1522" s="202"/>
      <c r="O1522" s="202"/>
      <c r="P1522" s="202"/>
    </row>
  </sheetData>
  <mergeCells count="167">
    <mergeCell ref="H1493:K1493"/>
    <mergeCell ref="H1494:K1494"/>
    <mergeCell ref="H1495:K1495"/>
    <mergeCell ref="H1496:K1496"/>
    <mergeCell ref="A1239:Q1239"/>
    <mergeCell ref="A1241:Q1241"/>
    <mergeCell ref="H1488:K1488"/>
    <mergeCell ref="H1489:K1489"/>
    <mergeCell ref="H1490:K1490"/>
    <mergeCell ref="H1491:K1491"/>
    <mergeCell ref="A1190:Q1190"/>
    <mergeCell ref="A1192:Q1192"/>
    <mergeCell ref="A1235:Q1235"/>
    <mergeCell ref="A1236:Q1236"/>
    <mergeCell ref="A1237:Q1237"/>
    <mergeCell ref="A1238:Q1238"/>
    <mergeCell ref="A1141:Q1141"/>
    <mergeCell ref="A1143:Q1143"/>
    <mergeCell ref="A1186:Q1186"/>
    <mergeCell ref="A1187:Q1187"/>
    <mergeCell ref="A1188:Q1188"/>
    <mergeCell ref="A1189:Q1189"/>
    <mergeCell ref="A1092:Q1092"/>
    <mergeCell ref="A1094:Q1094"/>
    <mergeCell ref="A1137:Q1137"/>
    <mergeCell ref="A1138:Q1138"/>
    <mergeCell ref="A1139:Q1139"/>
    <mergeCell ref="A1140:Q1140"/>
    <mergeCell ref="A1043:Q1043"/>
    <mergeCell ref="A1045:Q1045"/>
    <mergeCell ref="A1088:Q1088"/>
    <mergeCell ref="A1089:Q1089"/>
    <mergeCell ref="A1090:Q1090"/>
    <mergeCell ref="A1091:Q1091"/>
    <mergeCell ref="A994:Q994"/>
    <mergeCell ref="A996:Q996"/>
    <mergeCell ref="A1039:Q1039"/>
    <mergeCell ref="A1040:Q1040"/>
    <mergeCell ref="A1041:Q1041"/>
    <mergeCell ref="A1042:Q1042"/>
    <mergeCell ref="A945:Q945"/>
    <mergeCell ref="A947:Q947"/>
    <mergeCell ref="A990:Q990"/>
    <mergeCell ref="A991:Q991"/>
    <mergeCell ref="A992:Q992"/>
    <mergeCell ref="A993:Q993"/>
    <mergeCell ref="A896:Q896"/>
    <mergeCell ref="A898:Q898"/>
    <mergeCell ref="A941:Q941"/>
    <mergeCell ref="A942:Q942"/>
    <mergeCell ref="A943:Q943"/>
    <mergeCell ref="A944:Q944"/>
    <mergeCell ref="A847:Q847"/>
    <mergeCell ref="A849:Q849"/>
    <mergeCell ref="A892:Q892"/>
    <mergeCell ref="A893:Q893"/>
    <mergeCell ref="A894:Q894"/>
    <mergeCell ref="A895:Q895"/>
    <mergeCell ref="A798:Q798"/>
    <mergeCell ref="A800:Q800"/>
    <mergeCell ref="A843:Q843"/>
    <mergeCell ref="A844:Q844"/>
    <mergeCell ref="A845:Q845"/>
    <mergeCell ref="A846:Q846"/>
    <mergeCell ref="A750:Q750"/>
    <mergeCell ref="A752:Q752"/>
    <mergeCell ref="A794:Q794"/>
    <mergeCell ref="A795:Q795"/>
    <mergeCell ref="A796:Q796"/>
    <mergeCell ref="A797:Q797"/>
    <mergeCell ref="A701:Q701"/>
    <mergeCell ref="A703:Q703"/>
    <mergeCell ref="A746:Q746"/>
    <mergeCell ref="A747:Q747"/>
    <mergeCell ref="A748:Q748"/>
    <mergeCell ref="A749:Q749"/>
    <mergeCell ref="A652:Q652"/>
    <mergeCell ref="A654:Q654"/>
    <mergeCell ref="A697:Q697"/>
    <mergeCell ref="A698:Q698"/>
    <mergeCell ref="A699:Q699"/>
    <mergeCell ref="A700:Q700"/>
    <mergeCell ref="A603:Q603"/>
    <mergeCell ref="A605:Q605"/>
    <mergeCell ref="A648:Q648"/>
    <mergeCell ref="A649:Q649"/>
    <mergeCell ref="A650:Q650"/>
    <mergeCell ref="A651:Q651"/>
    <mergeCell ref="A554:Q554"/>
    <mergeCell ref="A556:Q556"/>
    <mergeCell ref="A599:Q599"/>
    <mergeCell ref="A600:Q600"/>
    <mergeCell ref="A601:Q601"/>
    <mergeCell ref="A602:Q602"/>
    <mergeCell ref="A505:Q505"/>
    <mergeCell ref="A507:Q507"/>
    <mergeCell ref="A550:Q550"/>
    <mergeCell ref="A551:Q551"/>
    <mergeCell ref="A552:Q552"/>
    <mergeCell ref="A553:Q553"/>
    <mergeCell ref="A456:Q456"/>
    <mergeCell ref="A458:Q458"/>
    <mergeCell ref="A501:Q501"/>
    <mergeCell ref="A502:Q502"/>
    <mergeCell ref="A503:Q503"/>
    <mergeCell ref="A504:Q504"/>
    <mergeCell ref="A407:Q407"/>
    <mergeCell ref="A409:Q409"/>
    <mergeCell ref="A452:Q452"/>
    <mergeCell ref="A453:Q453"/>
    <mergeCell ref="A454:Q454"/>
    <mergeCell ref="A455:Q455"/>
    <mergeCell ref="A360:Q360"/>
    <mergeCell ref="A362:Q362"/>
    <mergeCell ref="A403:Q403"/>
    <mergeCell ref="A404:Q404"/>
    <mergeCell ref="A405:Q405"/>
    <mergeCell ref="A406:Q406"/>
    <mergeCell ref="A311:Q311"/>
    <mergeCell ref="A313:Q313"/>
    <mergeCell ref="A356:Q356"/>
    <mergeCell ref="A357:Q357"/>
    <mergeCell ref="A358:Q358"/>
    <mergeCell ref="A359:Q359"/>
    <mergeCell ref="A262:Q262"/>
    <mergeCell ref="A264:Q264"/>
    <mergeCell ref="A307:Q307"/>
    <mergeCell ref="A308:Q308"/>
    <mergeCell ref="A309:Q309"/>
    <mergeCell ref="A310:Q310"/>
    <mergeCell ref="A214:Q214"/>
    <mergeCell ref="A216:Q216"/>
    <mergeCell ref="A258:Q258"/>
    <mergeCell ref="A259:Q259"/>
    <mergeCell ref="A260:Q260"/>
    <mergeCell ref="A261:Q261"/>
    <mergeCell ref="A165:Q165"/>
    <mergeCell ref="A167:Q167"/>
    <mergeCell ref="A210:Q210"/>
    <mergeCell ref="A211:Q211"/>
    <mergeCell ref="A212:Q212"/>
    <mergeCell ref="A213:Q213"/>
    <mergeCell ref="A119:Q119"/>
    <mergeCell ref="A121:Q121"/>
    <mergeCell ref="A161:Q161"/>
    <mergeCell ref="A162:Q162"/>
    <mergeCell ref="A163:Q163"/>
    <mergeCell ref="A164:Q164"/>
    <mergeCell ref="A71:Q71"/>
    <mergeCell ref="T71:AM71"/>
    <mergeCell ref="A115:Q115"/>
    <mergeCell ref="A116:Q116"/>
    <mergeCell ref="A117:Q117"/>
    <mergeCell ref="A118:Q118"/>
    <mergeCell ref="A67:Q67"/>
    <mergeCell ref="T67:AM67"/>
    <mergeCell ref="A68:Q68"/>
    <mergeCell ref="T68:AM68"/>
    <mergeCell ref="A69:Q69"/>
    <mergeCell ref="T69:AM69"/>
    <mergeCell ref="A8:Q8"/>
    <mergeCell ref="A9:Q9"/>
    <mergeCell ref="A10:Q10"/>
    <mergeCell ref="A65:Q65"/>
    <mergeCell ref="T65:AM65"/>
    <mergeCell ref="A66:Q66"/>
    <mergeCell ref="T66:AM66"/>
  </mergeCells>
  <pageMargins left="0.5" right="0.5" top="1" bottom="0.75" header="0.55000000000000004" footer="0.3"/>
  <pageSetup scale="54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22" manualBreakCount="22">
    <brk id="112" max="16" man="1"/>
    <brk id="160" max="16" man="1"/>
    <brk id="207" max="16" man="1"/>
    <brk id="255" max="16" man="1"/>
    <brk id="304" max="16" man="1"/>
    <brk id="353" max="16" man="1"/>
    <brk id="401" max="16" man="1"/>
    <brk id="449" max="16" man="1"/>
    <brk id="498" max="16" man="1"/>
    <brk id="547" max="16" man="1"/>
    <brk id="596" max="16" man="1"/>
    <brk id="645" max="16" man="1"/>
    <brk id="695" max="16" man="1"/>
    <brk id="744" max="16" man="1"/>
    <brk id="792" max="16" man="1"/>
    <brk id="840" max="16" man="1"/>
    <brk id="889" max="16" man="1"/>
    <brk id="938" max="16" man="1"/>
    <brk id="987" max="16" man="1"/>
    <brk id="1036" max="16" man="1"/>
    <brk id="1084" max="16" man="1"/>
    <brk id="1134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4050-1A59-45DC-958E-D00D9CAD3D9F}">
  <sheetPr transitionEvaluation="1" transitionEntry="1"/>
  <dimension ref="A1:AM1521"/>
  <sheetViews>
    <sheetView showGridLines="0" defaultGridColor="0" view="pageBreakPreview" colorId="8" zoomScale="80" zoomScaleNormal="85" zoomScaleSheetLayoutView="80" workbookViewId="0">
      <selection activeCell="E50" sqref="D50:E50"/>
    </sheetView>
  </sheetViews>
  <sheetFormatPr defaultColWidth="11.58203125" defaultRowHeight="12.5" x14ac:dyDescent="0.25"/>
  <cols>
    <col min="1" max="1" width="4.5" style="1" customWidth="1"/>
    <col min="2" max="2" width="3.58203125" style="1" customWidth="1"/>
    <col min="3" max="3" width="32.58203125" style="1" customWidth="1"/>
    <col min="4" max="4" width="16" style="1" customWidth="1"/>
    <col min="5" max="5" width="12.25" style="1" customWidth="1"/>
    <col min="6" max="6" width="12" style="1" customWidth="1"/>
    <col min="7" max="7" width="12.33203125" style="1" customWidth="1"/>
    <col min="8" max="8" width="12" style="1" customWidth="1"/>
    <col min="9" max="10" width="12.25" style="1" customWidth="1"/>
    <col min="11" max="12" width="12.08203125" style="1" customWidth="1"/>
    <col min="13" max="13" width="12" style="1" customWidth="1"/>
    <col min="14" max="15" width="13.75" style="1" customWidth="1"/>
    <col min="16" max="16" width="12.75" style="1" customWidth="1"/>
    <col min="17" max="17" width="12.08203125" style="1" customWidth="1"/>
    <col min="18" max="18" width="3.58203125" style="1" customWidth="1"/>
    <col min="19" max="19" width="11.58203125" style="1" bestFit="1" customWidth="1"/>
    <col min="20" max="20" width="7.83203125" style="1" bestFit="1" customWidth="1"/>
    <col min="21" max="21" width="12.5" style="1" bestFit="1" customWidth="1"/>
    <col min="22" max="22" width="13.58203125" style="1" bestFit="1" customWidth="1"/>
    <col min="23" max="23" width="12.5" style="1" bestFit="1" customWidth="1"/>
    <col min="24" max="26" width="9.58203125" style="1" bestFit="1" customWidth="1"/>
    <col min="27" max="35" width="11.25" style="1" bestFit="1" customWidth="1"/>
    <col min="36" max="38" width="11.58203125" style="1"/>
    <col min="39" max="39" width="13.58203125" style="1" bestFit="1" customWidth="1"/>
    <col min="40" max="16384" width="11.58203125" style="1"/>
  </cols>
  <sheetData>
    <row r="1" spans="1:25" ht="13" x14ac:dyDescent="0.3">
      <c r="Q1" s="2"/>
    </row>
    <row r="2" spans="1:25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30</v>
      </c>
    </row>
    <row r="3" spans="1:25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5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5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25" ht="23.2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5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25" x14ac:dyDescent="0.25">
      <c r="A8" s="211" t="s">
        <v>362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25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25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25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25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25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25" x14ac:dyDescent="0.25">
      <c r="A14" s="13">
        <v>1</v>
      </c>
      <c r="B14" s="23" t="s">
        <v>261</v>
      </c>
      <c r="C14" s="13"/>
    </row>
    <row r="15" spans="1:25" x14ac:dyDescent="0.25">
      <c r="A15" s="13"/>
      <c r="B15" s="23" t="s">
        <v>262</v>
      </c>
      <c r="C15" s="23" t="s">
        <v>263</v>
      </c>
      <c r="E15" s="1">
        <v>31975.86</v>
      </c>
      <c r="F15" s="1">
        <v>372474.42</v>
      </c>
      <c r="G15" s="1">
        <v>188149.37</v>
      </c>
      <c r="H15" s="1">
        <v>184306.41</v>
      </c>
      <c r="I15" s="1">
        <v>12794.78</v>
      </c>
      <c r="J15" s="1">
        <v>23555.125</v>
      </c>
      <c r="K15" s="1">
        <v>23555.125</v>
      </c>
      <c r="L15" s="1">
        <v>23555.125</v>
      </c>
      <c r="M15" s="1">
        <v>682417.87679999997</v>
      </c>
      <c r="N15" s="1">
        <v>900342.96412500006</v>
      </c>
      <c r="O15" s="1">
        <v>1387068.1387750001</v>
      </c>
      <c r="P15" s="1">
        <v>190272.5</v>
      </c>
      <c r="Q15" s="1">
        <f>SUM(E15:P15)</f>
        <v>4020467.6946999999</v>
      </c>
      <c r="U15" s="13"/>
      <c r="V15" s="13"/>
      <c r="W15" s="13"/>
      <c r="X15" s="13"/>
      <c r="Y15" s="13"/>
    </row>
    <row r="16" spans="1:25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  <c r="U16" s="5"/>
      <c r="V16" s="5"/>
      <c r="W16" s="5"/>
      <c r="X16" s="5"/>
      <c r="Y16" s="5"/>
    </row>
    <row r="17" spans="1:35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5" x14ac:dyDescent="0.25">
      <c r="A18" s="13"/>
      <c r="B18" s="23" t="s">
        <v>268</v>
      </c>
      <c r="C18" s="23" t="s">
        <v>269</v>
      </c>
      <c r="E18" s="1">
        <v>3197.61</v>
      </c>
      <c r="F18" s="1">
        <v>36145.51</v>
      </c>
      <c r="G18" s="1">
        <v>18814.95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58158.070000000007</v>
      </c>
    </row>
    <row r="19" spans="1:35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5" x14ac:dyDescent="0.25">
      <c r="A20" s="13">
        <v>2</v>
      </c>
      <c r="B20" s="23" t="s">
        <v>272</v>
      </c>
      <c r="C20" s="13"/>
      <c r="D20" s="1">
        <v>0</v>
      </c>
      <c r="E20" s="1">
        <f t="shared" ref="E20:P20" si="0">D20+E16-E17</f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W20" s="1">
        <f>SUM(X20:AI20)</f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</row>
    <row r="21" spans="1:35" x14ac:dyDescent="0.25">
      <c r="A21" s="13">
        <v>3</v>
      </c>
      <c r="B21" s="23" t="s">
        <v>273</v>
      </c>
      <c r="C21" s="13"/>
      <c r="D21" s="27">
        <v>29427.66</v>
      </c>
      <c r="E21" s="1">
        <f t="shared" ref="E21:P21" si="1">D21-E32-E33-E34+E17+E18-E19</f>
        <v>32625.27</v>
      </c>
      <c r="F21" s="1">
        <f t="shared" si="1"/>
        <v>68770.78</v>
      </c>
      <c r="G21" s="1">
        <f t="shared" si="1"/>
        <v>87585.73</v>
      </c>
      <c r="H21" s="1">
        <f t="shared" si="1"/>
        <v>87585.73</v>
      </c>
      <c r="I21" s="1">
        <f t="shared" si="1"/>
        <v>87585.73</v>
      </c>
      <c r="J21" s="1">
        <f t="shared" si="1"/>
        <v>87585.73</v>
      </c>
      <c r="K21" s="1">
        <f t="shared" si="1"/>
        <v>87585.73</v>
      </c>
      <c r="L21" s="1">
        <f t="shared" si="1"/>
        <v>87585.73</v>
      </c>
      <c r="M21" s="1">
        <f t="shared" si="1"/>
        <v>87585.73</v>
      </c>
      <c r="N21" s="1">
        <f t="shared" si="1"/>
        <v>87585.73</v>
      </c>
      <c r="O21" s="1">
        <f t="shared" si="1"/>
        <v>87585.73</v>
      </c>
      <c r="P21" s="1">
        <f t="shared" si="1"/>
        <v>87585.73</v>
      </c>
      <c r="W21" s="1">
        <f>SUM(X21:AI21)</f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</row>
    <row r="22" spans="1:35" x14ac:dyDescent="0.25">
      <c r="A22" s="13">
        <v>4</v>
      </c>
      <c r="B22" s="23" t="s">
        <v>274</v>
      </c>
      <c r="C22" s="13"/>
      <c r="D22" s="199">
        <v>318703.83999999997</v>
      </c>
      <c r="E22" s="199">
        <f t="shared" ref="E22:P22" si="2">D22+E15-E16</f>
        <v>350679.69999999995</v>
      </c>
      <c r="F22" s="199">
        <f t="shared" si="2"/>
        <v>723154.11999999988</v>
      </c>
      <c r="G22" s="199">
        <f t="shared" si="2"/>
        <v>911303.48999999987</v>
      </c>
      <c r="H22" s="199">
        <f t="shared" si="2"/>
        <v>1095609.8999999999</v>
      </c>
      <c r="I22" s="199">
        <f t="shared" si="2"/>
        <v>1108404.68</v>
      </c>
      <c r="J22" s="199">
        <f t="shared" si="2"/>
        <v>1131959.8049999999</v>
      </c>
      <c r="K22" s="199">
        <f t="shared" si="2"/>
        <v>1155514.93</v>
      </c>
      <c r="L22" s="199">
        <f t="shared" si="2"/>
        <v>1179070.0549999999</v>
      </c>
      <c r="M22" s="199">
        <f t="shared" si="2"/>
        <v>1861487.9317999999</v>
      </c>
      <c r="N22" s="199">
        <f t="shared" si="2"/>
        <v>2761830.8959249998</v>
      </c>
      <c r="O22" s="199">
        <f t="shared" si="2"/>
        <v>4148899.0346999997</v>
      </c>
      <c r="P22" s="199">
        <f t="shared" si="2"/>
        <v>4339171.5346999997</v>
      </c>
      <c r="W22" s="1">
        <f>SUM(X22:AI22)</f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</row>
    <row r="23" spans="1:35" x14ac:dyDescent="0.25">
      <c r="A23" s="13">
        <v>5</v>
      </c>
      <c r="B23" s="23" t="s">
        <v>275</v>
      </c>
      <c r="C23" s="13"/>
      <c r="D23" s="199">
        <f t="shared" ref="D23:P23" si="3">SUM(D20:D22)</f>
        <v>348131.49999999994</v>
      </c>
      <c r="E23" s="199">
        <f t="shared" si="3"/>
        <v>383304.97</v>
      </c>
      <c r="F23" s="199">
        <f t="shared" si="3"/>
        <v>791924.89999999991</v>
      </c>
      <c r="G23" s="199">
        <f t="shared" si="3"/>
        <v>998889.21999999986</v>
      </c>
      <c r="H23" s="199">
        <f t="shared" si="3"/>
        <v>1183195.6299999999</v>
      </c>
      <c r="I23" s="199">
        <f t="shared" si="3"/>
        <v>1195990.4099999999</v>
      </c>
      <c r="J23" s="199">
        <f t="shared" si="3"/>
        <v>1219545.5349999999</v>
      </c>
      <c r="K23" s="199">
        <f t="shared" si="3"/>
        <v>1243100.6599999999</v>
      </c>
      <c r="L23" s="199">
        <f t="shared" si="3"/>
        <v>1266655.7849999999</v>
      </c>
      <c r="M23" s="199">
        <f>SUM(M20:M22)</f>
        <v>1949073.6617999999</v>
      </c>
      <c r="N23" s="199">
        <f t="shared" si="3"/>
        <v>2849416.6259249998</v>
      </c>
      <c r="O23" s="199">
        <f t="shared" si="3"/>
        <v>4236484.7647000002</v>
      </c>
      <c r="P23" s="199">
        <f t="shared" si="3"/>
        <v>4426757.2647000002</v>
      </c>
    </row>
    <row r="24" spans="1:35" x14ac:dyDescent="0.25">
      <c r="A24" s="13"/>
      <c r="B24" s="23"/>
    </row>
    <row r="25" spans="1:35" x14ac:dyDescent="0.25">
      <c r="A25" s="13">
        <v>6</v>
      </c>
      <c r="B25" s="23" t="s">
        <v>276</v>
      </c>
      <c r="C25" s="23"/>
      <c r="E25" s="1">
        <f>(D23+E23)/2</f>
        <v>365718.23499999999</v>
      </c>
      <c r="F25" s="1">
        <f t="shared" ref="F25:P25" si="4">(E23+F23)/2</f>
        <v>587614.93499999994</v>
      </c>
      <c r="G25" s="1">
        <f t="shared" si="4"/>
        <v>895407.05999999982</v>
      </c>
      <c r="H25" s="1">
        <f t="shared" si="4"/>
        <v>1091042.4249999998</v>
      </c>
      <c r="I25" s="1">
        <f t="shared" si="4"/>
        <v>1189593.02</v>
      </c>
      <c r="J25" s="1">
        <f t="shared" si="4"/>
        <v>1207767.9724999999</v>
      </c>
      <c r="K25" s="1">
        <f t="shared" si="4"/>
        <v>1231323.0974999999</v>
      </c>
      <c r="L25" s="1">
        <f t="shared" si="4"/>
        <v>1254878.2224999999</v>
      </c>
      <c r="M25" s="1">
        <f t="shared" si="4"/>
        <v>1607864.7234</v>
      </c>
      <c r="N25" s="1">
        <f t="shared" si="4"/>
        <v>2399245.1438624999</v>
      </c>
      <c r="O25" s="1">
        <f t="shared" si="4"/>
        <v>3542950.6953125</v>
      </c>
      <c r="P25" s="1">
        <f t="shared" si="4"/>
        <v>4331621.0147000002</v>
      </c>
    </row>
    <row r="26" spans="1:35" x14ac:dyDescent="0.25">
      <c r="A26" s="200"/>
      <c r="B26" s="20"/>
    </row>
    <row r="27" spans="1:35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5" x14ac:dyDescent="0.25">
      <c r="A28" s="200"/>
      <c r="B28" s="23" t="s">
        <v>262</v>
      </c>
      <c r="C28" s="23" t="s">
        <v>278</v>
      </c>
      <c r="E28" s="1">
        <v>1683.7667539399997</v>
      </c>
      <c r="F28" s="1">
        <v>2705.3791607399994</v>
      </c>
      <c r="G28" s="1">
        <v>4122.4541042399987</v>
      </c>
      <c r="H28" s="1">
        <v>5023.1593246999983</v>
      </c>
      <c r="I28" s="1">
        <v>5476.8862640799998</v>
      </c>
      <c r="J28" s="1">
        <v>5560.563745389999</v>
      </c>
      <c r="K28" s="1">
        <v>5896.8063139274991</v>
      </c>
      <c r="L28" s="1">
        <v>6009.6118075524992</v>
      </c>
      <c r="M28" s="1">
        <v>7700.0641603626</v>
      </c>
      <c r="N28" s="1">
        <v>11489.984993957511</v>
      </c>
      <c r="O28" s="1">
        <v>16967.190879851561</v>
      </c>
      <c r="P28" s="1">
        <v>20744.133039398301</v>
      </c>
      <c r="Q28" s="1">
        <f>ROUND(SUM(E28:P28),2)</f>
        <v>93380</v>
      </c>
    </row>
    <row r="29" spans="1:35" x14ac:dyDescent="0.25">
      <c r="A29" s="200"/>
      <c r="B29" s="23" t="s">
        <v>264</v>
      </c>
      <c r="C29" s="23" t="s">
        <v>279</v>
      </c>
      <c r="E29" s="1">
        <v>424.96458906999999</v>
      </c>
      <c r="F29" s="1">
        <v>682.80855446999999</v>
      </c>
      <c r="G29" s="1">
        <v>1040.4630037199997</v>
      </c>
      <c r="H29" s="1">
        <v>1267.7912978499999</v>
      </c>
      <c r="I29" s="1">
        <v>1382.3070892400001</v>
      </c>
      <c r="J29" s="1">
        <v>1403.4263840450001</v>
      </c>
      <c r="K29" s="1">
        <v>1291.6579292775</v>
      </c>
      <c r="L29" s="1">
        <v>1316.3672554024999</v>
      </c>
      <c r="M29" s="1">
        <v>1686.6500948466</v>
      </c>
      <c r="N29" s="1">
        <v>2516.8081559117622</v>
      </c>
      <c r="O29" s="1">
        <v>3716.5552793828124</v>
      </c>
      <c r="P29" s="1">
        <v>4543.8704444203004</v>
      </c>
      <c r="Q29" s="1">
        <f>ROUND(SUM(E29:P29),2)</f>
        <v>21273.67</v>
      </c>
    </row>
    <row r="30" spans="1:35" x14ac:dyDescent="0.25">
      <c r="A30" s="200"/>
      <c r="B30" s="202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5" x14ac:dyDescent="0.25">
      <c r="A31" s="13">
        <v>8</v>
      </c>
      <c r="B31" s="23" t="s">
        <v>280</v>
      </c>
    </row>
    <row r="32" spans="1:35" x14ac:dyDescent="0.25">
      <c r="A32" s="200"/>
      <c r="B32" s="23" t="s">
        <v>262</v>
      </c>
      <c r="C32" s="23" t="s">
        <v>281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f>ROUND(SUM(E32:P32),2)</f>
        <v>0</v>
      </c>
    </row>
    <row r="33" spans="1:17" x14ac:dyDescent="0.25">
      <c r="A33" s="200"/>
      <c r="B33" s="23" t="s">
        <v>264</v>
      </c>
      <c r="C33" s="23" t="s">
        <v>282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f>ROUND(SUM(E33:P33),2)</f>
        <v>0</v>
      </c>
    </row>
    <row r="34" spans="1:17" x14ac:dyDescent="0.25">
      <c r="A34" s="200"/>
      <c r="B34" s="23" t="s">
        <v>266</v>
      </c>
      <c r="C34" s="23" t="s">
        <v>283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f>ROUND(SUM(E34:P34),2)</f>
        <v>0</v>
      </c>
    </row>
    <row r="35" spans="1:17" x14ac:dyDescent="0.25">
      <c r="A35" s="200"/>
      <c r="B35" s="23" t="s">
        <v>268</v>
      </c>
      <c r="C35" s="23" t="s">
        <v>284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f>ROUND(SUM(E35:P35),2)</f>
        <v>0</v>
      </c>
    </row>
    <row r="36" spans="1:17" x14ac:dyDescent="0.25">
      <c r="A36" s="200"/>
      <c r="B36" s="23" t="s">
        <v>270</v>
      </c>
      <c r="C36" s="23" t="s">
        <v>285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0</v>
      </c>
      <c r="Q36" s="251">
        <f>ROUND(SUM(E36:P36),2)</f>
        <v>0</v>
      </c>
    </row>
    <row r="37" spans="1:17" x14ac:dyDescent="0.25">
      <c r="A37" s="200"/>
      <c r="B37" s="202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2108.7313430099998</v>
      </c>
      <c r="F38" s="1">
        <f t="shared" ref="F38:P38" si="5">SUM(F28:F36)</f>
        <v>3388.1877152099996</v>
      </c>
      <c r="G38" s="1">
        <f t="shared" si="5"/>
        <v>5162.9171079599982</v>
      </c>
      <c r="H38" s="1">
        <f t="shared" si="5"/>
        <v>6290.9506225499981</v>
      </c>
      <c r="I38" s="1">
        <f t="shared" si="5"/>
        <v>6859.1933533199999</v>
      </c>
      <c r="J38" s="1">
        <f>SUM(J28:J36)</f>
        <v>6963.9901294349993</v>
      </c>
      <c r="K38" s="1">
        <f t="shared" si="5"/>
        <v>7188.4642432049986</v>
      </c>
      <c r="L38" s="1">
        <f t="shared" si="5"/>
        <v>7325.9790629549989</v>
      </c>
      <c r="M38" s="1">
        <f>SUM(M28:M36)</f>
        <v>9386.7142552092009</v>
      </c>
      <c r="N38" s="1">
        <f t="shared" si="5"/>
        <v>14006.793149869272</v>
      </c>
      <c r="O38" s="1">
        <f t="shared" si="5"/>
        <v>20683.746159234375</v>
      </c>
      <c r="P38" s="1">
        <f t="shared" si="5"/>
        <v>25288.0034838186</v>
      </c>
      <c r="Q38" s="1">
        <f>SUM(E38:P38)</f>
        <v>114653.67062577643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162.21010330846153</v>
      </c>
      <c r="F39" s="1">
        <f t="shared" ref="F39:P39" si="6">F38*1/13</f>
        <v>260.62982424692302</v>
      </c>
      <c r="G39" s="1">
        <f t="shared" si="6"/>
        <v>397.14746984307681</v>
      </c>
      <c r="H39" s="1">
        <f t="shared" si="6"/>
        <v>483.91927865769219</v>
      </c>
      <c r="I39" s="1">
        <f t="shared" si="6"/>
        <v>527.63025794769226</v>
      </c>
      <c r="J39" s="1">
        <f t="shared" si="6"/>
        <v>535.69154841807688</v>
      </c>
      <c r="K39" s="1">
        <f t="shared" si="6"/>
        <v>552.95878793884606</v>
      </c>
      <c r="L39" s="1">
        <f t="shared" si="6"/>
        <v>563.53685099653842</v>
      </c>
      <c r="M39" s="1">
        <f t="shared" si="6"/>
        <v>722.05494270840006</v>
      </c>
      <c r="N39" s="1">
        <f t="shared" si="6"/>
        <v>1077.445626913021</v>
      </c>
      <c r="O39" s="1">
        <f t="shared" si="6"/>
        <v>1591.0573968641827</v>
      </c>
      <c r="P39" s="1">
        <f t="shared" si="6"/>
        <v>1945.2310372168154</v>
      </c>
      <c r="Q39" s="1">
        <f>SUM(E39:P39)</f>
        <v>8819.513125059726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ROUND(E38-E39,2)</f>
        <v>1946.52</v>
      </c>
      <c r="F40" s="1">
        <f t="shared" si="7"/>
        <v>3127.56</v>
      </c>
      <c r="G40" s="1">
        <f t="shared" si="7"/>
        <v>4765.7700000000004</v>
      </c>
      <c r="H40" s="1">
        <f t="shared" si="7"/>
        <v>5807.03</v>
      </c>
      <c r="I40" s="1">
        <f t="shared" si="7"/>
        <v>6331.56</v>
      </c>
      <c r="J40" s="1">
        <f t="shared" si="7"/>
        <v>6428.3</v>
      </c>
      <c r="K40" s="1">
        <f t="shared" si="7"/>
        <v>6635.51</v>
      </c>
      <c r="L40" s="1">
        <f t="shared" si="7"/>
        <v>6762.44</v>
      </c>
      <c r="M40" s="1">
        <f t="shared" si="7"/>
        <v>8664.66</v>
      </c>
      <c r="N40" s="1">
        <f t="shared" si="7"/>
        <v>12929.35</v>
      </c>
      <c r="O40" s="1">
        <f t="shared" si="7"/>
        <v>19092.689999999999</v>
      </c>
      <c r="P40" s="1">
        <f t="shared" si="7"/>
        <v>23342.77</v>
      </c>
      <c r="Q40" s="1">
        <f>SUM(E40:P40)</f>
        <v>105834.16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162.4047554324317</v>
      </c>
      <c r="F45" s="1">
        <v>260.94258003601936</v>
      </c>
      <c r="G45" s="1">
        <v>397.62404680688854</v>
      </c>
      <c r="H45" s="1">
        <v>484.49998179208148</v>
      </c>
      <c r="I45" s="1">
        <v>528.26341425722956</v>
      </c>
      <c r="J45" s="1">
        <v>536.33437827617865</v>
      </c>
      <c r="K45" s="1">
        <v>553.62233848437268</v>
      </c>
      <c r="L45" s="1">
        <v>564.21309521773435</v>
      </c>
      <c r="M45" s="1">
        <v>722.92140863965017</v>
      </c>
      <c r="N45" s="1">
        <v>1078.7385616653166</v>
      </c>
      <c r="O45" s="1">
        <v>1592.9666657404198</v>
      </c>
      <c r="P45" s="1">
        <v>1947.5653144614757</v>
      </c>
      <c r="Q45" s="1">
        <f>ROUND(SUM(E45:P45),2)</f>
        <v>8830.1</v>
      </c>
    </row>
    <row r="46" spans="1:17" x14ac:dyDescent="0.25">
      <c r="A46" s="13">
        <v>13</v>
      </c>
      <c r="B46" s="23" t="s">
        <v>290</v>
      </c>
      <c r="E46" s="199">
        <f>E40*E43</f>
        <v>1892.6845124040001</v>
      </c>
      <c r="F46" s="199">
        <f t="shared" ref="F46:P46" si="8">F40*F43</f>
        <v>3041.0601348119999</v>
      </c>
      <c r="G46" s="199">
        <f t="shared" si="8"/>
        <v>4633.9616693790003</v>
      </c>
      <c r="H46" s="199">
        <f t="shared" si="8"/>
        <v>5646.4232291809994</v>
      </c>
      <c r="I46" s="199">
        <f t="shared" si="8"/>
        <v>6156.4461456120007</v>
      </c>
      <c r="J46" s="199">
        <f t="shared" si="8"/>
        <v>6250.5105784100006</v>
      </c>
      <c r="K46" s="199">
        <f t="shared" si="8"/>
        <v>6451.9897092770007</v>
      </c>
      <c r="L46" s="199">
        <f t="shared" si="8"/>
        <v>6575.409168188</v>
      </c>
      <c r="M46" s="199">
        <f t="shared" si="8"/>
        <v>8425.0188989819999</v>
      </c>
      <c r="N46" s="199">
        <f t="shared" si="8"/>
        <v>12571.759088245</v>
      </c>
      <c r="O46" s="199">
        <f t="shared" si="8"/>
        <v>18564.637744862997</v>
      </c>
      <c r="P46" s="199">
        <f t="shared" si="8"/>
        <v>22697.172007279001</v>
      </c>
      <c r="Q46" s="199">
        <f>SUM(E46:P46)</f>
        <v>102907.07288663201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9">E45+E46</f>
        <v>2055.0892678364316</v>
      </c>
      <c r="F47" s="204">
        <f t="shared" si="9"/>
        <v>3302.0027148480194</v>
      </c>
      <c r="G47" s="204">
        <f t="shared" si="9"/>
        <v>5031.5857161858885</v>
      </c>
      <c r="H47" s="204">
        <f t="shared" si="9"/>
        <v>6130.923210973081</v>
      </c>
      <c r="I47" s="204">
        <f t="shared" si="9"/>
        <v>6684.7095598692304</v>
      </c>
      <c r="J47" s="204">
        <f t="shared" si="9"/>
        <v>6786.8449566861791</v>
      </c>
      <c r="K47" s="204">
        <f t="shared" si="9"/>
        <v>7005.6120477613731</v>
      </c>
      <c r="L47" s="204">
        <f t="shared" si="9"/>
        <v>7139.622263405734</v>
      </c>
      <c r="M47" s="204">
        <f t="shared" si="9"/>
        <v>9147.9403076216495</v>
      </c>
      <c r="N47" s="204">
        <f t="shared" si="9"/>
        <v>13650.497649910318</v>
      </c>
      <c r="O47" s="204">
        <f t="shared" si="9"/>
        <v>20157.604410603417</v>
      </c>
      <c r="P47" s="204">
        <f t="shared" si="9"/>
        <v>24644.737321740478</v>
      </c>
      <c r="Q47" s="204">
        <f t="shared" si="9"/>
        <v>111737.17288663202</v>
      </c>
    </row>
    <row r="48" spans="1:17" ht="13" thickTop="1" x14ac:dyDescent="0.25">
      <c r="A48" s="200"/>
      <c r="B48" s="200"/>
    </row>
    <row r="49" spans="1:39" x14ac:dyDescent="0.25">
      <c r="A49" s="210" t="s">
        <v>76</v>
      </c>
      <c r="B49" s="13"/>
    </row>
    <row r="50" spans="1:39" x14ac:dyDescent="0.25">
      <c r="A50" s="23" t="s">
        <v>168</v>
      </c>
      <c r="B50" s="23" t="s">
        <v>292</v>
      </c>
    </row>
    <row r="51" spans="1:39" x14ac:dyDescent="0.25">
      <c r="A51" s="23" t="s">
        <v>170</v>
      </c>
      <c r="B51" s="23" t="s">
        <v>293</v>
      </c>
    </row>
    <row r="52" spans="1:39" x14ac:dyDescent="0.25">
      <c r="A52" s="23" t="s">
        <v>255</v>
      </c>
      <c r="B52" s="23" t="s">
        <v>294</v>
      </c>
      <c r="S52" s="21"/>
    </row>
    <row r="53" spans="1:39" x14ac:dyDescent="0.25">
      <c r="A53" s="23" t="s">
        <v>295</v>
      </c>
      <c r="B53" s="23" t="s">
        <v>296</v>
      </c>
      <c r="S53" s="21"/>
      <c r="T53" s="239"/>
    </row>
    <row r="54" spans="1:39" x14ac:dyDescent="0.25">
      <c r="A54" s="23" t="s">
        <v>297</v>
      </c>
      <c r="B54" s="23" t="s">
        <v>298</v>
      </c>
      <c r="S54" s="21"/>
      <c r="T54" s="239"/>
    </row>
    <row r="55" spans="1:39" x14ac:dyDescent="0.25">
      <c r="A55" s="23" t="s">
        <v>299</v>
      </c>
      <c r="B55" s="23" t="s">
        <v>300</v>
      </c>
      <c r="S55" s="21"/>
      <c r="T55" s="239"/>
    </row>
    <row r="56" spans="1:39" x14ac:dyDescent="0.25">
      <c r="A56" s="23" t="s">
        <v>301</v>
      </c>
      <c r="B56" s="23" t="s">
        <v>302</v>
      </c>
      <c r="S56" s="21"/>
      <c r="T56" s="239"/>
    </row>
    <row r="57" spans="1:39" x14ac:dyDescent="0.25">
      <c r="A57" s="23" t="s">
        <v>303</v>
      </c>
      <c r="B57" s="23" t="s">
        <v>304</v>
      </c>
      <c r="S57" s="21"/>
      <c r="T57" s="239"/>
    </row>
    <row r="58" spans="1:39" x14ac:dyDescent="0.25">
      <c r="A58" s="23" t="s">
        <v>305</v>
      </c>
      <c r="B58" s="23" t="s">
        <v>306</v>
      </c>
    </row>
    <row r="59" spans="1:39" x14ac:dyDescent="0.25">
      <c r="A59" s="11" t="s">
        <v>307</v>
      </c>
      <c r="B59" s="23" t="s">
        <v>308</v>
      </c>
    </row>
    <row r="60" spans="1:39" x14ac:dyDescent="0.25">
      <c r="A60" s="11" t="s">
        <v>309</v>
      </c>
      <c r="B60" s="23" t="s">
        <v>310</v>
      </c>
      <c r="S60" s="21"/>
      <c r="T60" s="239"/>
    </row>
    <row r="61" spans="1:39" x14ac:dyDescent="0.25">
      <c r="S61" s="21"/>
      <c r="T61" s="239"/>
    </row>
    <row r="64" spans="1:39" x14ac:dyDescent="0.2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</row>
    <row r="65" spans="1:39" x14ac:dyDescent="0.2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</row>
    <row r="66" spans="1:39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</row>
    <row r="67" spans="1:39" ht="13" x14ac:dyDescent="0.3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</row>
    <row r="68" spans="1:39" x14ac:dyDescent="0.2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</row>
    <row r="69" spans="1:39" x14ac:dyDescent="0.25">
      <c r="H69" s="21"/>
    </row>
    <row r="70" spans="1:39" x14ac:dyDescent="0.2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</row>
    <row r="72" spans="1:39" x14ac:dyDescent="0.2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C73" s="13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87" spans="5:16" x14ac:dyDescent="0.25"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</row>
    <row r="90" spans="5:16" x14ac:dyDescent="0.25"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6" spans="5:16" x14ac:dyDescent="0.25"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5:16" x14ac:dyDescent="0.25"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102" spans="5:16" x14ac:dyDescent="0.25"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</row>
    <row r="103" spans="5:16" x14ac:dyDescent="0.25"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5:16" x14ac:dyDescent="0.25"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12" spans="5:16" ht="16.5" customHeight="1" x14ac:dyDescent="0.25"/>
    <row r="114" spans="1:17" x14ac:dyDescent="0.2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</row>
    <row r="115" spans="1:17" x14ac:dyDescent="0.2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1:17" x14ac:dyDescent="0.2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1:17" ht="13" x14ac:dyDescent="0.3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</row>
    <row r="118" spans="1:17" x14ac:dyDescent="0.2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</row>
    <row r="119" spans="1:17" x14ac:dyDescent="0.25">
      <c r="H119" s="249"/>
    </row>
    <row r="120" spans="1:17" x14ac:dyDescent="0.2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</row>
    <row r="122" spans="1:17" x14ac:dyDescent="0.25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37" spans="5:16" x14ac:dyDescent="0.25"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</row>
    <row r="140" spans="5:16" x14ac:dyDescent="0.25"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</row>
    <row r="146" spans="5:16" x14ac:dyDescent="0.25"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5:16" x14ac:dyDescent="0.25"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52" spans="5:16" x14ac:dyDescent="0.25"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</row>
    <row r="153" spans="5:16" x14ac:dyDescent="0.25"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</row>
    <row r="154" spans="5:16" x14ac:dyDescent="0.25"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61" spans="1:18" x14ac:dyDescent="0.2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</row>
    <row r="162" spans="1:18" x14ac:dyDescent="0.2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</row>
    <row r="163" spans="1:18" x14ac:dyDescent="0.2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</row>
    <row r="164" spans="1:18" ht="13" x14ac:dyDescent="0.3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</row>
    <row r="165" spans="1:18" x14ac:dyDescent="0.2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</row>
    <row r="166" spans="1:18" x14ac:dyDescent="0.25">
      <c r="H166" s="21"/>
    </row>
    <row r="167" spans="1:18" x14ac:dyDescent="0.2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</row>
    <row r="169" spans="1:18" x14ac:dyDescent="0.2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8" x14ac:dyDescent="0.25"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3"/>
    </row>
    <row r="184" spans="5:16" x14ac:dyDescent="0.25"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</row>
    <row r="187" spans="5:16" x14ac:dyDescent="0.25"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</row>
    <row r="193" spans="5:16" x14ac:dyDescent="0.25"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</row>
    <row r="194" spans="5:16" x14ac:dyDescent="0.25"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</row>
    <row r="199" spans="5:16" x14ac:dyDescent="0.25"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</row>
    <row r="200" spans="5:16" x14ac:dyDescent="0.25"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</row>
    <row r="201" spans="5:16" x14ac:dyDescent="0.25"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</row>
    <row r="209" spans="1:17" x14ac:dyDescent="0.2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1:17" x14ac:dyDescent="0.2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1:17" x14ac:dyDescent="0.2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1:17" ht="13" x14ac:dyDescent="0.3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</row>
    <row r="213" spans="1:17" x14ac:dyDescent="0.2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</row>
    <row r="215" spans="1:17" x14ac:dyDescent="0.2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</row>
    <row r="217" spans="1:17" x14ac:dyDescent="0.2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x14ac:dyDescent="0.25">
      <c r="C218" s="13"/>
      <c r="D218" s="1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32" spans="5:16" x14ac:dyDescent="0.25"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</row>
    <row r="235" spans="5:16" x14ac:dyDescent="0.25"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</row>
    <row r="241" spans="5:16" x14ac:dyDescent="0.25"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</row>
    <row r="242" spans="5:16" x14ac:dyDescent="0.25"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</row>
    <row r="247" spans="5:16" x14ac:dyDescent="0.25"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</row>
    <row r="248" spans="5:16" x14ac:dyDescent="0.25"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</row>
    <row r="249" spans="5:16" x14ac:dyDescent="0.25"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</row>
    <row r="257" spans="1:17" x14ac:dyDescent="0.25">
      <c r="A257" s="211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1:17" x14ac:dyDescent="0.2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1:17" x14ac:dyDescent="0.2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1:17" ht="13" x14ac:dyDescent="0.3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</row>
    <row r="261" spans="1:17" x14ac:dyDescent="0.2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1:17" x14ac:dyDescent="0.25">
      <c r="H262" s="21"/>
    </row>
    <row r="263" spans="1:17" x14ac:dyDescent="0.2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</row>
    <row r="265" spans="1:17" x14ac:dyDescent="0.25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x14ac:dyDescent="0.25">
      <c r="C266" s="13"/>
      <c r="D266" s="1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80" spans="5:16" x14ac:dyDescent="0.25"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</row>
    <row r="283" spans="5:16" x14ac:dyDescent="0.25"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</row>
    <row r="289" spans="5:16" x14ac:dyDescent="0.25"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</row>
    <row r="290" spans="5:16" x14ac:dyDescent="0.25"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</row>
    <row r="295" spans="5:16" x14ac:dyDescent="0.25"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</row>
    <row r="296" spans="5:16" x14ac:dyDescent="0.25"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</row>
    <row r="297" spans="5:16" x14ac:dyDescent="0.25"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</row>
    <row r="306" spans="1:17" x14ac:dyDescent="0.2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</row>
    <row r="307" spans="1:17" x14ac:dyDescent="0.2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</row>
    <row r="308" spans="1:17" x14ac:dyDescent="0.2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</row>
    <row r="309" spans="1:17" ht="13" x14ac:dyDescent="0.3">
      <c r="A309" s="223"/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</row>
    <row r="310" spans="1:17" x14ac:dyDescent="0.25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</row>
    <row r="312" spans="1:17" x14ac:dyDescent="0.25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</row>
    <row r="314" spans="1:17" x14ac:dyDescent="0.25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x14ac:dyDescent="0.25">
      <c r="D315" s="1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3"/>
    </row>
    <row r="329" spans="5:16" x14ac:dyDescent="0.25"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</row>
    <row r="332" spans="5:16" x14ac:dyDescent="0.25"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</row>
    <row r="338" spans="5:16" x14ac:dyDescent="0.25"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</row>
    <row r="339" spans="5:16" x14ac:dyDescent="0.25"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</row>
    <row r="344" spans="5:16" x14ac:dyDescent="0.25"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</row>
    <row r="345" spans="5:16" x14ac:dyDescent="0.25"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</row>
    <row r="346" spans="5:16" x14ac:dyDescent="0.25"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</row>
    <row r="355" spans="1:17" x14ac:dyDescent="0.25">
      <c r="A355" s="211"/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</row>
    <row r="356" spans="1:17" x14ac:dyDescent="0.25">
      <c r="A356" s="211"/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</row>
    <row r="357" spans="1:17" x14ac:dyDescent="0.25">
      <c r="A357" s="211"/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</row>
    <row r="358" spans="1:17" ht="13" x14ac:dyDescent="0.3">
      <c r="A358" s="223"/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</row>
    <row r="359" spans="1:17" x14ac:dyDescent="0.25">
      <c r="A359" s="211"/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</row>
    <row r="361" spans="1:17" x14ac:dyDescent="0.25">
      <c r="A361" s="211"/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</row>
    <row r="363" spans="1:17" x14ac:dyDescent="0.25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 x14ac:dyDescent="0.25">
      <c r="D364" s="1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13"/>
    </row>
    <row r="378" spans="5:16" x14ac:dyDescent="0.25"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</row>
    <row r="381" spans="5:16" x14ac:dyDescent="0.25"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</row>
    <row r="387" spans="5:16" x14ac:dyDescent="0.25"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</row>
    <row r="388" spans="5:16" x14ac:dyDescent="0.25"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</row>
    <row r="393" spans="5:16" x14ac:dyDescent="0.25"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</row>
    <row r="394" spans="5:16" x14ac:dyDescent="0.25"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</row>
    <row r="395" spans="5:16" x14ac:dyDescent="0.25"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</row>
    <row r="402" spans="1:17" x14ac:dyDescent="0.25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</row>
    <row r="403" spans="1:17" x14ac:dyDescent="0.25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</row>
    <row r="404" spans="1:17" x14ac:dyDescent="0.25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</row>
    <row r="405" spans="1:17" ht="13" x14ac:dyDescent="0.3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</row>
    <row r="406" spans="1:17" x14ac:dyDescent="0.25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</row>
    <row r="408" spans="1:17" x14ac:dyDescent="0.25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</row>
    <row r="410" spans="1:17" x14ac:dyDescent="0.25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x14ac:dyDescent="0.25">
      <c r="D411" s="1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13"/>
    </row>
    <row r="425" spans="5:16" x14ac:dyDescent="0.25"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</row>
    <row r="428" spans="5:16" x14ac:dyDescent="0.25"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</row>
    <row r="434" spans="5:16" x14ac:dyDescent="0.25"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</row>
    <row r="435" spans="5:16" x14ac:dyDescent="0.25"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</row>
    <row r="440" spans="5:16" x14ac:dyDescent="0.25"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</row>
    <row r="441" spans="5:16" x14ac:dyDescent="0.25"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</row>
    <row r="442" spans="5:16" x14ac:dyDescent="0.25"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</row>
    <row r="451" spans="1:17" x14ac:dyDescent="0.25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</row>
    <row r="452" spans="1:17" x14ac:dyDescent="0.25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</row>
    <row r="453" spans="1:17" x14ac:dyDescent="0.25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</row>
    <row r="454" spans="1:17" ht="13" x14ac:dyDescent="0.3">
      <c r="A454" s="223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</row>
    <row r="455" spans="1:17" x14ac:dyDescent="0.25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</row>
    <row r="457" spans="1:17" x14ac:dyDescent="0.25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</row>
    <row r="459" spans="1:17" x14ac:dyDescent="0.25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 x14ac:dyDescent="0.25">
      <c r="D460" s="1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13"/>
    </row>
    <row r="474" spans="5:16" x14ac:dyDescent="0.25"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</row>
    <row r="477" spans="5:16" x14ac:dyDescent="0.25"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</row>
    <row r="483" spans="5:16" x14ac:dyDescent="0.25"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</row>
    <row r="484" spans="5:16" x14ac:dyDescent="0.25"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</row>
    <row r="489" spans="5:16" x14ac:dyDescent="0.25"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</row>
    <row r="490" spans="5:16" x14ac:dyDescent="0.25"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</row>
    <row r="491" spans="5:16" x14ac:dyDescent="0.25"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</row>
    <row r="500" spans="1:17" x14ac:dyDescent="0.25">
      <c r="A500" s="211"/>
      <c r="B500" s="211"/>
      <c r="C500" s="211"/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</row>
    <row r="501" spans="1:17" x14ac:dyDescent="0.25">
      <c r="A501" s="211"/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</row>
    <row r="502" spans="1:17" x14ac:dyDescent="0.25">
      <c r="A502" s="211"/>
      <c r="B502" s="211"/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</row>
    <row r="503" spans="1:17" ht="13" x14ac:dyDescent="0.3">
      <c r="A503" s="223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</row>
    <row r="504" spans="1:17" x14ac:dyDescent="0.25">
      <c r="A504" s="211"/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</row>
    <row r="506" spans="1:17" x14ac:dyDescent="0.25">
      <c r="A506" s="211"/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</row>
    <row r="508" spans="1:17" x14ac:dyDescent="0.25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 x14ac:dyDescent="0.25">
      <c r="D509" s="1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13"/>
    </row>
    <row r="523" spans="5:16" x14ac:dyDescent="0.25"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</row>
    <row r="526" spans="5:16" x14ac:dyDescent="0.25">
      <c r="F526" s="201"/>
      <c r="G526" s="201"/>
      <c r="H526" s="201"/>
      <c r="I526" s="201"/>
      <c r="J526" s="201"/>
      <c r="K526" s="201"/>
      <c r="L526" s="201"/>
      <c r="M526" s="201"/>
      <c r="N526" s="201"/>
      <c r="O526" s="201"/>
      <c r="P526" s="201"/>
    </row>
    <row r="532" spans="5:16" x14ac:dyDescent="0.25"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</row>
    <row r="533" spans="5:16" x14ac:dyDescent="0.25"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</row>
    <row r="538" spans="5:16" x14ac:dyDescent="0.25"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</row>
    <row r="539" spans="5:16" x14ac:dyDescent="0.25"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</row>
    <row r="540" spans="5:16" x14ac:dyDescent="0.25"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</row>
    <row r="549" spans="1:17" x14ac:dyDescent="0.25">
      <c r="A549" s="211"/>
      <c r="B549" s="211"/>
      <c r="C549" s="211"/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</row>
    <row r="550" spans="1:17" x14ac:dyDescent="0.25">
      <c r="A550" s="211"/>
      <c r="B550" s="211"/>
      <c r="C550" s="211"/>
      <c r="D550" s="211"/>
      <c r="E550" s="211"/>
      <c r="F550" s="211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</row>
    <row r="551" spans="1:17" x14ac:dyDescent="0.25">
      <c r="A551" s="211"/>
      <c r="B551" s="211"/>
      <c r="C551" s="211"/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</row>
    <row r="552" spans="1:17" ht="13" x14ac:dyDescent="0.3">
      <c r="A552" s="223"/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</row>
    <row r="553" spans="1:17" x14ac:dyDescent="0.25">
      <c r="A553" s="211"/>
      <c r="B553" s="211"/>
      <c r="C553" s="211"/>
      <c r="D553" s="211"/>
      <c r="E553" s="211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</row>
    <row r="555" spans="1:17" x14ac:dyDescent="0.25">
      <c r="A555" s="211"/>
      <c r="B555" s="211"/>
      <c r="C555" s="211"/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</row>
    <row r="557" spans="1:17" x14ac:dyDescent="0.25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 x14ac:dyDescent="0.25">
      <c r="D558" s="1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13"/>
    </row>
    <row r="572" spans="5:16" x14ac:dyDescent="0.25">
      <c r="E572" s="201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</row>
    <row r="575" spans="5:16" x14ac:dyDescent="0.25">
      <c r="F575" s="201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</row>
    <row r="581" spans="5:16" x14ac:dyDescent="0.25"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</row>
    <row r="582" spans="5:16" x14ac:dyDescent="0.25"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</row>
    <row r="587" spans="5:16" x14ac:dyDescent="0.25"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</row>
    <row r="588" spans="5:16" x14ac:dyDescent="0.25"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</row>
    <row r="589" spans="5:16" x14ac:dyDescent="0.25"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</row>
    <row r="598" spans="1:17" x14ac:dyDescent="0.25">
      <c r="A598" s="211"/>
      <c r="B598" s="211"/>
      <c r="C598" s="211"/>
      <c r="D598" s="211"/>
      <c r="E598" s="211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</row>
    <row r="599" spans="1:17" x14ac:dyDescent="0.25">
      <c r="A599" s="211"/>
      <c r="B599" s="211"/>
      <c r="C599" s="211"/>
      <c r="D599" s="211"/>
      <c r="E599" s="211"/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</row>
    <row r="600" spans="1:17" x14ac:dyDescent="0.25">
      <c r="A600" s="211"/>
      <c r="B600" s="211"/>
      <c r="C600" s="211"/>
      <c r="D600" s="211"/>
      <c r="E600" s="211"/>
      <c r="F600" s="211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</row>
    <row r="601" spans="1:17" ht="13" x14ac:dyDescent="0.3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</row>
    <row r="602" spans="1:17" x14ac:dyDescent="0.25">
      <c r="A602" s="211"/>
      <c r="B602" s="211"/>
      <c r="C602" s="211"/>
      <c r="D602" s="211"/>
      <c r="E602" s="211"/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</row>
    <row r="604" spans="1:17" x14ac:dyDescent="0.25">
      <c r="A604" s="211"/>
      <c r="B604" s="211"/>
      <c r="C604" s="211"/>
      <c r="D604" s="211"/>
      <c r="E604" s="211"/>
      <c r="F604" s="211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</row>
    <row r="606" spans="1:17" x14ac:dyDescent="0.25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x14ac:dyDescent="0.25">
      <c r="D607" s="1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13"/>
    </row>
    <row r="621" spans="5:16" x14ac:dyDescent="0.25">
      <c r="E621" s="201"/>
      <c r="F621" s="201"/>
      <c r="G621" s="201"/>
      <c r="H621" s="201"/>
      <c r="I621" s="201"/>
      <c r="J621" s="201"/>
      <c r="K621" s="201"/>
      <c r="L621" s="201"/>
      <c r="M621" s="201"/>
      <c r="N621" s="201"/>
      <c r="O621" s="201"/>
      <c r="P621" s="201"/>
    </row>
    <row r="624" spans="5:16" x14ac:dyDescent="0.25">
      <c r="F624" s="201"/>
      <c r="G624" s="201"/>
      <c r="H624" s="201"/>
      <c r="I624" s="201"/>
      <c r="J624" s="201"/>
      <c r="K624" s="201"/>
      <c r="L624" s="201"/>
      <c r="M624" s="201"/>
      <c r="N624" s="201"/>
      <c r="O624" s="201"/>
      <c r="P624" s="201"/>
    </row>
    <row r="630" spans="5:16" x14ac:dyDescent="0.25"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</row>
    <row r="631" spans="5:16" x14ac:dyDescent="0.25"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</row>
    <row r="636" spans="5:16" x14ac:dyDescent="0.25"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</row>
    <row r="637" spans="5:16" x14ac:dyDescent="0.25"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</row>
    <row r="638" spans="5:16" x14ac:dyDescent="0.25"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</row>
    <row r="647" spans="1:17" x14ac:dyDescent="0.25">
      <c r="A647" s="211"/>
      <c r="B647" s="211"/>
      <c r="C647" s="211"/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</row>
    <row r="648" spans="1:17" x14ac:dyDescent="0.25">
      <c r="A648" s="211"/>
      <c r="B648" s="211"/>
      <c r="C648" s="211"/>
      <c r="D648" s="211"/>
      <c r="E648" s="211"/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</row>
    <row r="649" spans="1:17" x14ac:dyDescent="0.25">
      <c r="A649" s="211"/>
      <c r="B649" s="211"/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</row>
    <row r="650" spans="1:17" ht="13" x14ac:dyDescent="0.3">
      <c r="A650" s="223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</row>
    <row r="651" spans="1:17" x14ac:dyDescent="0.25">
      <c r="A651" s="211"/>
      <c r="B651" s="211"/>
      <c r="C651" s="211"/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</row>
    <row r="653" spans="1:17" x14ac:dyDescent="0.25">
      <c r="A653" s="211"/>
      <c r="B653" s="211"/>
      <c r="C653" s="211"/>
      <c r="D653" s="211"/>
      <c r="E653" s="211"/>
      <c r="F653" s="211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</row>
    <row r="655" spans="1:17" x14ac:dyDescent="0.25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 x14ac:dyDescent="0.25">
      <c r="D656" s="1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13"/>
    </row>
    <row r="670" spans="5:16" x14ac:dyDescent="0.25">
      <c r="E670" s="201"/>
      <c r="F670" s="201"/>
      <c r="G670" s="201"/>
      <c r="H670" s="201"/>
      <c r="I670" s="201"/>
      <c r="J670" s="201"/>
      <c r="K670" s="201"/>
      <c r="L670" s="201"/>
      <c r="M670" s="201"/>
      <c r="N670" s="201"/>
      <c r="O670" s="201"/>
      <c r="P670" s="201"/>
    </row>
    <row r="673" spans="5:16" x14ac:dyDescent="0.25">
      <c r="F673" s="201"/>
      <c r="G673" s="201"/>
      <c r="H673" s="201"/>
      <c r="I673" s="201"/>
      <c r="J673" s="201"/>
      <c r="K673" s="201"/>
      <c r="L673" s="201"/>
      <c r="M673" s="201"/>
      <c r="N673" s="201"/>
      <c r="O673" s="201"/>
      <c r="P673" s="201"/>
    </row>
    <row r="679" spans="5:16" x14ac:dyDescent="0.25"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</row>
    <row r="680" spans="5:16" x14ac:dyDescent="0.25"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</row>
    <row r="685" spans="5:16" x14ac:dyDescent="0.25"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</row>
    <row r="686" spans="5:16" x14ac:dyDescent="0.25"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</row>
    <row r="687" spans="5:16" x14ac:dyDescent="0.25"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</row>
    <row r="696" spans="1:17" x14ac:dyDescent="0.25">
      <c r="A696" s="211"/>
      <c r="B696" s="211"/>
      <c r="C696" s="211"/>
      <c r="D696" s="211"/>
      <c r="E696" s="211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</row>
    <row r="697" spans="1:17" x14ac:dyDescent="0.25">
      <c r="A697" s="211"/>
      <c r="B697" s="211"/>
      <c r="C697" s="211"/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</row>
    <row r="698" spans="1:17" x14ac:dyDescent="0.25">
      <c r="A698" s="211"/>
      <c r="B698" s="211"/>
      <c r="C698" s="211"/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</row>
    <row r="699" spans="1:17" ht="13" x14ac:dyDescent="0.3">
      <c r="A699" s="223"/>
      <c r="B699" s="223"/>
      <c r="C699" s="223"/>
      <c r="D699" s="223"/>
      <c r="E699" s="223"/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</row>
    <row r="700" spans="1:17" x14ac:dyDescent="0.25">
      <c r="A700" s="211"/>
      <c r="B700" s="211"/>
      <c r="C700" s="211"/>
      <c r="D700" s="211"/>
      <c r="E700" s="211"/>
      <c r="F700" s="211"/>
      <c r="G700" s="211"/>
      <c r="H700" s="211"/>
      <c r="I700" s="211"/>
      <c r="J700" s="211"/>
      <c r="K700" s="211"/>
      <c r="L700" s="211"/>
      <c r="M700" s="211"/>
      <c r="N700" s="211"/>
      <c r="O700" s="211"/>
      <c r="P700" s="211"/>
      <c r="Q700" s="211"/>
    </row>
    <row r="702" spans="1:17" x14ac:dyDescent="0.25">
      <c r="A702" s="211"/>
      <c r="B702" s="211"/>
      <c r="C702" s="211"/>
      <c r="D702" s="211"/>
      <c r="E702" s="211"/>
      <c r="F702" s="211"/>
      <c r="G702" s="211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</row>
    <row r="704" spans="1:17" x14ac:dyDescent="0.25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4:17" x14ac:dyDescent="0.25">
      <c r="D705" s="1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13"/>
    </row>
    <row r="719" spans="4:17" x14ac:dyDescent="0.25">
      <c r="E719" s="201"/>
      <c r="F719" s="201"/>
      <c r="G719" s="201"/>
      <c r="H719" s="201"/>
      <c r="I719" s="201"/>
      <c r="J719" s="201"/>
      <c r="K719" s="201"/>
      <c r="L719" s="201"/>
      <c r="M719" s="201"/>
      <c r="N719" s="201"/>
      <c r="O719" s="201"/>
      <c r="P719" s="201"/>
    </row>
    <row r="722" spans="5:16" x14ac:dyDescent="0.25">
      <c r="F722" s="201"/>
      <c r="G722" s="201"/>
      <c r="H722" s="201"/>
      <c r="I722" s="201"/>
      <c r="J722" s="201"/>
      <c r="K722" s="201"/>
      <c r="L722" s="201"/>
      <c r="M722" s="201"/>
      <c r="N722" s="201"/>
      <c r="O722" s="201"/>
      <c r="P722" s="201"/>
    </row>
    <row r="728" spans="5:16" x14ac:dyDescent="0.25"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</row>
    <row r="729" spans="5:16" x14ac:dyDescent="0.25"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</row>
    <row r="734" spans="5:16" x14ac:dyDescent="0.25"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</row>
    <row r="735" spans="5:16" x14ac:dyDescent="0.25"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</row>
    <row r="736" spans="5:16" x14ac:dyDescent="0.25"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</row>
    <row r="745" spans="1:17" x14ac:dyDescent="0.25">
      <c r="A745" s="211"/>
      <c r="B745" s="211"/>
      <c r="C745" s="211"/>
      <c r="D745" s="211"/>
      <c r="E745" s="211"/>
      <c r="F745" s="211"/>
      <c r="G745" s="211"/>
      <c r="H745" s="211"/>
      <c r="I745" s="211"/>
      <c r="J745" s="211"/>
      <c r="K745" s="211"/>
      <c r="L745" s="211"/>
      <c r="M745" s="211"/>
      <c r="N745" s="211"/>
      <c r="O745" s="211"/>
      <c r="P745" s="211"/>
      <c r="Q745" s="211"/>
    </row>
    <row r="746" spans="1:17" x14ac:dyDescent="0.25">
      <c r="A746" s="211"/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</row>
    <row r="747" spans="1:17" x14ac:dyDescent="0.25">
      <c r="A747" s="211"/>
      <c r="B747" s="211"/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</row>
    <row r="748" spans="1:17" ht="13" x14ac:dyDescent="0.3">
      <c r="A748" s="223"/>
      <c r="B748" s="223"/>
      <c r="C748" s="223"/>
      <c r="D748" s="223"/>
      <c r="E748" s="223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</row>
    <row r="749" spans="1:17" x14ac:dyDescent="0.25">
      <c r="A749" s="211"/>
      <c r="B749" s="211"/>
      <c r="C749" s="211"/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</row>
    <row r="751" spans="1:17" x14ac:dyDescent="0.25">
      <c r="A751" s="211"/>
      <c r="B751" s="211"/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</row>
    <row r="753" spans="4:17" x14ac:dyDescent="0.25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4:17" x14ac:dyDescent="0.25">
      <c r="D754" s="1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13"/>
    </row>
    <row r="768" spans="4:17" x14ac:dyDescent="0.25">
      <c r="E768" s="201"/>
      <c r="F768" s="201"/>
      <c r="G768" s="201"/>
      <c r="H768" s="201"/>
      <c r="I768" s="201"/>
      <c r="J768" s="201"/>
      <c r="K768" s="201"/>
      <c r="L768" s="201"/>
      <c r="M768" s="201"/>
      <c r="N768" s="201"/>
      <c r="O768" s="201"/>
      <c r="P768" s="201"/>
    </row>
    <row r="771" spans="5:16" x14ac:dyDescent="0.25">
      <c r="F771" s="201"/>
      <c r="G771" s="201"/>
      <c r="H771" s="201"/>
      <c r="I771" s="201"/>
      <c r="J771" s="201"/>
      <c r="K771" s="201"/>
      <c r="L771" s="201"/>
      <c r="M771" s="201"/>
      <c r="N771" s="201"/>
      <c r="O771" s="201"/>
      <c r="P771" s="201"/>
    </row>
    <row r="777" spans="5:16" x14ac:dyDescent="0.25"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</row>
    <row r="778" spans="5:16" x14ac:dyDescent="0.25"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</row>
    <row r="783" spans="5:16" x14ac:dyDescent="0.25"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</row>
    <row r="784" spans="5:16" x14ac:dyDescent="0.25"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</row>
    <row r="785" spans="1:17" x14ac:dyDescent="0.25"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</row>
    <row r="793" spans="1:17" x14ac:dyDescent="0.25">
      <c r="A793" s="211"/>
      <c r="B793" s="211"/>
      <c r="C793" s="211"/>
      <c r="D793" s="211"/>
      <c r="E793" s="211"/>
      <c r="F793" s="211"/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</row>
    <row r="794" spans="1:17" x14ac:dyDescent="0.25">
      <c r="A794" s="211"/>
      <c r="B794" s="211"/>
      <c r="C794" s="211"/>
      <c r="D794" s="211"/>
      <c r="E794" s="211"/>
      <c r="F794" s="211"/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</row>
    <row r="795" spans="1:17" x14ac:dyDescent="0.25">
      <c r="A795" s="211"/>
      <c r="B795" s="211"/>
      <c r="C795" s="211"/>
      <c r="D795" s="211"/>
      <c r="E795" s="211"/>
      <c r="F795" s="211"/>
      <c r="G795" s="211"/>
      <c r="H795" s="211"/>
      <c r="I795" s="211"/>
      <c r="J795" s="211"/>
      <c r="K795" s="211"/>
      <c r="L795" s="211"/>
      <c r="M795" s="211"/>
      <c r="N795" s="211"/>
      <c r="O795" s="211"/>
      <c r="P795" s="211"/>
      <c r="Q795" s="211"/>
    </row>
    <row r="796" spans="1:17" ht="13" x14ac:dyDescent="0.3">
      <c r="A796" s="223"/>
      <c r="B796" s="223"/>
      <c r="C796" s="223"/>
      <c r="D796" s="223"/>
      <c r="E796" s="223"/>
      <c r="F796" s="223"/>
      <c r="G796" s="223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</row>
    <row r="797" spans="1:17" x14ac:dyDescent="0.25">
      <c r="A797" s="211"/>
      <c r="B797" s="211"/>
      <c r="C797" s="211"/>
      <c r="D797" s="211"/>
      <c r="E797" s="211"/>
      <c r="F797" s="211"/>
      <c r="G797" s="211"/>
      <c r="H797" s="211"/>
      <c r="I797" s="211"/>
      <c r="J797" s="211"/>
      <c r="K797" s="211"/>
      <c r="L797" s="211"/>
      <c r="M797" s="211"/>
      <c r="N797" s="211"/>
      <c r="O797" s="211"/>
      <c r="P797" s="211"/>
      <c r="Q797" s="211"/>
    </row>
    <row r="799" spans="1:17" x14ac:dyDescent="0.25">
      <c r="A799" s="211"/>
      <c r="B799" s="211"/>
      <c r="C799" s="211"/>
      <c r="D799" s="211"/>
      <c r="E799" s="211"/>
      <c r="F799" s="211"/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</row>
    <row r="801" spans="4:17" x14ac:dyDescent="0.25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4:17" x14ac:dyDescent="0.25">
      <c r="D802" s="13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3"/>
    </row>
    <row r="816" spans="4:17" x14ac:dyDescent="0.25"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</row>
    <row r="819" spans="5:16" x14ac:dyDescent="0.25"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</row>
    <row r="825" spans="5:16" x14ac:dyDescent="0.25"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</row>
    <row r="826" spans="5:16" x14ac:dyDescent="0.25"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</row>
    <row r="831" spans="5:16" x14ac:dyDescent="0.25"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</row>
    <row r="832" spans="5:16" x14ac:dyDescent="0.25"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</row>
    <row r="833" spans="1:17" x14ac:dyDescent="0.25"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</row>
    <row r="842" spans="1:17" x14ac:dyDescent="0.25">
      <c r="A842" s="211"/>
      <c r="B842" s="211"/>
      <c r="C842" s="211"/>
      <c r="D842" s="211"/>
      <c r="E842" s="211"/>
      <c r="F842" s="211"/>
      <c r="G842" s="211"/>
      <c r="H842" s="211"/>
      <c r="I842" s="211"/>
      <c r="J842" s="211"/>
      <c r="K842" s="211"/>
      <c r="L842" s="211"/>
      <c r="M842" s="211"/>
      <c r="N842" s="211"/>
      <c r="O842" s="211"/>
      <c r="P842" s="211"/>
      <c r="Q842" s="211"/>
    </row>
    <row r="843" spans="1:17" x14ac:dyDescent="0.25">
      <c r="A843" s="211"/>
      <c r="B843" s="211"/>
      <c r="C843" s="211"/>
      <c r="D843" s="211"/>
      <c r="E843" s="211"/>
      <c r="F843" s="211"/>
      <c r="G843" s="211"/>
      <c r="H843" s="211"/>
      <c r="I843" s="211"/>
      <c r="J843" s="211"/>
      <c r="K843" s="211"/>
      <c r="L843" s="211"/>
      <c r="M843" s="211"/>
      <c r="N843" s="211"/>
      <c r="O843" s="211"/>
      <c r="P843" s="211"/>
      <c r="Q843" s="211"/>
    </row>
    <row r="844" spans="1:17" x14ac:dyDescent="0.25">
      <c r="A844" s="211"/>
      <c r="B844" s="211"/>
      <c r="C844" s="211"/>
      <c r="D844" s="211"/>
      <c r="E844" s="211"/>
      <c r="F844" s="211"/>
      <c r="G844" s="211"/>
      <c r="H844" s="211"/>
      <c r="I844" s="211"/>
      <c r="J844" s="211"/>
      <c r="K844" s="211"/>
      <c r="L844" s="211"/>
      <c r="M844" s="211"/>
      <c r="N844" s="211"/>
      <c r="O844" s="211"/>
      <c r="P844" s="211"/>
      <c r="Q844" s="211"/>
    </row>
    <row r="845" spans="1:17" ht="13" x14ac:dyDescent="0.3">
      <c r="A845" s="223"/>
      <c r="B845" s="223"/>
      <c r="C845" s="223"/>
      <c r="D845" s="223"/>
      <c r="E845" s="223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</row>
    <row r="846" spans="1:17" x14ac:dyDescent="0.25">
      <c r="A846" s="211"/>
      <c r="B846" s="211"/>
      <c r="C846" s="211"/>
      <c r="D846" s="211"/>
      <c r="E846" s="211"/>
      <c r="F846" s="211"/>
      <c r="G846" s="211"/>
      <c r="H846" s="211"/>
      <c r="I846" s="211"/>
      <c r="J846" s="211"/>
      <c r="K846" s="211"/>
      <c r="L846" s="211"/>
      <c r="M846" s="211"/>
      <c r="N846" s="211"/>
      <c r="O846" s="211"/>
      <c r="P846" s="211"/>
      <c r="Q846" s="211"/>
    </row>
    <row r="848" spans="1:17" x14ac:dyDescent="0.25">
      <c r="A848" s="211"/>
      <c r="B848" s="211"/>
      <c r="C848" s="211"/>
      <c r="D848" s="211"/>
      <c r="E848" s="211"/>
      <c r="F848" s="211"/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</row>
    <row r="850" spans="4:17" x14ac:dyDescent="0.25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4:17" x14ac:dyDescent="0.25">
      <c r="D851" s="13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3"/>
    </row>
    <row r="865" spans="5:16" x14ac:dyDescent="0.25"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</row>
    <row r="868" spans="5:16" x14ac:dyDescent="0.25"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</row>
    <row r="874" spans="5:16" x14ac:dyDescent="0.25"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</row>
    <row r="875" spans="5:16" x14ac:dyDescent="0.25"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</row>
    <row r="880" spans="5:16" x14ac:dyDescent="0.25"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</row>
    <row r="881" spans="1:17" x14ac:dyDescent="0.25"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</row>
    <row r="882" spans="1:17" x14ac:dyDescent="0.25"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</row>
    <row r="891" spans="1:17" x14ac:dyDescent="0.25">
      <c r="A891" s="211"/>
      <c r="B891" s="211"/>
      <c r="C891" s="211"/>
      <c r="D891" s="211"/>
      <c r="E891" s="211"/>
      <c r="F891" s="211"/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</row>
    <row r="892" spans="1:17" x14ac:dyDescent="0.25">
      <c r="A892" s="211"/>
      <c r="B892" s="211"/>
      <c r="C892" s="211"/>
      <c r="D892" s="211"/>
      <c r="E892" s="211"/>
      <c r="F892" s="211"/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</row>
    <row r="893" spans="1:17" x14ac:dyDescent="0.25">
      <c r="A893" s="211"/>
      <c r="B893" s="211"/>
      <c r="C893" s="211"/>
      <c r="D893" s="211"/>
      <c r="E893" s="211"/>
      <c r="F893" s="211"/>
      <c r="G893" s="211"/>
      <c r="H893" s="211"/>
      <c r="I893" s="211"/>
      <c r="J893" s="211"/>
      <c r="K893" s="211"/>
      <c r="L893" s="211"/>
      <c r="M893" s="211"/>
      <c r="N893" s="211"/>
      <c r="O893" s="211"/>
      <c r="P893" s="211"/>
      <c r="Q893" s="211"/>
    </row>
    <row r="894" spans="1:17" ht="13" x14ac:dyDescent="0.3">
      <c r="A894" s="223"/>
      <c r="B894" s="223"/>
      <c r="C894" s="223"/>
      <c r="D894" s="223"/>
      <c r="E894" s="223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</row>
    <row r="895" spans="1:17" x14ac:dyDescent="0.25">
      <c r="A895" s="211"/>
      <c r="B895" s="211"/>
      <c r="C895" s="211"/>
      <c r="D895" s="211"/>
      <c r="E895" s="211"/>
      <c r="F895" s="211"/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</row>
    <row r="897" spans="1:17" x14ac:dyDescent="0.25">
      <c r="A897" s="211"/>
      <c r="B897" s="211"/>
      <c r="C897" s="211"/>
      <c r="D897" s="211"/>
      <c r="E897" s="211"/>
      <c r="F897" s="211"/>
      <c r="G897" s="211"/>
      <c r="H897" s="211"/>
      <c r="I897" s="211"/>
      <c r="J897" s="211"/>
      <c r="K897" s="211"/>
      <c r="L897" s="211"/>
      <c r="M897" s="211"/>
      <c r="N897" s="211"/>
      <c r="O897" s="211"/>
      <c r="P897" s="211"/>
      <c r="Q897" s="211"/>
    </row>
    <row r="899" spans="1:17" x14ac:dyDescent="0.25"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1:17" x14ac:dyDescent="0.25">
      <c r="D900" s="13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3"/>
    </row>
    <row r="914" spans="5:16" x14ac:dyDescent="0.25">
      <c r="E914" s="201"/>
      <c r="F914" s="201"/>
      <c r="G914" s="201"/>
      <c r="H914" s="201"/>
      <c r="I914" s="201"/>
      <c r="J914" s="201"/>
      <c r="K914" s="201"/>
      <c r="L914" s="201"/>
      <c r="M914" s="201"/>
      <c r="N914" s="201"/>
      <c r="O914" s="201"/>
      <c r="P914" s="201"/>
    </row>
    <row r="917" spans="5:16" x14ac:dyDescent="0.25">
      <c r="F917" s="201"/>
      <c r="G917" s="201"/>
      <c r="H917" s="201"/>
      <c r="I917" s="201"/>
      <c r="J917" s="201"/>
      <c r="K917" s="201"/>
      <c r="L917" s="201"/>
      <c r="M917" s="201"/>
      <c r="N917" s="201"/>
      <c r="O917" s="201"/>
      <c r="P917" s="201"/>
    </row>
    <row r="923" spans="5:16" x14ac:dyDescent="0.25"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</row>
    <row r="924" spans="5:16" x14ac:dyDescent="0.25"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</row>
    <row r="929" spans="1:17" x14ac:dyDescent="0.25"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</row>
    <row r="930" spans="1:17" x14ac:dyDescent="0.25"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</row>
    <row r="931" spans="1:17" x14ac:dyDescent="0.25"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</row>
    <row r="940" spans="1:17" x14ac:dyDescent="0.25">
      <c r="A940" s="211"/>
      <c r="B940" s="211"/>
      <c r="C940" s="211"/>
      <c r="D940" s="211"/>
      <c r="E940" s="211"/>
      <c r="F940" s="211"/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</row>
    <row r="941" spans="1:17" x14ac:dyDescent="0.25">
      <c r="A941" s="211"/>
      <c r="B941" s="211"/>
      <c r="C941" s="211"/>
      <c r="D941" s="211"/>
      <c r="E941" s="211"/>
      <c r="F941" s="211"/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</row>
    <row r="942" spans="1:17" x14ac:dyDescent="0.25">
      <c r="A942" s="211"/>
      <c r="B942" s="211"/>
      <c r="C942" s="211"/>
      <c r="D942" s="211"/>
      <c r="E942" s="211"/>
      <c r="F942" s="211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</row>
    <row r="943" spans="1:17" ht="13" x14ac:dyDescent="0.3">
      <c r="A943" s="223"/>
      <c r="B943" s="223"/>
      <c r="C943" s="223"/>
      <c r="D943" s="223"/>
      <c r="E943" s="223"/>
      <c r="F943" s="223"/>
      <c r="G943" s="223"/>
      <c r="H943" s="223"/>
      <c r="I943" s="223"/>
      <c r="J943" s="223"/>
      <c r="K943" s="223"/>
      <c r="L943" s="223"/>
      <c r="M943" s="223"/>
      <c r="N943" s="223"/>
      <c r="O943" s="223"/>
      <c r="P943" s="223"/>
      <c r="Q943" s="223"/>
    </row>
    <row r="944" spans="1:17" x14ac:dyDescent="0.25">
      <c r="A944" s="211"/>
      <c r="B944" s="211"/>
      <c r="C944" s="211"/>
      <c r="D944" s="211"/>
      <c r="E944" s="211"/>
      <c r="F944" s="211"/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</row>
    <row r="946" spans="1:17" x14ac:dyDescent="0.25">
      <c r="A946" s="211"/>
      <c r="B946" s="211"/>
      <c r="C946" s="211"/>
      <c r="D946" s="211"/>
      <c r="E946" s="211"/>
      <c r="F946" s="211"/>
      <c r="G946" s="211"/>
      <c r="H946" s="211"/>
      <c r="I946" s="211"/>
      <c r="J946" s="211"/>
      <c r="K946" s="211"/>
      <c r="L946" s="211"/>
      <c r="M946" s="211"/>
      <c r="N946" s="211"/>
      <c r="O946" s="211"/>
      <c r="P946" s="211"/>
      <c r="Q946" s="211"/>
    </row>
    <row r="948" spans="1:17" x14ac:dyDescent="0.25"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1:17" x14ac:dyDescent="0.25">
      <c r="D949" s="13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13"/>
    </row>
    <row r="963" spans="5:16" x14ac:dyDescent="0.25">
      <c r="E963" s="201"/>
      <c r="F963" s="201"/>
      <c r="G963" s="201"/>
      <c r="H963" s="201"/>
      <c r="I963" s="201"/>
      <c r="J963" s="201"/>
      <c r="K963" s="201"/>
      <c r="L963" s="201"/>
      <c r="M963" s="201"/>
      <c r="N963" s="201"/>
      <c r="O963" s="201"/>
      <c r="P963" s="201"/>
    </row>
    <row r="966" spans="5:16" x14ac:dyDescent="0.25">
      <c r="F966" s="201"/>
      <c r="G966" s="201"/>
      <c r="H966" s="201"/>
      <c r="I966" s="201"/>
      <c r="J966" s="201"/>
      <c r="K966" s="201"/>
      <c r="L966" s="201"/>
      <c r="M966" s="201"/>
      <c r="N966" s="201"/>
      <c r="O966" s="201"/>
      <c r="P966" s="201"/>
    </row>
    <row r="972" spans="5:16" x14ac:dyDescent="0.25"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</row>
    <row r="973" spans="5:16" x14ac:dyDescent="0.25"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</row>
    <row r="978" spans="1:17" x14ac:dyDescent="0.25"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</row>
    <row r="979" spans="1:17" x14ac:dyDescent="0.25"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</row>
    <row r="980" spans="1:17" x14ac:dyDescent="0.25"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</row>
    <row r="989" spans="1:17" x14ac:dyDescent="0.25">
      <c r="A989" s="211"/>
      <c r="B989" s="211"/>
      <c r="C989" s="211"/>
      <c r="D989" s="211"/>
      <c r="E989" s="211"/>
      <c r="F989" s="211"/>
      <c r="G989" s="211"/>
      <c r="H989" s="211"/>
      <c r="I989" s="211"/>
      <c r="J989" s="211"/>
      <c r="K989" s="211"/>
      <c r="L989" s="211"/>
      <c r="M989" s="211"/>
      <c r="N989" s="211"/>
      <c r="O989" s="211"/>
      <c r="P989" s="211"/>
      <c r="Q989" s="211"/>
    </row>
    <row r="990" spans="1:17" x14ac:dyDescent="0.25">
      <c r="A990" s="211"/>
      <c r="B990" s="211"/>
      <c r="C990" s="211"/>
      <c r="D990" s="211"/>
      <c r="E990" s="211"/>
      <c r="F990" s="211"/>
      <c r="G990" s="211"/>
      <c r="H990" s="211"/>
      <c r="I990" s="211"/>
      <c r="J990" s="211"/>
      <c r="K990" s="211"/>
      <c r="L990" s="211"/>
      <c r="M990" s="211"/>
      <c r="N990" s="211"/>
      <c r="O990" s="211"/>
      <c r="P990" s="211"/>
      <c r="Q990" s="211"/>
    </row>
    <row r="991" spans="1:17" x14ac:dyDescent="0.25">
      <c r="A991" s="211"/>
      <c r="B991" s="211"/>
      <c r="C991" s="211"/>
      <c r="D991" s="211"/>
      <c r="E991" s="211"/>
      <c r="F991" s="211"/>
      <c r="G991" s="211"/>
      <c r="H991" s="211"/>
      <c r="I991" s="211"/>
      <c r="J991" s="211"/>
      <c r="K991" s="211"/>
      <c r="L991" s="211"/>
      <c r="M991" s="211"/>
      <c r="N991" s="211"/>
      <c r="O991" s="211"/>
      <c r="P991" s="211"/>
      <c r="Q991" s="211"/>
    </row>
    <row r="992" spans="1:17" ht="13" x14ac:dyDescent="0.3">
      <c r="A992" s="223"/>
      <c r="B992" s="223"/>
      <c r="C992" s="223"/>
      <c r="D992" s="223"/>
      <c r="E992" s="223"/>
      <c r="F992" s="223"/>
      <c r="G992" s="223"/>
      <c r="H992" s="223"/>
      <c r="I992" s="223"/>
      <c r="J992" s="223"/>
      <c r="K992" s="223"/>
      <c r="L992" s="223"/>
      <c r="M992" s="223"/>
      <c r="N992" s="223"/>
      <c r="O992" s="223"/>
      <c r="P992" s="223"/>
      <c r="Q992" s="223"/>
    </row>
    <row r="993" spans="1:17" x14ac:dyDescent="0.25">
      <c r="A993" s="211"/>
      <c r="B993" s="211"/>
      <c r="C993" s="211"/>
      <c r="D993" s="211"/>
      <c r="E993" s="211"/>
      <c r="F993" s="211"/>
      <c r="G993" s="211"/>
      <c r="H993" s="211"/>
      <c r="I993" s="211"/>
      <c r="J993" s="211"/>
      <c r="K993" s="211"/>
      <c r="L993" s="211"/>
      <c r="M993" s="211"/>
      <c r="N993" s="211"/>
      <c r="O993" s="211"/>
      <c r="P993" s="211"/>
      <c r="Q993" s="211"/>
    </row>
    <row r="995" spans="1:17" x14ac:dyDescent="0.25">
      <c r="A995" s="211"/>
      <c r="B995" s="211"/>
      <c r="C995" s="211"/>
      <c r="D995" s="211"/>
      <c r="E995" s="211"/>
      <c r="F995" s="211"/>
      <c r="G995" s="211"/>
      <c r="H995" s="211"/>
      <c r="I995" s="211"/>
      <c r="J995" s="211"/>
      <c r="K995" s="211"/>
      <c r="L995" s="211"/>
      <c r="M995" s="211"/>
      <c r="N995" s="211"/>
      <c r="O995" s="211"/>
      <c r="P995" s="211"/>
      <c r="Q995" s="211"/>
    </row>
    <row r="997" spans="1:17" x14ac:dyDescent="0.25"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1:17" x14ac:dyDescent="0.25">
      <c r="D998" s="13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13"/>
    </row>
    <row r="1012" spans="5:16" x14ac:dyDescent="0.25">
      <c r="E1012" s="201"/>
      <c r="F1012" s="201"/>
      <c r="G1012" s="201"/>
      <c r="H1012" s="201"/>
      <c r="I1012" s="201"/>
      <c r="J1012" s="201"/>
      <c r="K1012" s="201"/>
      <c r="L1012" s="201"/>
      <c r="M1012" s="201"/>
      <c r="N1012" s="201"/>
      <c r="O1012" s="201"/>
      <c r="P1012" s="201"/>
    </row>
    <row r="1015" spans="5:16" x14ac:dyDescent="0.25">
      <c r="F1015" s="201"/>
      <c r="G1015" s="201"/>
      <c r="H1015" s="201"/>
      <c r="I1015" s="201"/>
      <c r="J1015" s="201"/>
      <c r="K1015" s="201"/>
      <c r="L1015" s="201"/>
      <c r="M1015" s="201"/>
      <c r="N1015" s="201"/>
      <c r="O1015" s="201"/>
      <c r="P1015" s="201"/>
    </row>
    <row r="1021" spans="5:16" x14ac:dyDescent="0.25">
      <c r="E1021" s="202"/>
      <c r="F1021" s="202"/>
      <c r="G1021" s="202"/>
      <c r="H1021" s="202"/>
      <c r="I1021" s="202"/>
      <c r="J1021" s="202"/>
      <c r="K1021" s="202"/>
      <c r="L1021" s="202"/>
      <c r="M1021" s="202"/>
      <c r="N1021" s="202"/>
      <c r="O1021" s="202"/>
      <c r="P1021" s="202"/>
    </row>
    <row r="1022" spans="5:16" x14ac:dyDescent="0.25">
      <c r="E1022" s="202"/>
      <c r="F1022" s="202"/>
      <c r="G1022" s="202"/>
      <c r="H1022" s="202"/>
      <c r="I1022" s="202"/>
      <c r="J1022" s="202"/>
      <c r="K1022" s="202"/>
      <c r="L1022" s="202"/>
      <c r="M1022" s="202"/>
      <c r="N1022" s="202"/>
      <c r="O1022" s="202"/>
      <c r="P1022" s="202"/>
    </row>
    <row r="1027" spans="1:17" x14ac:dyDescent="0.25">
      <c r="E1027" s="20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</row>
    <row r="1028" spans="1:17" x14ac:dyDescent="0.25"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</row>
    <row r="1029" spans="1:17" x14ac:dyDescent="0.25"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</row>
    <row r="1038" spans="1:17" x14ac:dyDescent="0.25">
      <c r="A1038" s="211"/>
      <c r="B1038" s="211"/>
      <c r="C1038" s="211"/>
      <c r="D1038" s="211"/>
      <c r="E1038" s="211"/>
      <c r="F1038" s="211"/>
      <c r="G1038" s="211"/>
      <c r="H1038" s="211"/>
      <c r="I1038" s="211"/>
      <c r="J1038" s="211"/>
      <c r="K1038" s="211"/>
      <c r="L1038" s="211"/>
      <c r="M1038" s="211"/>
      <c r="N1038" s="211"/>
      <c r="O1038" s="211"/>
      <c r="P1038" s="211"/>
      <c r="Q1038" s="211"/>
    </row>
    <row r="1039" spans="1:17" x14ac:dyDescent="0.25">
      <c r="A1039" s="211"/>
      <c r="B1039" s="211"/>
      <c r="C1039" s="211"/>
      <c r="D1039" s="211"/>
      <c r="E1039" s="211"/>
      <c r="F1039" s="211"/>
      <c r="G1039" s="211"/>
      <c r="H1039" s="211"/>
      <c r="I1039" s="211"/>
      <c r="J1039" s="211"/>
      <c r="K1039" s="211"/>
      <c r="L1039" s="211"/>
      <c r="M1039" s="211"/>
      <c r="N1039" s="211"/>
      <c r="O1039" s="211"/>
      <c r="P1039" s="211"/>
      <c r="Q1039" s="211"/>
    </row>
    <row r="1040" spans="1:17" x14ac:dyDescent="0.25">
      <c r="A1040" s="211"/>
      <c r="B1040" s="211"/>
      <c r="C1040" s="211"/>
      <c r="D1040" s="211"/>
      <c r="E1040" s="211"/>
      <c r="F1040" s="211"/>
      <c r="G1040" s="211"/>
      <c r="H1040" s="211"/>
      <c r="I1040" s="211"/>
      <c r="J1040" s="211"/>
      <c r="K1040" s="211"/>
      <c r="L1040" s="211"/>
      <c r="M1040" s="211"/>
      <c r="N1040" s="211"/>
      <c r="O1040" s="211"/>
      <c r="P1040" s="211"/>
      <c r="Q1040" s="211"/>
    </row>
    <row r="1041" spans="1:17" ht="13" x14ac:dyDescent="0.3">
      <c r="A1041" s="223"/>
      <c r="B1041" s="223"/>
      <c r="C1041" s="223"/>
      <c r="D1041" s="223"/>
      <c r="E1041" s="223"/>
      <c r="F1041" s="223"/>
      <c r="G1041" s="223"/>
      <c r="H1041" s="223"/>
      <c r="I1041" s="223"/>
      <c r="J1041" s="223"/>
      <c r="K1041" s="223"/>
      <c r="L1041" s="223"/>
      <c r="M1041" s="223"/>
      <c r="N1041" s="223"/>
      <c r="O1041" s="223"/>
      <c r="P1041" s="223"/>
      <c r="Q1041" s="223"/>
    </row>
    <row r="1042" spans="1:17" x14ac:dyDescent="0.25">
      <c r="A1042" s="211"/>
      <c r="B1042" s="211"/>
      <c r="C1042" s="211"/>
      <c r="D1042" s="211"/>
      <c r="E1042" s="211"/>
      <c r="F1042" s="211"/>
      <c r="G1042" s="211"/>
      <c r="H1042" s="211"/>
      <c r="I1042" s="211"/>
      <c r="J1042" s="211"/>
      <c r="K1042" s="211"/>
      <c r="L1042" s="211"/>
      <c r="M1042" s="211"/>
      <c r="N1042" s="211"/>
      <c r="O1042" s="211"/>
      <c r="P1042" s="211"/>
      <c r="Q1042" s="211"/>
    </row>
    <row r="1044" spans="1:17" x14ac:dyDescent="0.25">
      <c r="A1044" s="211"/>
      <c r="B1044" s="211"/>
      <c r="C1044" s="211"/>
      <c r="D1044" s="211"/>
      <c r="E1044" s="211"/>
      <c r="F1044" s="211"/>
      <c r="G1044" s="211"/>
      <c r="H1044" s="211"/>
      <c r="I1044" s="211"/>
      <c r="J1044" s="211"/>
      <c r="K1044" s="211"/>
      <c r="L1044" s="211"/>
      <c r="M1044" s="211"/>
      <c r="N1044" s="211"/>
      <c r="O1044" s="211"/>
      <c r="P1044" s="211"/>
      <c r="Q1044" s="211"/>
    </row>
    <row r="1046" spans="1:17" x14ac:dyDescent="0.25"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1:17" x14ac:dyDescent="0.25">
      <c r="D1047" s="13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13"/>
    </row>
    <row r="1061" spans="5:16" x14ac:dyDescent="0.25">
      <c r="E1061" s="201"/>
      <c r="F1061" s="201"/>
      <c r="G1061" s="201"/>
      <c r="H1061" s="201"/>
      <c r="I1061" s="201"/>
      <c r="J1061" s="201"/>
      <c r="K1061" s="201"/>
      <c r="L1061" s="201"/>
      <c r="M1061" s="201"/>
      <c r="N1061" s="201"/>
      <c r="O1061" s="201"/>
      <c r="P1061" s="201"/>
    </row>
    <row r="1064" spans="5:16" x14ac:dyDescent="0.25">
      <c r="F1064" s="201"/>
      <c r="G1064" s="201"/>
      <c r="H1064" s="201"/>
      <c r="I1064" s="201"/>
      <c r="J1064" s="201"/>
      <c r="K1064" s="201"/>
      <c r="L1064" s="201"/>
      <c r="M1064" s="201"/>
      <c r="N1064" s="201"/>
      <c r="O1064" s="201"/>
      <c r="P1064" s="201"/>
    </row>
    <row r="1070" spans="5:16" x14ac:dyDescent="0.25">
      <c r="E1070" s="202"/>
      <c r="F1070" s="202"/>
      <c r="G1070" s="202"/>
      <c r="H1070" s="202"/>
      <c r="I1070" s="202"/>
      <c r="J1070" s="202"/>
      <c r="K1070" s="202"/>
      <c r="L1070" s="202"/>
      <c r="M1070" s="202"/>
      <c r="N1070" s="202"/>
      <c r="O1070" s="202"/>
      <c r="P1070" s="202"/>
    </row>
    <row r="1071" spans="5:16" x14ac:dyDescent="0.25">
      <c r="E1071" s="202"/>
      <c r="F1071" s="202"/>
      <c r="G1071" s="202"/>
      <c r="H1071" s="202"/>
      <c r="I1071" s="202"/>
      <c r="J1071" s="202"/>
      <c r="K1071" s="202"/>
      <c r="L1071" s="202"/>
      <c r="M1071" s="202"/>
      <c r="N1071" s="202"/>
      <c r="O1071" s="202"/>
      <c r="P1071" s="202"/>
    </row>
    <row r="1076" spans="1:17" x14ac:dyDescent="0.25">
      <c r="E1076" s="203"/>
      <c r="F1076" s="203"/>
      <c r="G1076" s="203"/>
      <c r="H1076" s="203"/>
      <c r="I1076" s="203"/>
      <c r="J1076" s="203"/>
      <c r="K1076" s="203"/>
      <c r="L1076" s="203"/>
      <c r="M1076" s="203"/>
      <c r="N1076" s="203"/>
      <c r="O1076" s="203"/>
      <c r="P1076" s="203"/>
    </row>
    <row r="1077" spans="1:17" x14ac:dyDescent="0.25">
      <c r="E1077" s="203"/>
      <c r="F1077" s="203"/>
      <c r="G1077" s="203"/>
      <c r="H1077" s="203"/>
      <c r="I1077" s="203"/>
      <c r="J1077" s="203"/>
      <c r="K1077" s="203"/>
      <c r="L1077" s="203"/>
      <c r="M1077" s="203"/>
      <c r="N1077" s="203"/>
      <c r="O1077" s="203"/>
      <c r="P1077" s="203"/>
    </row>
    <row r="1078" spans="1:17" x14ac:dyDescent="0.25">
      <c r="E1078" s="203"/>
      <c r="F1078" s="203"/>
      <c r="G1078" s="203"/>
      <c r="H1078" s="203"/>
      <c r="I1078" s="203"/>
      <c r="J1078" s="203"/>
      <c r="K1078" s="203"/>
      <c r="L1078" s="203"/>
      <c r="M1078" s="203"/>
      <c r="N1078" s="203"/>
      <c r="O1078" s="203"/>
      <c r="P1078" s="203"/>
    </row>
    <row r="1087" spans="1:17" x14ac:dyDescent="0.25">
      <c r="A1087" s="211"/>
      <c r="B1087" s="211"/>
      <c r="C1087" s="211"/>
      <c r="D1087" s="211"/>
      <c r="E1087" s="211"/>
      <c r="F1087" s="211"/>
      <c r="G1087" s="211"/>
      <c r="H1087" s="211"/>
      <c r="I1087" s="211"/>
      <c r="J1087" s="211"/>
      <c r="K1087" s="211"/>
      <c r="L1087" s="211"/>
      <c r="M1087" s="211"/>
      <c r="N1087" s="211"/>
      <c r="O1087" s="211"/>
      <c r="P1087" s="211"/>
      <c r="Q1087" s="211"/>
    </row>
    <row r="1088" spans="1:17" x14ac:dyDescent="0.25">
      <c r="A1088" s="211"/>
      <c r="B1088" s="211"/>
      <c r="C1088" s="211"/>
      <c r="D1088" s="211"/>
      <c r="E1088" s="211"/>
      <c r="F1088" s="211"/>
      <c r="G1088" s="211"/>
      <c r="H1088" s="211"/>
      <c r="I1088" s="211"/>
      <c r="J1088" s="211"/>
      <c r="K1088" s="211"/>
      <c r="L1088" s="211"/>
      <c r="M1088" s="211"/>
      <c r="N1088" s="211"/>
      <c r="O1088" s="211"/>
      <c r="P1088" s="211"/>
      <c r="Q1088" s="211"/>
    </row>
    <row r="1089" spans="1:17" x14ac:dyDescent="0.25">
      <c r="A1089" s="211"/>
      <c r="B1089" s="211"/>
      <c r="C1089" s="211"/>
      <c r="D1089" s="211"/>
      <c r="E1089" s="211"/>
      <c r="F1089" s="211"/>
      <c r="G1089" s="211"/>
      <c r="H1089" s="211"/>
      <c r="I1089" s="211"/>
      <c r="J1089" s="211"/>
      <c r="K1089" s="211"/>
      <c r="L1089" s="211"/>
      <c r="M1089" s="211"/>
      <c r="N1089" s="211"/>
      <c r="O1089" s="211"/>
      <c r="P1089" s="211"/>
      <c r="Q1089" s="211"/>
    </row>
    <row r="1090" spans="1:17" ht="13" x14ac:dyDescent="0.3">
      <c r="A1090" s="223"/>
      <c r="B1090" s="223"/>
      <c r="C1090" s="223"/>
      <c r="D1090" s="223"/>
      <c r="E1090" s="223"/>
      <c r="F1090" s="223"/>
      <c r="G1090" s="223"/>
      <c r="H1090" s="223"/>
      <c r="I1090" s="223"/>
      <c r="J1090" s="223"/>
      <c r="K1090" s="223"/>
      <c r="L1090" s="223"/>
      <c r="M1090" s="223"/>
      <c r="N1090" s="223"/>
      <c r="O1090" s="223"/>
      <c r="P1090" s="223"/>
      <c r="Q1090" s="223"/>
    </row>
    <row r="1091" spans="1:17" x14ac:dyDescent="0.25">
      <c r="A1091" s="211"/>
      <c r="B1091" s="211"/>
      <c r="C1091" s="211"/>
      <c r="D1091" s="211"/>
      <c r="E1091" s="211"/>
      <c r="F1091" s="211"/>
      <c r="G1091" s="211"/>
      <c r="H1091" s="211"/>
      <c r="I1091" s="211"/>
      <c r="J1091" s="211"/>
      <c r="K1091" s="211"/>
      <c r="L1091" s="211"/>
      <c r="M1091" s="211"/>
      <c r="N1091" s="211"/>
      <c r="O1091" s="211"/>
      <c r="P1091" s="211"/>
      <c r="Q1091" s="211"/>
    </row>
    <row r="1093" spans="1:17" x14ac:dyDescent="0.25">
      <c r="A1093" s="211"/>
      <c r="B1093" s="211"/>
      <c r="C1093" s="211"/>
      <c r="D1093" s="211"/>
      <c r="E1093" s="211"/>
      <c r="F1093" s="211"/>
      <c r="G1093" s="211"/>
      <c r="H1093" s="211"/>
      <c r="I1093" s="211"/>
      <c r="J1093" s="211"/>
      <c r="K1093" s="211"/>
      <c r="L1093" s="211"/>
      <c r="M1093" s="211"/>
      <c r="N1093" s="211"/>
      <c r="O1093" s="211"/>
      <c r="P1093" s="211"/>
      <c r="Q1093" s="211"/>
    </row>
    <row r="1095" spans="1:17" x14ac:dyDescent="0.25"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</row>
    <row r="1096" spans="1:17" x14ac:dyDescent="0.25">
      <c r="D1096" s="13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110" spans="5:16" x14ac:dyDescent="0.25">
      <c r="E1110" s="201"/>
      <c r="F1110" s="201"/>
      <c r="G1110" s="201"/>
      <c r="H1110" s="201"/>
      <c r="I1110" s="201"/>
      <c r="J1110" s="201"/>
      <c r="K1110" s="201"/>
      <c r="L1110" s="201"/>
      <c r="M1110" s="201"/>
      <c r="N1110" s="201"/>
      <c r="O1110" s="201"/>
      <c r="P1110" s="201"/>
    </row>
    <row r="1113" spans="5:16" x14ac:dyDescent="0.25">
      <c r="F1113" s="201"/>
      <c r="G1113" s="201"/>
      <c r="H1113" s="201"/>
      <c r="I1113" s="201"/>
      <c r="J1113" s="201"/>
      <c r="K1113" s="201"/>
      <c r="L1113" s="201"/>
      <c r="M1113" s="201"/>
      <c r="N1113" s="201"/>
      <c r="O1113" s="201"/>
      <c r="P1113" s="201"/>
    </row>
    <row r="1119" spans="5:16" x14ac:dyDescent="0.25">
      <c r="E1119" s="202"/>
      <c r="F1119" s="202"/>
      <c r="G1119" s="202"/>
      <c r="H1119" s="202"/>
      <c r="I1119" s="202"/>
      <c r="J1119" s="202"/>
      <c r="K1119" s="202"/>
      <c r="L1119" s="202"/>
      <c r="M1119" s="202"/>
      <c r="N1119" s="202"/>
      <c r="O1119" s="202"/>
      <c r="P1119" s="202"/>
    </row>
    <row r="1120" spans="5:16" x14ac:dyDescent="0.25">
      <c r="E1120" s="202"/>
      <c r="F1120" s="202"/>
      <c r="G1120" s="202"/>
      <c r="H1120" s="202"/>
      <c r="I1120" s="202"/>
      <c r="J1120" s="202"/>
      <c r="K1120" s="202"/>
      <c r="L1120" s="202"/>
      <c r="M1120" s="202"/>
      <c r="N1120" s="202"/>
      <c r="O1120" s="202"/>
      <c r="P1120" s="202"/>
    </row>
    <row r="1125" spans="1:17" x14ac:dyDescent="0.25">
      <c r="E1125" s="203"/>
      <c r="F1125" s="203"/>
      <c r="G1125" s="203"/>
      <c r="H1125" s="203"/>
      <c r="I1125" s="203"/>
      <c r="J1125" s="203"/>
      <c r="K1125" s="203"/>
      <c r="L1125" s="203"/>
      <c r="M1125" s="203"/>
      <c r="N1125" s="203"/>
      <c r="O1125" s="203"/>
      <c r="P1125" s="203"/>
    </row>
    <row r="1126" spans="1:17" x14ac:dyDescent="0.25">
      <c r="E1126" s="203"/>
      <c r="F1126" s="203"/>
      <c r="G1126" s="203"/>
      <c r="H1126" s="203"/>
      <c r="I1126" s="203"/>
      <c r="J1126" s="203"/>
      <c r="K1126" s="203"/>
      <c r="L1126" s="203"/>
      <c r="M1126" s="203"/>
      <c r="N1126" s="203"/>
      <c r="O1126" s="203"/>
      <c r="P1126" s="203"/>
    </row>
    <row r="1127" spans="1:17" x14ac:dyDescent="0.25">
      <c r="E1127" s="203"/>
      <c r="F1127" s="203"/>
      <c r="G1127" s="203"/>
      <c r="H1127" s="203"/>
      <c r="I1127" s="203"/>
      <c r="J1127" s="203"/>
      <c r="K1127" s="203"/>
      <c r="L1127" s="203"/>
      <c r="M1127" s="203"/>
      <c r="N1127" s="203"/>
      <c r="O1127" s="203"/>
      <c r="P1127" s="203"/>
    </row>
    <row r="1136" spans="1:17" x14ac:dyDescent="0.25">
      <c r="A1136" s="211"/>
      <c r="B1136" s="211"/>
      <c r="C1136" s="211"/>
      <c r="D1136" s="211"/>
      <c r="E1136" s="211"/>
      <c r="F1136" s="211"/>
      <c r="G1136" s="211"/>
      <c r="H1136" s="211"/>
      <c r="I1136" s="211"/>
      <c r="J1136" s="211"/>
      <c r="K1136" s="211"/>
      <c r="L1136" s="211"/>
      <c r="M1136" s="211"/>
      <c r="N1136" s="211"/>
      <c r="O1136" s="211"/>
      <c r="P1136" s="211"/>
      <c r="Q1136" s="211"/>
    </row>
    <row r="1137" spans="1:17" x14ac:dyDescent="0.25">
      <c r="A1137" s="211"/>
      <c r="B1137" s="211"/>
      <c r="C1137" s="211"/>
      <c r="D1137" s="211"/>
      <c r="E1137" s="211"/>
      <c r="F1137" s="211"/>
      <c r="G1137" s="211"/>
      <c r="H1137" s="211"/>
      <c r="I1137" s="211"/>
      <c r="J1137" s="211"/>
      <c r="K1137" s="211"/>
      <c r="L1137" s="211"/>
      <c r="M1137" s="211"/>
      <c r="N1137" s="211"/>
      <c r="O1137" s="211"/>
      <c r="P1137" s="211"/>
      <c r="Q1137" s="211"/>
    </row>
    <row r="1138" spans="1:17" x14ac:dyDescent="0.25">
      <c r="A1138" s="211"/>
      <c r="B1138" s="211"/>
      <c r="C1138" s="211"/>
      <c r="D1138" s="211"/>
      <c r="E1138" s="211"/>
      <c r="F1138" s="211"/>
      <c r="G1138" s="211"/>
      <c r="H1138" s="211"/>
      <c r="I1138" s="211"/>
      <c r="J1138" s="211"/>
      <c r="K1138" s="211"/>
      <c r="L1138" s="211"/>
      <c r="M1138" s="211"/>
      <c r="N1138" s="211"/>
      <c r="O1138" s="211"/>
      <c r="P1138" s="211"/>
      <c r="Q1138" s="211"/>
    </row>
    <row r="1139" spans="1:17" ht="13" x14ac:dyDescent="0.3">
      <c r="A1139" s="223"/>
      <c r="B1139" s="223"/>
      <c r="C1139" s="223"/>
      <c r="D1139" s="223"/>
      <c r="E1139" s="223"/>
      <c r="F1139" s="223"/>
      <c r="G1139" s="223"/>
      <c r="H1139" s="223"/>
      <c r="I1139" s="223"/>
      <c r="J1139" s="223"/>
      <c r="K1139" s="223"/>
      <c r="L1139" s="223"/>
      <c r="M1139" s="223"/>
      <c r="N1139" s="223"/>
      <c r="O1139" s="223"/>
      <c r="P1139" s="223"/>
      <c r="Q1139" s="223"/>
    </row>
    <row r="1140" spans="1:17" x14ac:dyDescent="0.25">
      <c r="A1140" s="211"/>
      <c r="B1140" s="211"/>
      <c r="C1140" s="211"/>
      <c r="D1140" s="211"/>
      <c r="E1140" s="211"/>
      <c r="F1140" s="211"/>
      <c r="G1140" s="211"/>
      <c r="H1140" s="211"/>
      <c r="I1140" s="211"/>
      <c r="J1140" s="211"/>
      <c r="K1140" s="211"/>
      <c r="L1140" s="211"/>
      <c r="M1140" s="211"/>
      <c r="N1140" s="211"/>
      <c r="O1140" s="211"/>
      <c r="P1140" s="211"/>
      <c r="Q1140" s="211"/>
    </row>
    <row r="1142" spans="1:17" x14ac:dyDescent="0.25">
      <c r="A1142" s="211"/>
      <c r="B1142" s="211"/>
      <c r="C1142" s="211"/>
      <c r="D1142" s="211"/>
      <c r="E1142" s="211"/>
      <c r="F1142" s="211"/>
      <c r="G1142" s="211"/>
      <c r="H1142" s="211"/>
      <c r="I1142" s="211"/>
      <c r="J1142" s="211"/>
      <c r="K1142" s="211"/>
      <c r="L1142" s="211"/>
      <c r="M1142" s="211"/>
      <c r="N1142" s="211"/>
      <c r="O1142" s="211"/>
      <c r="P1142" s="211"/>
      <c r="Q1142" s="211"/>
    </row>
    <row r="1144" spans="1:17" x14ac:dyDescent="0.25"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</row>
    <row r="1145" spans="1:17" x14ac:dyDescent="0.25">
      <c r="D1145" s="13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59" spans="5:16" x14ac:dyDescent="0.25">
      <c r="E1159" s="201"/>
      <c r="F1159" s="201"/>
      <c r="G1159" s="201"/>
      <c r="H1159" s="201"/>
      <c r="I1159" s="201"/>
      <c r="J1159" s="201"/>
      <c r="K1159" s="201"/>
      <c r="L1159" s="201"/>
      <c r="M1159" s="201"/>
      <c r="N1159" s="201"/>
      <c r="O1159" s="201"/>
      <c r="P1159" s="201"/>
    </row>
    <row r="1162" spans="5:16" x14ac:dyDescent="0.25">
      <c r="F1162" s="201"/>
      <c r="G1162" s="201"/>
      <c r="H1162" s="201"/>
      <c r="I1162" s="201"/>
      <c r="J1162" s="201"/>
      <c r="K1162" s="201"/>
      <c r="L1162" s="201"/>
      <c r="M1162" s="201"/>
      <c r="N1162" s="201"/>
      <c r="O1162" s="201"/>
      <c r="P1162" s="201"/>
    </row>
    <row r="1168" spans="5:16" x14ac:dyDescent="0.25">
      <c r="E1168" s="202"/>
      <c r="F1168" s="202"/>
      <c r="G1168" s="202"/>
      <c r="H1168" s="202"/>
      <c r="I1168" s="202"/>
      <c r="J1168" s="202"/>
      <c r="K1168" s="202"/>
      <c r="L1168" s="202"/>
      <c r="M1168" s="202"/>
      <c r="N1168" s="202"/>
      <c r="O1168" s="202"/>
      <c r="P1168" s="202"/>
    </row>
    <row r="1169" spans="5:16" x14ac:dyDescent="0.25">
      <c r="E1169" s="202"/>
      <c r="F1169" s="202"/>
      <c r="G1169" s="202"/>
      <c r="H1169" s="202"/>
      <c r="I1169" s="202"/>
      <c r="J1169" s="202"/>
      <c r="K1169" s="202"/>
      <c r="L1169" s="202"/>
      <c r="M1169" s="202"/>
      <c r="N1169" s="202"/>
      <c r="O1169" s="202"/>
      <c r="P1169" s="202"/>
    </row>
    <row r="1174" spans="5:16" x14ac:dyDescent="0.25">
      <c r="E1174" s="203"/>
      <c r="F1174" s="203"/>
      <c r="G1174" s="203"/>
      <c r="H1174" s="203"/>
      <c r="I1174" s="203"/>
      <c r="J1174" s="203"/>
      <c r="K1174" s="203"/>
      <c r="L1174" s="203"/>
      <c r="M1174" s="203"/>
      <c r="N1174" s="203"/>
      <c r="O1174" s="203"/>
      <c r="P1174" s="203"/>
    </row>
    <row r="1175" spans="5:16" x14ac:dyDescent="0.25">
      <c r="E1175" s="203"/>
      <c r="F1175" s="203"/>
      <c r="G1175" s="203"/>
      <c r="H1175" s="203"/>
      <c r="I1175" s="203"/>
      <c r="J1175" s="203"/>
      <c r="K1175" s="203"/>
      <c r="L1175" s="203"/>
      <c r="M1175" s="203"/>
      <c r="N1175" s="203"/>
      <c r="O1175" s="203"/>
      <c r="P1175" s="203"/>
    </row>
    <row r="1176" spans="5:16" x14ac:dyDescent="0.25">
      <c r="E1176" s="203"/>
      <c r="F1176" s="203"/>
      <c r="G1176" s="203"/>
      <c r="H1176" s="203"/>
      <c r="I1176" s="203"/>
      <c r="J1176" s="203"/>
      <c r="K1176" s="203"/>
      <c r="L1176" s="203"/>
      <c r="M1176" s="203"/>
      <c r="N1176" s="203"/>
      <c r="O1176" s="203"/>
      <c r="P1176" s="203"/>
    </row>
    <row r="1184" spans="5:16" ht="16.899999999999999" customHeight="1" x14ac:dyDescent="0.25"/>
    <row r="1185" spans="1:17" x14ac:dyDescent="0.25">
      <c r="A1185" s="211"/>
      <c r="B1185" s="211"/>
      <c r="C1185" s="211"/>
      <c r="D1185" s="211"/>
      <c r="E1185" s="211"/>
      <c r="F1185" s="211"/>
      <c r="G1185" s="211"/>
      <c r="H1185" s="211"/>
      <c r="I1185" s="211"/>
      <c r="J1185" s="211"/>
      <c r="K1185" s="211"/>
      <c r="L1185" s="211"/>
      <c r="M1185" s="211"/>
      <c r="N1185" s="211"/>
      <c r="O1185" s="211"/>
      <c r="P1185" s="211"/>
      <c r="Q1185" s="211"/>
    </row>
    <row r="1186" spans="1:17" x14ac:dyDescent="0.25">
      <c r="A1186" s="211"/>
      <c r="B1186" s="211"/>
      <c r="C1186" s="211"/>
      <c r="D1186" s="211"/>
      <c r="E1186" s="211"/>
      <c r="F1186" s="211"/>
      <c r="G1186" s="211"/>
      <c r="H1186" s="211"/>
      <c r="I1186" s="211"/>
      <c r="J1186" s="211"/>
      <c r="K1186" s="211"/>
      <c r="L1186" s="211"/>
      <c r="M1186" s="211"/>
      <c r="N1186" s="211"/>
      <c r="O1186" s="211"/>
      <c r="P1186" s="211"/>
      <c r="Q1186" s="211"/>
    </row>
    <row r="1187" spans="1:17" x14ac:dyDescent="0.25">
      <c r="A1187" s="211"/>
      <c r="B1187" s="211"/>
      <c r="C1187" s="211"/>
      <c r="D1187" s="211"/>
      <c r="E1187" s="211"/>
      <c r="F1187" s="211"/>
      <c r="G1187" s="211"/>
      <c r="H1187" s="211"/>
      <c r="I1187" s="211"/>
      <c r="J1187" s="211"/>
      <c r="K1187" s="211"/>
      <c r="L1187" s="211"/>
      <c r="M1187" s="211"/>
      <c r="N1187" s="211"/>
      <c r="O1187" s="211"/>
      <c r="P1187" s="211"/>
      <c r="Q1187" s="211"/>
    </row>
    <row r="1188" spans="1:17" ht="13" x14ac:dyDescent="0.3">
      <c r="A1188" s="223"/>
      <c r="B1188" s="223"/>
      <c r="C1188" s="223"/>
      <c r="D1188" s="223"/>
      <c r="E1188" s="223"/>
      <c r="F1188" s="223"/>
      <c r="G1188" s="223"/>
      <c r="H1188" s="223"/>
      <c r="I1188" s="223"/>
      <c r="J1188" s="223"/>
      <c r="K1188" s="223"/>
      <c r="L1188" s="223"/>
      <c r="M1188" s="223"/>
      <c r="N1188" s="223"/>
      <c r="O1188" s="223"/>
      <c r="P1188" s="223"/>
      <c r="Q1188" s="223"/>
    </row>
    <row r="1189" spans="1:17" x14ac:dyDescent="0.25">
      <c r="A1189" s="211"/>
      <c r="B1189" s="211"/>
      <c r="C1189" s="211"/>
      <c r="D1189" s="211"/>
      <c r="E1189" s="211"/>
      <c r="F1189" s="211"/>
      <c r="G1189" s="211"/>
      <c r="H1189" s="211"/>
      <c r="I1189" s="211"/>
      <c r="J1189" s="211"/>
      <c r="K1189" s="211"/>
      <c r="L1189" s="211"/>
      <c r="M1189" s="211"/>
      <c r="N1189" s="211"/>
      <c r="O1189" s="211"/>
      <c r="P1189" s="211"/>
      <c r="Q1189" s="211"/>
    </row>
    <row r="1191" spans="1:17" x14ac:dyDescent="0.25">
      <c r="A1191" s="211"/>
      <c r="B1191" s="211"/>
      <c r="C1191" s="211"/>
      <c r="D1191" s="211"/>
      <c r="E1191" s="211"/>
      <c r="F1191" s="211"/>
      <c r="G1191" s="211"/>
      <c r="H1191" s="211"/>
      <c r="I1191" s="211"/>
      <c r="J1191" s="211"/>
      <c r="K1191" s="211"/>
      <c r="L1191" s="211"/>
      <c r="M1191" s="211"/>
      <c r="N1191" s="211"/>
      <c r="O1191" s="211"/>
      <c r="P1191" s="211"/>
      <c r="Q1191" s="211"/>
    </row>
    <row r="1193" spans="1:17" x14ac:dyDescent="0.25"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</row>
    <row r="1194" spans="1:17" x14ac:dyDescent="0.25">
      <c r="D1194" s="13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208" spans="5:16" x14ac:dyDescent="0.25">
      <c r="E1208" s="201"/>
      <c r="F1208" s="201"/>
      <c r="G1208" s="201"/>
      <c r="H1208" s="201"/>
      <c r="I1208" s="201"/>
      <c r="J1208" s="201"/>
      <c r="K1208" s="201"/>
      <c r="L1208" s="201"/>
      <c r="M1208" s="201"/>
      <c r="N1208" s="201"/>
      <c r="O1208" s="201"/>
      <c r="P1208" s="201"/>
    </row>
    <row r="1211" spans="5:16" x14ac:dyDescent="0.25">
      <c r="F1211" s="201"/>
      <c r="G1211" s="201"/>
      <c r="H1211" s="201"/>
      <c r="I1211" s="201"/>
      <c r="J1211" s="201"/>
      <c r="K1211" s="201"/>
      <c r="L1211" s="201"/>
      <c r="M1211" s="201"/>
      <c r="N1211" s="201"/>
      <c r="O1211" s="201"/>
      <c r="P1211" s="201"/>
    </row>
    <row r="1217" spans="5:16" x14ac:dyDescent="0.25">
      <c r="E1217" s="202"/>
      <c r="F1217" s="202"/>
      <c r="G1217" s="202"/>
      <c r="H1217" s="202"/>
      <c r="I1217" s="202"/>
      <c r="J1217" s="202"/>
      <c r="K1217" s="202"/>
      <c r="L1217" s="202"/>
      <c r="M1217" s="202"/>
      <c r="N1217" s="202"/>
      <c r="O1217" s="202"/>
      <c r="P1217" s="202"/>
    </row>
    <row r="1218" spans="5:16" x14ac:dyDescent="0.25">
      <c r="E1218" s="202"/>
      <c r="F1218" s="202"/>
      <c r="G1218" s="202"/>
      <c r="H1218" s="202"/>
      <c r="I1218" s="202"/>
      <c r="J1218" s="202"/>
      <c r="K1218" s="202"/>
      <c r="L1218" s="202"/>
      <c r="M1218" s="202"/>
      <c r="N1218" s="202"/>
      <c r="O1218" s="202"/>
      <c r="P1218" s="202"/>
    </row>
    <row r="1223" spans="5:16" x14ac:dyDescent="0.25">
      <c r="E1223" s="203"/>
      <c r="F1223" s="203"/>
      <c r="G1223" s="203"/>
      <c r="H1223" s="203"/>
      <c r="I1223" s="203"/>
      <c r="J1223" s="203"/>
      <c r="K1223" s="203"/>
      <c r="L1223" s="203"/>
      <c r="M1223" s="203"/>
      <c r="N1223" s="203"/>
      <c r="O1223" s="203"/>
      <c r="P1223" s="203"/>
    </row>
    <row r="1224" spans="5:16" x14ac:dyDescent="0.25">
      <c r="E1224" s="203"/>
      <c r="F1224" s="203"/>
      <c r="G1224" s="203"/>
      <c r="H1224" s="203"/>
      <c r="I1224" s="203"/>
      <c r="J1224" s="203"/>
      <c r="K1224" s="203"/>
      <c r="L1224" s="203"/>
      <c r="M1224" s="203"/>
      <c r="N1224" s="203"/>
      <c r="O1224" s="203"/>
      <c r="P1224" s="203"/>
    </row>
    <row r="1225" spans="5:16" x14ac:dyDescent="0.25">
      <c r="E1225" s="203"/>
      <c r="F1225" s="203"/>
      <c r="G1225" s="203"/>
      <c r="H1225" s="203"/>
      <c r="I1225" s="203"/>
      <c r="J1225" s="203"/>
      <c r="K1225" s="203"/>
      <c r="L1225" s="203"/>
      <c r="M1225" s="203"/>
      <c r="N1225" s="203"/>
      <c r="O1225" s="203"/>
      <c r="P1225" s="203"/>
    </row>
    <row r="1234" spans="1:17" x14ac:dyDescent="0.25">
      <c r="A1234" s="211"/>
      <c r="B1234" s="211"/>
      <c r="C1234" s="211"/>
      <c r="D1234" s="211"/>
      <c r="E1234" s="211"/>
      <c r="F1234" s="211"/>
      <c r="G1234" s="211"/>
      <c r="H1234" s="211"/>
      <c r="I1234" s="211"/>
      <c r="J1234" s="211"/>
      <c r="K1234" s="211"/>
      <c r="L1234" s="211"/>
      <c r="M1234" s="211"/>
      <c r="N1234" s="211"/>
      <c r="O1234" s="211"/>
      <c r="P1234" s="211"/>
      <c r="Q1234" s="211"/>
    </row>
    <row r="1235" spans="1:17" x14ac:dyDescent="0.25">
      <c r="A1235" s="211"/>
      <c r="B1235" s="211"/>
      <c r="C1235" s="211"/>
      <c r="D1235" s="211"/>
      <c r="E1235" s="211"/>
      <c r="F1235" s="211"/>
      <c r="G1235" s="211"/>
      <c r="H1235" s="211"/>
      <c r="I1235" s="211"/>
      <c r="J1235" s="211"/>
      <c r="K1235" s="211"/>
      <c r="L1235" s="211"/>
      <c r="M1235" s="211"/>
      <c r="N1235" s="211"/>
      <c r="O1235" s="211"/>
      <c r="P1235" s="211"/>
      <c r="Q1235" s="211"/>
    </row>
    <row r="1236" spans="1:17" x14ac:dyDescent="0.25">
      <c r="A1236" s="211"/>
      <c r="B1236" s="211"/>
      <c r="C1236" s="211"/>
      <c r="D1236" s="211"/>
      <c r="E1236" s="211"/>
      <c r="F1236" s="211"/>
      <c r="G1236" s="211"/>
      <c r="H1236" s="211"/>
      <c r="I1236" s="211"/>
      <c r="J1236" s="211"/>
      <c r="K1236" s="211"/>
      <c r="L1236" s="211"/>
      <c r="M1236" s="211"/>
      <c r="N1236" s="211"/>
      <c r="O1236" s="211"/>
      <c r="P1236" s="211"/>
      <c r="Q1236" s="211"/>
    </row>
    <row r="1237" spans="1:17" ht="13" x14ac:dyDescent="0.3">
      <c r="A1237" s="223"/>
      <c r="B1237" s="223"/>
      <c r="C1237" s="223"/>
      <c r="D1237" s="223"/>
      <c r="E1237" s="223"/>
      <c r="F1237" s="223"/>
      <c r="G1237" s="223"/>
      <c r="H1237" s="223"/>
      <c r="I1237" s="223"/>
      <c r="J1237" s="223"/>
      <c r="K1237" s="223"/>
      <c r="L1237" s="223"/>
      <c r="M1237" s="223"/>
      <c r="N1237" s="223"/>
      <c r="O1237" s="223"/>
      <c r="P1237" s="223"/>
      <c r="Q1237" s="223"/>
    </row>
    <row r="1238" spans="1:17" x14ac:dyDescent="0.25">
      <c r="A1238" s="211"/>
      <c r="B1238" s="211"/>
      <c r="C1238" s="211"/>
      <c r="D1238" s="211"/>
      <c r="E1238" s="211"/>
      <c r="F1238" s="211"/>
      <c r="G1238" s="211"/>
      <c r="H1238" s="211"/>
      <c r="I1238" s="211"/>
      <c r="J1238" s="211"/>
      <c r="K1238" s="211"/>
      <c r="L1238" s="211"/>
      <c r="M1238" s="211"/>
      <c r="N1238" s="211"/>
      <c r="O1238" s="211"/>
      <c r="P1238" s="211"/>
      <c r="Q1238" s="211"/>
    </row>
    <row r="1240" spans="1:17" x14ac:dyDescent="0.25">
      <c r="A1240" s="211"/>
      <c r="B1240" s="211"/>
      <c r="C1240" s="211"/>
      <c r="D1240" s="211"/>
      <c r="E1240" s="211"/>
      <c r="F1240" s="211"/>
      <c r="G1240" s="211"/>
      <c r="H1240" s="211"/>
      <c r="I1240" s="211"/>
      <c r="J1240" s="211"/>
      <c r="K1240" s="211"/>
      <c r="L1240" s="211"/>
      <c r="M1240" s="211"/>
      <c r="N1240" s="211"/>
      <c r="O1240" s="211"/>
      <c r="P1240" s="211"/>
      <c r="Q1240" s="211"/>
    </row>
    <row r="1242" spans="1:17" x14ac:dyDescent="0.25"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</row>
    <row r="1243" spans="1:17" x14ac:dyDescent="0.25">
      <c r="D1243" s="13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57" spans="5:16" x14ac:dyDescent="0.25">
      <c r="E1257" s="201"/>
      <c r="F1257" s="201"/>
      <c r="G1257" s="201"/>
      <c r="H1257" s="201"/>
      <c r="I1257" s="201"/>
      <c r="J1257" s="201"/>
      <c r="K1257" s="201"/>
      <c r="L1257" s="201"/>
      <c r="M1257" s="201"/>
      <c r="N1257" s="201"/>
      <c r="O1257" s="201"/>
      <c r="P1257" s="201"/>
    </row>
    <row r="1260" spans="5:16" x14ac:dyDescent="0.25">
      <c r="F1260" s="201"/>
      <c r="G1260" s="201"/>
      <c r="H1260" s="201"/>
      <c r="I1260" s="201"/>
      <c r="J1260" s="201"/>
      <c r="K1260" s="201"/>
      <c r="L1260" s="201"/>
      <c r="M1260" s="201"/>
      <c r="N1260" s="201"/>
      <c r="O1260" s="201"/>
      <c r="P1260" s="201"/>
    </row>
    <row r="1266" spans="5:16" x14ac:dyDescent="0.25">
      <c r="E1266" s="202"/>
      <c r="F1266" s="202"/>
      <c r="G1266" s="202"/>
      <c r="H1266" s="202"/>
      <c r="I1266" s="202"/>
      <c r="J1266" s="202"/>
      <c r="K1266" s="202"/>
      <c r="L1266" s="202"/>
      <c r="M1266" s="202"/>
      <c r="N1266" s="202"/>
      <c r="O1266" s="202"/>
      <c r="P1266" s="202"/>
    </row>
    <row r="1267" spans="5:16" x14ac:dyDescent="0.25">
      <c r="E1267" s="202"/>
      <c r="F1267" s="202"/>
      <c r="G1267" s="202"/>
      <c r="H1267" s="202"/>
      <c r="I1267" s="202"/>
      <c r="J1267" s="202"/>
      <c r="K1267" s="202"/>
      <c r="L1267" s="202"/>
      <c r="M1267" s="202"/>
      <c r="N1267" s="202"/>
      <c r="O1267" s="202"/>
      <c r="P1267" s="202"/>
    </row>
    <row r="1272" spans="5:16" x14ac:dyDescent="0.25">
      <c r="E1272" s="203"/>
      <c r="F1272" s="203"/>
      <c r="G1272" s="203"/>
      <c r="H1272" s="203"/>
      <c r="I1272" s="203"/>
      <c r="J1272" s="203"/>
      <c r="K1272" s="203"/>
      <c r="L1272" s="203"/>
      <c r="M1272" s="203"/>
      <c r="N1272" s="203"/>
      <c r="O1272" s="203"/>
      <c r="P1272" s="203"/>
    </row>
    <row r="1273" spans="5:16" x14ac:dyDescent="0.25">
      <c r="E1273" s="203"/>
      <c r="F1273" s="203"/>
      <c r="G1273" s="203"/>
      <c r="H1273" s="203"/>
      <c r="I1273" s="203"/>
      <c r="J1273" s="203"/>
      <c r="K1273" s="203"/>
      <c r="L1273" s="203"/>
      <c r="M1273" s="203"/>
      <c r="N1273" s="203"/>
      <c r="O1273" s="203"/>
      <c r="P1273" s="203"/>
    </row>
    <row r="1274" spans="5:16" x14ac:dyDescent="0.25">
      <c r="E1274" s="203"/>
      <c r="F1274" s="203"/>
      <c r="G1274" s="203"/>
      <c r="H1274" s="203"/>
      <c r="I1274" s="203"/>
      <c r="J1274" s="203"/>
      <c r="K1274" s="203"/>
      <c r="L1274" s="203"/>
      <c r="M1274" s="203"/>
      <c r="N1274" s="203"/>
      <c r="O1274" s="203"/>
      <c r="P1274" s="203"/>
    </row>
    <row r="1283" spans="1:17" ht="13" x14ac:dyDescent="0.3">
      <c r="B1283" s="187"/>
      <c r="C1283" s="188"/>
      <c r="D1283" s="188"/>
      <c r="E1283" s="188"/>
      <c r="F1283" s="188"/>
      <c r="G1283" s="188"/>
      <c r="H1283" s="187"/>
      <c r="I1283" s="188"/>
    </row>
    <row r="1284" spans="1:17" x14ac:dyDescent="0.25">
      <c r="B1284" s="188"/>
      <c r="C1284" s="188"/>
      <c r="D1284" s="188"/>
      <c r="E1284" s="188"/>
      <c r="F1284" s="188"/>
      <c r="G1284" s="188"/>
      <c r="H1284" s="188"/>
      <c r="I1284" s="188"/>
    </row>
    <row r="1285" spans="1:17" x14ac:dyDescent="0.25">
      <c r="B1285" s="188"/>
      <c r="C1285" s="188"/>
      <c r="D1285" s="188"/>
      <c r="E1285" s="188"/>
      <c r="F1285" s="188"/>
      <c r="G1285" s="188"/>
      <c r="H1285" s="188"/>
      <c r="I1285" s="188"/>
    </row>
    <row r="1286" spans="1:17" ht="13" x14ac:dyDescent="0.3">
      <c r="B1286" s="186"/>
      <c r="C1286" s="188"/>
      <c r="D1286" s="188"/>
      <c r="E1286" s="188"/>
      <c r="F1286" s="188"/>
      <c r="G1286" s="188"/>
      <c r="H1286" s="186"/>
      <c r="I1286" s="188"/>
    </row>
    <row r="1287" spans="1:17" x14ac:dyDescent="0.25">
      <c r="B1287" s="188"/>
      <c r="C1287" s="188"/>
      <c r="D1287" s="188"/>
      <c r="E1287" s="188"/>
      <c r="F1287" s="188"/>
      <c r="G1287" s="188"/>
      <c r="H1287" s="188"/>
      <c r="I1287" s="188"/>
    </row>
    <row r="1288" spans="1:17" x14ac:dyDescent="0.25">
      <c r="B1288" s="188"/>
      <c r="C1288" s="188"/>
      <c r="D1288" s="188"/>
      <c r="E1288" s="188"/>
      <c r="F1288" s="188"/>
      <c r="G1288" s="188"/>
      <c r="H1288" s="188"/>
      <c r="I1288" s="188"/>
    </row>
    <row r="1289" spans="1:17" x14ac:dyDescent="0.25">
      <c r="B1289" s="188"/>
      <c r="C1289" s="188"/>
      <c r="F1289" s="188"/>
      <c r="G1289" s="188"/>
      <c r="H1289" s="188"/>
    </row>
    <row r="1290" spans="1:17" x14ac:dyDescent="0.25">
      <c r="B1290" s="206"/>
      <c r="C1290" s="188"/>
      <c r="D1290" s="188"/>
      <c r="E1290" s="188"/>
      <c r="F1290" s="188"/>
      <c r="G1290" s="188"/>
      <c r="H1290" s="206"/>
      <c r="I1290" s="188"/>
    </row>
    <row r="1291" spans="1:17" x14ac:dyDescent="0.25">
      <c r="B1291" s="188"/>
      <c r="C1291" s="188"/>
      <c r="D1291" s="188"/>
      <c r="E1291" s="188"/>
      <c r="F1291" s="188"/>
      <c r="G1291" s="188"/>
      <c r="H1291" s="188"/>
      <c r="I1291" s="188"/>
    </row>
    <row r="1292" spans="1:17" x14ac:dyDescent="0.25">
      <c r="A1292" s="206"/>
      <c r="B1292" s="206"/>
      <c r="C1292" s="188"/>
      <c r="D1292" s="188"/>
      <c r="E1292" s="188"/>
      <c r="F1292" s="188"/>
      <c r="G1292" s="188"/>
      <c r="H1292" s="188"/>
      <c r="I1292" s="188"/>
    </row>
    <row r="1293" spans="1:17" x14ac:dyDescent="0.25">
      <c r="A1293" s="5"/>
      <c r="B1293" s="5"/>
      <c r="C1293" s="5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5"/>
    </row>
    <row r="1294" spans="1:17" x14ac:dyDescent="0.25">
      <c r="A1294" s="23"/>
      <c r="B1294" s="23"/>
      <c r="C1294" s="23"/>
      <c r="D1294" s="13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x14ac:dyDescent="0.25">
      <c r="A1295" s="23"/>
      <c r="B1295" s="23"/>
      <c r="C1295" s="23"/>
    </row>
    <row r="1296" spans="1:17" x14ac:dyDescent="0.25">
      <c r="A1296" s="23"/>
      <c r="B1296" s="23"/>
      <c r="C1296" s="23"/>
    </row>
    <row r="1297" spans="1:16" x14ac:dyDescent="0.25">
      <c r="A1297" s="23"/>
      <c r="B1297" s="23"/>
      <c r="C1297" s="23"/>
    </row>
    <row r="1298" spans="1:16" x14ac:dyDescent="0.25">
      <c r="A1298" s="23"/>
      <c r="B1298" s="23"/>
      <c r="C1298" s="23"/>
    </row>
    <row r="1299" spans="1:16" x14ac:dyDescent="0.25">
      <c r="A1299" s="23"/>
      <c r="B1299" s="23"/>
      <c r="C1299" s="23"/>
    </row>
    <row r="1300" spans="1:16" x14ac:dyDescent="0.25">
      <c r="A1300" s="23"/>
      <c r="B1300" s="23"/>
      <c r="C1300" s="23"/>
    </row>
    <row r="1301" spans="1:16" x14ac:dyDescent="0.25">
      <c r="A1301" s="23"/>
      <c r="B1301" s="23"/>
      <c r="C1301" s="23"/>
    </row>
    <row r="1302" spans="1:16" x14ac:dyDescent="0.25">
      <c r="A1302" s="23"/>
      <c r="B1302" s="23"/>
      <c r="C1302" s="23"/>
    </row>
    <row r="1303" spans="1:16" x14ac:dyDescent="0.25">
      <c r="A1303" s="23"/>
      <c r="B1303" s="23"/>
      <c r="C1303" s="23"/>
    </row>
    <row r="1304" spans="1:16" x14ac:dyDescent="0.25">
      <c r="A1304" s="23"/>
      <c r="B1304" s="23"/>
      <c r="C1304" s="23"/>
    </row>
    <row r="1305" spans="1:16" x14ac:dyDescent="0.25">
      <c r="A1305" s="23"/>
      <c r="B1305" s="23"/>
      <c r="C1305" s="23"/>
    </row>
    <row r="1306" spans="1:16" x14ac:dyDescent="0.25">
      <c r="A1306" s="23"/>
      <c r="B1306" s="23"/>
      <c r="C1306" s="23"/>
    </row>
    <row r="1307" spans="1:16" x14ac:dyDescent="0.25">
      <c r="A1307" s="23"/>
      <c r="B1307" s="23"/>
      <c r="C1307" s="23"/>
    </row>
    <row r="1308" spans="1:16" x14ac:dyDescent="0.25">
      <c r="A1308" s="23"/>
      <c r="B1308" s="23"/>
      <c r="C1308" s="23"/>
      <c r="E1308" s="201"/>
      <c r="F1308" s="201"/>
      <c r="G1308" s="201"/>
      <c r="H1308" s="201"/>
      <c r="I1308" s="201"/>
      <c r="J1308" s="201"/>
      <c r="K1308" s="201"/>
      <c r="L1308" s="201"/>
      <c r="M1308" s="201"/>
      <c r="N1308" s="201"/>
      <c r="O1308" s="201"/>
      <c r="P1308" s="201"/>
    </row>
    <row r="1309" spans="1:16" x14ac:dyDescent="0.25">
      <c r="A1309" s="23"/>
      <c r="B1309" s="23"/>
      <c r="C1309" s="23"/>
    </row>
    <row r="1310" spans="1:16" x14ac:dyDescent="0.25">
      <c r="A1310" s="23"/>
      <c r="B1310" s="23"/>
      <c r="C1310" s="23"/>
    </row>
    <row r="1311" spans="1:16" x14ac:dyDescent="0.25">
      <c r="A1311" s="23"/>
      <c r="B1311" s="23"/>
      <c r="C1311" s="23"/>
      <c r="F1311" s="201"/>
      <c r="G1311" s="201"/>
      <c r="H1311" s="201"/>
      <c r="I1311" s="201"/>
      <c r="J1311" s="201"/>
      <c r="K1311" s="201"/>
      <c r="L1311" s="201"/>
      <c r="M1311" s="201"/>
      <c r="N1311" s="201"/>
      <c r="O1311" s="201"/>
      <c r="P1311" s="201"/>
    </row>
    <row r="1312" spans="1:16" x14ac:dyDescent="0.25">
      <c r="A1312" s="23"/>
      <c r="B1312" s="23"/>
      <c r="C1312" s="23"/>
    </row>
    <row r="1313" spans="1:16" x14ac:dyDescent="0.25">
      <c r="A1313" s="23"/>
      <c r="B1313" s="23"/>
      <c r="C1313" s="23"/>
    </row>
    <row r="1314" spans="1:16" x14ac:dyDescent="0.25">
      <c r="A1314" s="23"/>
      <c r="B1314" s="23"/>
      <c r="C1314" s="23"/>
    </row>
    <row r="1315" spans="1:16" x14ac:dyDescent="0.25">
      <c r="A1315" s="23"/>
      <c r="B1315" s="23"/>
      <c r="C1315" s="23"/>
    </row>
    <row r="1316" spans="1:16" x14ac:dyDescent="0.25">
      <c r="A1316" s="23"/>
      <c r="B1316" s="23"/>
      <c r="C1316" s="23"/>
    </row>
    <row r="1317" spans="1:16" x14ac:dyDescent="0.25">
      <c r="A1317" s="23"/>
      <c r="B1317" s="23"/>
      <c r="C1317" s="23"/>
      <c r="E1317" s="202"/>
      <c r="F1317" s="202"/>
      <c r="G1317" s="202"/>
      <c r="H1317" s="202"/>
      <c r="I1317" s="202"/>
      <c r="J1317" s="202"/>
      <c r="K1317" s="202"/>
      <c r="L1317" s="202"/>
      <c r="M1317" s="202"/>
      <c r="N1317" s="202"/>
      <c r="O1317" s="202"/>
      <c r="P1317" s="202"/>
    </row>
    <row r="1318" spans="1:16" x14ac:dyDescent="0.25">
      <c r="A1318" s="23"/>
      <c r="B1318" s="23"/>
      <c r="C1318" s="23"/>
      <c r="E1318" s="202"/>
      <c r="F1318" s="202"/>
      <c r="G1318" s="202"/>
      <c r="H1318" s="202"/>
      <c r="I1318" s="202"/>
      <c r="J1318" s="202"/>
      <c r="K1318" s="202"/>
      <c r="L1318" s="202"/>
      <c r="M1318" s="202"/>
      <c r="N1318" s="202"/>
      <c r="O1318" s="202"/>
      <c r="P1318" s="202"/>
    </row>
    <row r="1319" spans="1:16" x14ac:dyDescent="0.25">
      <c r="A1319" s="23"/>
      <c r="B1319" s="23"/>
      <c r="C1319" s="23"/>
    </row>
    <row r="1320" spans="1:16" x14ac:dyDescent="0.25">
      <c r="A1320" s="23"/>
      <c r="B1320" s="23"/>
      <c r="C1320" s="23"/>
    </row>
    <row r="1321" spans="1:16" x14ac:dyDescent="0.25">
      <c r="A1321" s="23"/>
      <c r="B1321" s="23"/>
      <c r="C1321" s="23"/>
    </row>
    <row r="1322" spans="1:16" x14ac:dyDescent="0.25">
      <c r="A1322" s="23"/>
      <c r="B1322" s="23"/>
      <c r="C1322" s="23"/>
    </row>
    <row r="1323" spans="1:16" x14ac:dyDescent="0.25">
      <c r="A1323" s="23"/>
      <c r="B1323" s="23"/>
      <c r="C1323" s="23"/>
      <c r="E1323" s="203"/>
      <c r="F1323" s="203"/>
      <c r="G1323" s="203"/>
      <c r="H1323" s="203"/>
      <c r="I1323" s="203"/>
      <c r="J1323" s="203"/>
      <c r="K1323" s="203"/>
      <c r="L1323" s="203"/>
      <c r="M1323" s="203"/>
      <c r="N1323" s="203"/>
      <c r="O1323" s="203"/>
      <c r="P1323" s="203"/>
    </row>
    <row r="1324" spans="1:16" x14ac:dyDescent="0.25">
      <c r="A1324" s="23"/>
      <c r="B1324" s="23"/>
      <c r="C1324" s="23"/>
      <c r="E1324" s="203"/>
      <c r="F1324" s="203"/>
      <c r="G1324" s="203"/>
      <c r="H1324" s="203"/>
      <c r="I1324" s="203"/>
      <c r="J1324" s="203"/>
      <c r="K1324" s="203"/>
      <c r="L1324" s="203"/>
      <c r="M1324" s="203"/>
      <c r="N1324" s="203"/>
      <c r="O1324" s="203"/>
      <c r="P1324" s="203"/>
    </row>
    <row r="1325" spans="1:16" x14ac:dyDescent="0.25">
      <c r="A1325" s="23"/>
      <c r="B1325" s="23"/>
      <c r="C1325" s="23"/>
      <c r="E1325" s="203"/>
      <c r="F1325" s="203"/>
      <c r="G1325" s="203"/>
      <c r="H1325" s="203"/>
      <c r="I1325" s="203"/>
      <c r="J1325" s="203"/>
      <c r="K1325" s="203"/>
      <c r="L1325" s="203"/>
      <c r="M1325" s="203"/>
      <c r="N1325" s="203"/>
      <c r="O1325" s="203"/>
      <c r="P1325" s="203"/>
    </row>
    <row r="1326" spans="1:16" x14ac:dyDescent="0.25">
      <c r="A1326" s="23"/>
      <c r="B1326" s="23"/>
      <c r="C1326" s="23"/>
    </row>
    <row r="1327" spans="1:16" x14ac:dyDescent="0.25">
      <c r="A1327" s="23"/>
      <c r="B1327" s="23"/>
      <c r="C1327" s="23"/>
    </row>
    <row r="1328" spans="1:16" x14ac:dyDescent="0.25">
      <c r="A1328" s="23"/>
      <c r="B1328" s="23"/>
      <c r="C1328" s="23"/>
    </row>
    <row r="1334" spans="1:17" ht="13" x14ac:dyDescent="0.3">
      <c r="B1334" s="187"/>
      <c r="C1334" s="188"/>
      <c r="D1334" s="188"/>
      <c r="E1334" s="188"/>
      <c r="F1334" s="188"/>
      <c r="G1334" s="188"/>
      <c r="H1334" s="187"/>
      <c r="I1334" s="188"/>
    </row>
    <row r="1335" spans="1:17" x14ac:dyDescent="0.25">
      <c r="B1335" s="188"/>
      <c r="C1335" s="188"/>
      <c r="D1335" s="188"/>
      <c r="E1335" s="188"/>
      <c r="F1335" s="188"/>
      <c r="G1335" s="188"/>
      <c r="H1335" s="188"/>
      <c r="I1335" s="188"/>
    </row>
    <row r="1336" spans="1:17" ht="13" x14ac:dyDescent="0.3">
      <c r="B1336" s="188"/>
      <c r="C1336" s="188"/>
      <c r="D1336" s="188"/>
      <c r="E1336" s="188"/>
      <c r="F1336" s="188"/>
      <c r="G1336" s="188"/>
      <c r="H1336" s="186"/>
      <c r="I1336" s="188"/>
    </row>
    <row r="1337" spans="1:17" ht="13" x14ac:dyDescent="0.3">
      <c r="B1337" s="186"/>
      <c r="C1337" s="188"/>
      <c r="D1337" s="188"/>
      <c r="E1337" s="188"/>
      <c r="F1337" s="188"/>
      <c r="G1337" s="188"/>
      <c r="H1337" s="186"/>
      <c r="I1337" s="188"/>
    </row>
    <row r="1338" spans="1:17" x14ac:dyDescent="0.25">
      <c r="B1338" s="188"/>
      <c r="C1338" s="188"/>
      <c r="D1338" s="188"/>
      <c r="E1338" s="188"/>
      <c r="F1338" s="188"/>
      <c r="G1338" s="188"/>
      <c r="H1338" s="188"/>
      <c r="I1338" s="188"/>
    </row>
    <row r="1339" spans="1:17" x14ac:dyDescent="0.25">
      <c r="B1339" s="188"/>
      <c r="C1339" s="188"/>
      <c r="D1339" s="188"/>
      <c r="E1339" s="188"/>
      <c r="F1339" s="188"/>
      <c r="G1339" s="188"/>
      <c r="H1339" s="188"/>
      <c r="I1339" s="188"/>
    </row>
    <row r="1340" spans="1:17" x14ac:dyDescent="0.25">
      <c r="B1340" s="188"/>
      <c r="C1340" s="188"/>
      <c r="F1340" s="188"/>
      <c r="G1340" s="188"/>
      <c r="H1340" s="188"/>
    </row>
    <row r="1341" spans="1:17" x14ac:dyDescent="0.25">
      <c r="B1341" s="206"/>
      <c r="C1341" s="188"/>
      <c r="D1341" s="188"/>
      <c r="E1341" s="188"/>
      <c r="F1341" s="188"/>
      <c r="G1341" s="188"/>
      <c r="H1341" s="206"/>
      <c r="I1341" s="188"/>
    </row>
    <row r="1342" spans="1:17" x14ac:dyDescent="0.25">
      <c r="B1342" s="188"/>
      <c r="C1342" s="188"/>
      <c r="D1342" s="188"/>
      <c r="E1342" s="188"/>
      <c r="F1342" s="188"/>
      <c r="G1342" s="188"/>
      <c r="H1342" s="188"/>
      <c r="I1342" s="188"/>
    </row>
    <row r="1343" spans="1:17" x14ac:dyDescent="0.25">
      <c r="A1343" s="206"/>
      <c r="B1343" s="206"/>
      <c r="C1343" s="188"/>
      <c r="D1343" s="188"/>
      <c r="E1343" s="188"/>
      <c r="F1343" s="188"/>
      <c r="G1343" s="188"/>
      <c r="H1343" s="188"/>
      <c r="I1343" s="188"/>
    </row>
    <row r="1344" spans="1:17" x14ac:dyDescent="0.25">
      <c r="A1344" s="5"/>
      <c r="B1344" s="5"/>
      <c r="C1344" s="5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5"/>
    </row>
    <row r="1345" spans="1:17" x14ac:dyDescent="0.25">
      <c r="A1345" s="23"/>
      <c r="B1345" s="23"/>
      <c r="C1345" s="23"/>
      <c r="D1345" s="13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x14ac:dyDescent="0.25">
      <c r="A1346" s="23"/>
      <c r="B1346" s="23"/>
      <c r="C1346" s="23"/>
    </row>
    <row r="1347" spans="1:17" x14ac:dyDescent="0.25">
      <c r="A1347" s="23"/>
      <c r="B1347" s="23"/>
      <c r="C1347" s="23"/>
    </row>
    <row r="1348" spans="1:17" x14ac:dyDescent="0.25">
      <c r="A1348" s="23"/>
      <c r="B1348" s="23"/>
      <c r="C1348" s="23"/>
    </row>
    <row r="1349" spans="1:17" x14ac:dyDescent="0.25">
      <c r="A1349" s="23"/>
      <c r="B1349" s="23"/>
      <c r="C1349" s="23"/>
    </row>
    <row r="1350" spans="1:17" x14ac:dyDescent="0.25">
      <c r="A1350" s="23"/>
      <c r="B1350" s="23"/>
      <c r="C1350" s="23"/>
    </row>
    <row r="1351" spans="1:17" x14ac:dyDescent="0.25">
      <c r="A1351" s="23"/>
      <c r="B1351" s="23"/>
      <c r="C1351" s="23"/>
    </row>
    <row r="1352" spans="1:17" x14ac:dyDescent="0.25">
      <c r="A1352" s="23"/>
      <c r="B1352" s="23"/>
      <c r="C1352" s="23"/>
    </row>
    <row r="1353" spans="1:17" x14ac:dyDescent="0.25">
      <c r="A1353" s="23"/>
      <c r="B1353" s="23"/>
      <c r="C1353" s="23"/>
    </row>
    <row r="1354" spans="1:17" x14ac:dyDescent="0.25">
      <c r="A1354" s="23"/>
      <c r="B1354" s="23"/>
      <c r="C1354" s="23"/>
    </row>
    <row r="1355" spans="1:17" x14ac:dyDescent="0.25">
      <c r="A1355" s="23"/>
      <c r="B1355" s="23"/>
      <c r="C1355" s="23"/>
    </row>
    <row r="1356" spans="1:17" x14ac:dyDescent="0.25">
      <c r="A1356" s="23"/>
      <c r="B1356" s="23"/>
      <c r="C1356" s="23"/>
    </row>
    <row r="1357" spans="1:17" x14ac:dyDescent="0.25">
      <c r="A1357" s="23"/>
      <c r="B1357" s="23"/>
      <c r="C1357" s="23"/>
    </row>
    <row r="1358" spans="1:17" x14ac:dyDescent="0.25">
      <c r="A1358" s="23"/>
      <c r="B1358" s="23"/>
      <c r="C1358" s="23"/>
    </row>
    <row r="1359" spans="1:17" x14ac:dyDescent="0.25">
      <c r="A1359" s="23"/>
      <c r="B1359" s="23"/>
      <c r="C1359" s="23"/>
      <c r="E1359" s="201"/>
      <c r="F1359" s="201"/>
      <c r="G1359" s="201"/>
      <c r="H1359" s="201"/>
      <c r="I1359" s="201"/>
      <c r="J1359" s="201"/>
      <c r="K1359" s="201"/>
      <c r="L1359" s="201"/>
      <c r="M1359" s="201"/>
      <c r="N1359" s="201"/>
      <c r="O1359" s="201"/>
      <c r="P1359" s="201"/>
    </row>
    <row r="1360" spans="1:17" x14ac:dyDescent="0.25">
      <c r="A1360" s="23"/>
      <c r="B1360" s="23"/>
      <c r="C1360" s="23"/>
    </row>
    <row r="1361" spans="1:16" x14ac:dyDescent="0.25">
      <c r="A1361" s="23"/>
      <c r="B1361" s="23"/>
      <c r="C1361" s="23"/>
    </row>
    <row r="1362" spans="1:16" x14ac:dyDescent="0.25">
      <c r="A1362" s="23"/>
      <c r="B1362" s="23"/>
      <c r="C1362" s="23"/>
      <c r="F1362" s="201"/>
      <c r="G1362" s="201"/>
      <c r="H1362" s="201"/>
      <c r="I1362" s="201"/>
      <c r="J1362" s="201"/>
      <c r="K1362" s="201"/>
      <c r="L1362" s="201"/>
      <c r="M1362" s="201"/>
      <c r="N1362" s="201"/>
      <c r="O1362" s="201"/>
      <c r="P1362" s="201"/>
    </row>
    <row r="1363" spans="1:16" x14ac:dyDescent="0.25">
      <c r="A1363" s="23"/>
      <c r="B1363" s="23"/>
      <c r="C1363" s="23"/>
    </row>
    <row r="1364" spans="1:16" x14ac:dyDescent="0.25">
      <c r="A1364" s="23"/>
      <c r="B1364" s="23"/>
      <c r="C1364" s="23"/>
    </row>
    <row r="1365" spans="1:16" x14ac:dyDescent="0.25">
      <c r="A1365" s="23"/>
      <c r="B1365" s="23"/>
      <c r="C1365" s="23"/>
    </row>
    <row r="1366" spans="1:16" x14ac:dyDescent="0.25">
      <c r="A1366" s="23"/>
      <c r="B1366" s="23"/>
      <c r="C1366" s="23"/>
    </row>
    <row r="1367" spans="1:16" x14ac:dyDescent="0.25">
      <c r="A1367" s="23"/>
      <c r="B1367" s="23"/>
      <c r="C1367" s="23"/>
    </row>
    <row r="1368" spans="1:16" x14ac:dyDescent="0.25">
      <c r="A1368" s="23"/>
      <c r="B1368" s="23"/>
      <c r="C1368" s="23"/>
      <c r="E1368" s="202"/>
      <c r="F1368" s="202"/>
      <c r="G1368" s="202"/>
      <c r="H1368" s="202"/>
      <c r="I1368" s="202"/>
      <c r="J1368" s="202"/>
      <c r="K1368" s="202"/>
      <c r="L1368" s="202"/>
      <c r="M1368" s="202"/>
      <c r="N1368" s="202"/>
      <c r="O1368" s="202"/>
      <c r="P1368" s="202"/>
    </row>
    <row r="1369" spans="1:16" x14ac:dyDescent="0.25">
      <c r="A1369" s="23"/>
      <c r="B1369" s="23"/>
      <c r="C1369" s="23"/>
      <c r="E1369" s="202"/>
      <c r="F1369" s="202"/>
      <c r="G1369" s="202"/>
      <c r="H1369" s="202"/>
      <c r="I1369" s="202"/>
      <c r="J1369" s="202"/>
      <c r="K1369" s="202"/>
      <c r="L1369" s="202"/>
      <c r="M1369" s="202"/>
      <c r="N1369" s="202"/>
      <c r="O1369" s="202"/>
      <c r="P1369" s="202"/>
    </row>
    <row r="1370" spans="1:16" x14ac:dyDescent="0.25">
      <c r="A1370" s="23"/>
      <c r="B1370" s="23"/>
      <c r="C1370" s="23"/>
    </row>
    <row r="1371" spans="1:16" x14ac:dyDescent="0.25">
      <c r="A1371" s="23"/>
      <c r="B1371" s="23"/>
      <c r="C1371" s="23"/>
    </row>
    <row r="1372" spans="1:16" x14ac:dyDescent="0.25">
      <c r="A1372" s="23"/>
      <c r="B1372" s="23"/>
      <c r="C1372" s="23"/>
    </row>
    <row r="1373" spans="1:16" x14ac:dyDescent="0.25">
      <c r="A1373" s="23"/>
      <c r="B1373" s="23"/>
      <c r="C1373" s="23"/>
    </row>
    <row r="1374" spans="1:16" x14ac:dyDescent="0.25">
      <c r="A1374" s="23"/>
      <c r="B1374" s="23"/>
      <c r="C1374" s="23"/>
      <c r="E1374" s="203"/>
      <c r="F1374" s="203"/>
      <c r="G1374" s="203"/>
      <c r="H1374" s="203"/>
      <c r="I1374" s="203"/>
      <c r="J1374" s="203"/>
      <c r="K1374" s="203"/>
      <c r="L1374" s="203"/>
      <c r="M1374" s="203"/>
      <c r="N1374" s="203"/>
      <c r="O1374" s="203"/>
      <c r="P1374" s="203"/>
    </row>
    <row r="1375" spans="1:16" x14ac:dyDescent="0.25">
      <c r="A1375" s="23"/>
      <c r="B1375" s="23"/>
      <c r="C1375" s="23"/>
      <c r="E1375" s="203"/>
      <c r="F1375" s="203"/>
      <c r="G1375" s="203"/>
      <c r="H1375" s="203"/>
      <c r="I1375" s="203"/>
      <c r="J1375" s="203"/>
      <c r="K1375" s="203"/>
      <c r="L1375" s="203"/>
      <c r="M1375" s="203"/>
      <c r="N1375" s="203"/>
      <c r="O1375" s="203"/>
      <c r="P1375" s="203"/>
    </row>
    <row r="1376" spans="1:16" x14ac:dyDescent="0.25">
      <c r="A1376" s="23"/>
      <c r="B1376" s="23"/>
      <c r="C1376" s="23"/>
      <c r="E1376" s="203"/>
      <c r="F1376" s="203"/>
      <c r="G1376" s="203"/>
      <c r="H1376" s="203"/>
      <c r="I1376" s="203"/>
      <c r="J1376" s="203"/>
      <c r="K1376" s="203"/>
      <c r="L1376" s="203"/>
      <c r="M1376" s="203"/>
      <c r="N1376" s="203"/>
      <c r="O1376" s="203"/>
      <c r="P1376" s="203"/>
    </row>
    <row r="1377" spans="1:9" x14ac:dyDescent="0.25">
      <c r="A1377" s="23"/>
      <c r="B1377" s="23"/>
      <c r="C1377" s="23"/>
    </row>
    <row r="1378" spans="1:9" x14ac:dyDescent="0.25">
      <c r="A1378" s="23"/>
      <c r="B1378" s="23"/>
      <c r="C1378" s="23"/>
    </row>
    <row r="1379" spans="1:9" x14ac:dyDescent="0.25">
      <c r="A1379" s="23"/>
      <c r="B1379" s="23"/>
      <c r="C1379" s="23"/>
    </row>
    <row r="1385" spans="1:9" ht="13" x14ac:dyDescent="0.3">
      <c r="B1385" s="187"/>
      <c r="C1385" s="188"/>
      <c r="D1385" s="188"/>
      <c r="E1385" s="188"/>
      <c r="F1385" s="188"/>
      <c r="G1385" s="188"/>
      <c r="H1385" s="187"/>
      <c r="I1385" s="188"/>
    </row>
    <row r="1386" spans="1:9" x14ac:dyDescent="0.25">
      <c r="B1386" s="188"/>
      <c r="C1386" s="188"/>
      <c r="D1386" s="188"/>
      <c r="E1386" s="188"/>
      <c r="F1386" s="188"/>
      <c r="G1386" s="188"/>
      <c r="H1386" s="188"/>
      <c r="I1386" s="188"/>
    </row>
    <row r="1387" spans="1:9" ht="13" x14ac:dyDescent="0.3">
      <c r="B1387" s="188"/>
      <c r="C1387" s="188"/>
      <c r="D1387" s="188"/>
      <c r="E1387" s="188"/>
      <c r="F1387" s="188"/>
      <c r="G1387" s="188"/>
      <c r="H1387" s="186"/>
      <c r="I1387" s="188"/>
    </row>
    <row r="1388" spans="1:9" ht="13" x14ac:dyDescent="0.3">
      <c r="B1388" s="186"/>
      <c r="C1388" s="188"/>
      <c r="D1388" s="188"/>
      <c r="E1388" s="188"/>
      <c r="F1388" s="188"/>
      <c r="G1388" s="188"/>
      <c r="H1388" s="186"/>
      <c r="I1388" s="188"/>
    </row>
    <row r="1389" spans="1:9" x14ac:dyDescent="0.25">
      <c r="B1389" s="188"/>
      <c r="C1389" s="188"/>
      <c r="D1389" s="188"/>
      <c r="E1389" s="188"/>
      <c r="F1389" s="188"/>
      <c r="G1389" s="188"/>
      <c r="H1389" s="188"/>
      <c r="I1389" s="188"/>
    </row>
    <row r="1390" spans="1:9" x14ac:dyDescent="0.25">
      <c r="B1390" s="188"/>
      <c r="C1390" s="188"/>
      <c r="D1390" s="188"/>
      <c r="E1390" s="188"/>
      <c r="F1390" s="188"/>
      <c r="G1390" s="188"/>
      <c r="H1390" s="188"/>
      <c r="I1390" s="188"/>
    </row>
    <row r="1391" spans="1:9" x14ac:dyDescent="0.25">
      <c r="B1391" s="188"/>
      <c r="C1391" s="188"/>
      <c r="F1391" s="188"/>
      <c r="G1391" s="188"/>
      <c r="H1391" s="188"/>
    </row>
    <row r="1392" spans="1:9" x14ac:dyDescent="0.25">
      <c r="B1392" s="206"/>
      <c r="C1392" s="188"/>
      <c r="D1392" s="188"/>
      <c r="E1392" s="188"/>
      <c r="F1392" s="188"/>
      <c r="G1392" s="188"/>
      <c r="H1392" s="206"/>
      <c r="I1392" s="188"/>
    </row>
    <row r="1393" spans="1:17" x14ac:dyDescent="0.25">
      <c r="B1393" s="188"/>
      <c r="C1393" s="188"/>
      <c r="D1393" s="188"/>
      <c r="E1393" s="188"/>
      <c r="F1393" s="188"/>
      <c r="G1393" s="188"/>
      <c r="H1393" s="188"/>
      <c r="I1393" s="188"/>
    </row>
    <row r="1394" spans="1:17" x14ac:dyDescent="0.25">
      <c r="A1394" s="206"/>
      <c r="B1394" s="206"/>
      <c r="C1394" s="188"/>
      <c r="D1394" s="188"/>
      <c r="E1394" s="188"/>
      <c r="F1394" s="188"/>
      <c r="G1394" s="188"/>
      <c r="H1394" s="188"/>
      <c r="I1394" s="188"/>
    </row>
    <row r="1395" spans="1:17" x14ac:dyDescent="0.25">
      <c r="A1395" s="5"/>
      <c r="B1395" s="5"/>
      <c r="C1395" s="5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5"/>
    </row>
    <row r="1396" spans="1:17" x14ac:dyDescent="0.25">
      <c r="A1396" s="23"/>
      <c r="B1396" s="23"/>
      <c r="C1396" s="23"/>
      <c r="D1396" s="13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x14ac:dyDescent="0.25">
      <c r="A1397" s="23"/>
      <c r="B1397" s="23"/>
      <c r="C1397" s="23"/>
    </row>
    <row r="1398" spans="1:17" x14ac:dyDescent="0.25">
      <c r="A1398" s="23"/>
      <c r="B1398" s="23"/>
      <c r="C1398" s="23"/>
    </row>
    <row r="1399" spans="1:17" x14ac:dyDescent="0.25">
      <c r="A1399" s="23"/>
      <c r="B1399" s="23"/>
      <c r="C1399" s="23"/>
    </row>
    <row r="1400" spans="1:17" x14ac:dyDescent="0.25">
      <c r="A1400" s="23"/>
      <c r="B1400" s="23"/>
      <c r="C1400" s="23"/>
    </row>
    <row r="1401" spans="1:17" x14ac:dyDescent="0.25">
      <c r="A1401" s="23"/>
      <c r="B1401" s="23"/>
      <c r="C1401" s="23"/>
    </row>
    <row r="1402" spans="1:17" x14ac:dyDescent="0.25">
      <c r="A1402" s="23"/>
      <c r="B1402" s="23"/>
      <c r="C1402" s="23"/>
    </row>
    <row r="1403" spans="1:17" x14ac:dyDescent="0.25">
      <c r="A1403" s="23"/>
      <c r="B1403" s="23"/>
      <c r="C1403" s="23"/>
    </row>
    <row r="1404" spans="1:17" x14ac:dyDescent="0.25">
      <c r="A1404" s="23"/>
      <c r="B1404" s="23"/>
      <c r="C1404" s="23"/>
    </row>
    <row r="1405" spans="1:17" x14ac:dyDescent="0.25">
      <c r="A1405" s="23"/>
      <c r="B1405" s="23"/>
      <c r="C1405" s="23"/>
    </row>
    <row r="1406" spans="1:17" x14ac:dyDescent="0.25">
      <c r="A1406" s="23"/>
      <c r="B1406" s="23"/>
      <c r="C1406" s="23"/>
    </row>
    <row r="1407" spans="1:17" x14ac:dyDescent="0.25">
      <c r="A1407" s="23"/>
      <c r="B1407" s="23"/>
      <c r="C1407" s="23"/>
    </row>
    <row r="1408" spans="1:17" x14ac:dyDescent="0.25">
      <c r="A1408" s="23"/>
      <c r="B1408" s="23"/>
      <c r="C1408" s="23"/>
    </row>
    <row r="1409" spans="1:16" x14ac:dyDescent="0.25">
      <c r="A1409" s="23"/>
      <c r="B1409" s="23"/>
      <c r="C1409" s="23"/>
    </row>
    <row r="1410" spans="1:16" x14ac:dyDescent="0.25">
      <c r="A1410" s="23"/>
      <c r="B1410" s="23"/>
      <c r="C1410" s="23"/>
      <c r="E1410" s="201"/>
      <c r="F1410" s="201"/>
      <c r="G1410" s="201"/>
      <c r="H1410" s="201"/>
      <c r="I1410" s="201"/>
      <c r="J1410" s="201"/>
      <c r="K1410" s="201"/>
      <c r="L1410" s="201"/>
      <c r="M1410" s="201"/>
      <c r="N1410" s="201"/>
      <c r="O1410" s="201"/>
      <c r="P1410" s="201"/>
    </row>
    <row r="1411" spans="1:16" x14ac:dyDescent="0.25">
      <c r="A1411" s="23"/>
      <c r="B1411" s="23"/>
      <c r="C1411" s="23"/>
    </row>
    <row r="1412" spans="1:16" x14ac:dyDescent="0.25">
      <c r="A1412" s="23"/>
      <c r="B1412" s="23"/>
      <c r="C1412" s="23"/>
    </row>
    <row r="1413" spans="1:16" x14ac:dyDescent="0.25">
      <c r="A1413" s="23"/>
      <c r="B1413" s="23"/>
      <c r="C1413" s="23"/>
      <c r="F1413" s="201"/>
      <c r="G1413" s="201"/>
      <c r="H1413" s="201"/>
      <c r="I1413" s="201"/>
      <c r="J1413" s="201"/>
      <c r="K1413" s="201"/>
      <c r="L1413" s="201"/>
      <c r="M1413" s="201"/>
      <c r="N1413" s="201"/>
      <c r="O1413" s="201"/>
      <c r="P1413" s="201"/>
    </row>
    <row r="1414" spans="1:16" x14ac:dyDescent="0.25">
      <c r="A1414" s="23"/>
      <c r="B1414" s="23"/>
      <c r="C1414" s="23"/>
    </row>
    <row r="1415" spans="1:16" x14ac:dyDescent="0.25">
      <c r="A1415" s="23"/>
      <c r="B1415" s="23"/>
      <c r="C1415" s="23"/>
    </row>
    <row r="1416" spans="1:16" x14ac:dyDescent="0.25">
      <c r="A1416" s="23"/>
      <c r="B1416" s="23"/>
      <c r="C1416" s="23"/>
    </row>
    <row r="1417" spans="1:16" x14ac:dyDescent="0.25">
      <c r="A1417" s="23"/>
      <c r="B1417" s="23"/>
      <c r="C1417" s="23"/>
    </row>
    <row r="1418" spans="1:16" x14ac:dyDescent="0.25">
      <c r="A1418" s="23"/>
      <c r="B1418" s="23"/>
      <c r="C1418" s="23"/>
    </row>
    <row r="1419" spans="1:16" x14ac:dyDescent="0.25">
      <c r="A1419" s="23"/>
      <c r="B1419" s="23"/>
      <c r="C1419" s="23"/>
      <c r="E1419" s="202"/>
      <c r="F1419" s="202"/>
      <c r="G1419" s="202"/>
      <c r="H1419" s="202"/>
      <c r="I1419" s="202"/>
      <c r="J1419" s="202"/>
      <c r="K1419" s="202"/>
      <c r="L1419" s="202"/>
      <c r="M1419" s="202"/>
      <c r="N1419" s="202"/>
      <c r="O1419" s="202"/>
      <c r="P1419" s="202"/>
    </row>
    <row r="1420" spans="1:16" x14ac:dyDescent="0.25">
      <c r="A1420" s="23"/>
      <c r="B1420" s="23"/>
      <c r="C1420" s="23"/>
      <c r="E1420" s="202"/>
      <c r="F1420" s="202"/>
      <c r="G1420" s="202"/>
      <c r="H1420" s="202"/>
      <c r="I1420" s="202"/>
      <c r="J1420" s="202"/>
      <c r="K1420" s="202"/>
      <c r="L1420" s="202"/>
      <c r="M1420" s="202"/>
      <c r="N1420" s="202"/>
      <c r="O1420" s="202"/>
      <c r="P1420" s="202"/>
    </row>
    <row r="1421" spans="1:16" x14ac:dyDescent="0.25">
      <c r="A1421" s="23"/>
      <c r="B1421" s="23"/>
      <c r="C1421" s="23"/>
    </row>
    <row r="1422" spans="1:16" x14ac:dyDescent="0.25">
      <c r="A1422" s="23"/>
      <c r="B1422" s="23"/>
      <c r="C1422" s="23"/>
    </row>
    <row r="1423" spans="1:16" x14ac:dyDescent="0.25">
      <c r="A1423" s="23"/>
      <c r="B1423" s="23"/>
      <c r="C1423" s="23"/>
    </row>
    <row r="1424" spans="1:16" x14ac:dyDescent="0.25">
      <c r="A1424" s="23"/>
      <c r="B1424" s="23"/>
      <c r="C1424" s="23"/>
    </row>
    <row r="1425" spans="1:16" x14ac:dyDescent="0.25">
      <c r="A1425" s="23"/>
      <c r="B1425" s="23"/>
      <c r="C1425" s="23"/>
      <c r="E1425" s="203"/>
      <c r="F1425" s="203"/>
      <c r="G1425" s="203"/>
      <c r="H1425" s="203"/>
      <c r="I1425" s="203"/>
      <c r="J1425" s="203"/>
      <c r="K1425" s="203"/>
      <c r="L1425" s="203"/>
      <c r="M1425" s="203"/>
      <c r="N1425" s="203"/>
      <c r="O1425" s="203"/>
      <c r="P1425" s="203"/>
    </row>
    <row r="1426" spans="1:16" x14ac:dyDescent="0.25">
      <c r="A1426" s="23"/>
      <c r="B1426" s="23"/>
      <c r="C1426" s="23"/>
      <c r="E1426" s="203"/>
      <c r="F1426" s="203"/>
      <c r="G1426" s="203"/>
      <c r="H1426" s="203"/>
      <c r="I1426" s="203"/>
      <c r="J1426" s="203"/>
      <c r="K1426" s="203"/>
      <c r="L1426" s="203"/>
      <c r="M1426" s="203"/>
      <c r="N1426" s="203"/>
      <c r="O1426" s="203"/>
      <c r="P1426" s="203"/>
    </row>
    <row r="1427" spans="1:16" x14ac:dyDescent="0.25">
      <c r="A1427" s="23"/>
      <c r="B1427" s="23"/>
      <c r="C1427" s="23"/>
      <c r="E1427" s="203"/>
      <c r="F1427" s="203"/>
      <c r="G1427" s="203"/>
      <c r="H1427" s="203"/>
      <c r="I1427" s="203"/>
      <c r="J1427" s="203"/>
      <c r="K1427" s="203"/>
      <c r="L1427" s="203"/>
      <c r="M1427" s="203"/>
      <c r="N1427" s="203"/>
      <c r="O1427" s="203"/>
      <c r="P1427" s="203"/>
    </row>
    <row r="1428" spans="1:16" x14ac:dyDescent="0.25">
      <c r="A1428" s="23"/>
      <c r="B1428" s="23"/>
      <c r="C1428" s="23"/>
    </row>
    <row r="1429" spans="1:16" x14ac:dyDescent="0.25">
      <c r="A1429" s="23"/>
      <c r="B1429" s="23"/>
      <c r="C1429" s="23"/>
    </row>
    <row r="1430" spans="1:16" x14ac:dyDescent="0.25">
      <c r="A1430" s="23"/>
      <c r="B1430" s="23"/>
      <c r="C1430" s="23"/>
    </row>
    <row r="1431" spans="1:16" x14ac:dyDescent="0.25">
      <c r="A1431" s="23"/>
      <c r="B1431" s="23"/>
      <c r="C1431" s="23"/>
    </row>
    <row r="1432" spans="1:16" x14ac:dyDescent="0.25">
      <c r="A1432" s="23"/>
      <c r="B1432" s="23"/>
      <c r="C1432" s="23"/>
    </row>
    <row r="1433" spans="1:16" x14ac:dyDescent="0.25">
      <c r="A1433" s="23"/>
      <c r="B1433" s="23"/>
      <c r="C1433" s="23"/>
    </row>
    <row r="1434" spans="1:16" x14ac:dyDescent="0.25">
      <c r="A1434" s="23"/>
      <c r="B1434" s="23"/>
      <c r="C1434" s="23"/>
    </row>
    <row r="1435" spans="1:16" x14ac:dyDescent="0.25">
      <c r="A1435" s="23"/>
      <c r="B1435" s="23"/>
      <c r="C1435" s="23"/>
    </row>
    <row r="1436" spans="1:16" ht="13" x14ac:dyDescent="0.3">
      <c r="B1436" s="187"/>
      <c r="C1436" s="188"/>
      <c r="D1436" s="188"/>
      <c r="E1436" s="188"/>
      <c r="F1436" s="188"/>
      <c r="G1436" s="188"/>
      <c r="H1436" s="187"/>
      <c r="I1436" s="188"/>
    </row>
    <row r="1437" spans="1:16" x14ac:dyDescent="0.25">
      <c r="B1437" s="188"/>
      <c r="C1437" s="188"/>
      <c r="D1437" s="188"/>
      <c r="E1437" s="188"/>
      <c r="F1437" s="188"/>
      <c r="G1437" s="188"/>
      <c r="H1437" s="188"/>
      <c r="I1437" s="188"/>
    </row>
    <row r="1438" spans="1:16" ht="13" x14ac:dyDescent="0.3">
      <c r="B1438" s="188"/>
      <c r="C1438" s="188"/>
      <c r="D1438" s="188"/>
      <c r="E1438" s="188"/>
      <c r="F1438" s="188"/>
      <c r="G1438" s="188"/>
      <c r="H1438" s="186"/>
      <c r="I1438" s="188"/>
    </row>
    <row r="1439" spans="1:16" ht="13" x14ac:dyDescent="0.3">
      <c r="B1439" s="186"/>
      <c r="C1439" s="188"/>
      <c r="D1439" s="188"/>
      <c r="E1439" s="188"/>
      <c r="F1439" s="188"/>
      <c r="G1439" s="188"/>
      <c r="H1439" s="186"/>
      <c r="I1439" s="188"/>
    </row>
    <row r="1440" spans="1:16" x14ac:dyDescent="0.25">
      <c r="B1440" s="188"/>
      <c r="C1440" s="188"/>
      <c r="D1440" s="188"/>
      <c r="E1440" s="188"/>
      <c r="F1440" s="188"/>
      <c r="G1440" s="188"/>
      <c r="H1440" s="188"/>
      <c r="I1440" s="188"/>
    </row>
    <row r="1441" spans="1:17" x14ac:dyDescent="0.25">
      <c r="B1441" s="188"/>
      <c r="C1441" s="188"/>
      <c r="D1441" s="188"/>
      <c r="E1441" s="188"/>
      <c r="F1441" s="188"/>
      <c r="G1441" s="188"/>
      <c r="H1441" s="188"/>
      <c r="I1441" s="188"/>
    </row>
    <row r="1442" spans="1:17" x14ac:dyDescent="0.25">
      <c r="B1442" s="188"/>
      <c r="C1442" s="188"/>
      <c r="F1442" s="188"/>
      <c r="G1442" s="188"/>
      <c r="H1442" s="188"/>
    </row>
    <row r="1443" spans="1:17" x14ac:dyDescent="0.25">
      <c r="B1443" s="206"/>
      <c r="C1443" s="188"/>
      <c r="D1443" s="188"/>
      <c r="E1443" s="188"/>
      <c r="F1443" s="188"/>
      <c r="G1443" s="188"/>
      <c r="H1443" s="206"/>
      <c r="I1443" s="188"/>
    </row>
    <row r="1444" spans="1:17" x14ac:dyDescent="0.25">
      <c r="B1444" s="188"/>
      <c r="C1444" s="188"/>
      <c r="D1444" s="188"/>
      <c r="E1444" s="188"/>
      <c r="F1444" s="188"/>
      <c r="G1444" s="188"/>
      <c r="H1444" s="188"/>
      <c r="I1444" s="188"/>
    </row>
    <row r="1445" spans="1:17" x14ac:dyDescent="0.25">
      <c r="A1445" s="206"/>
      <c r="B1445" s="206"/>
      <c r="C1445" s="188"/>
      <c r="D1445" s="188"/>
      <c r="E1445" s="188"/>
      <c r="F1445" s="188"/>
      <c r="G1445" s="188"/>
      <c r="H1445" s="188"/>
      <c r="I1445" s="188"/>
    </row>
    <row r="1446" spans="1:17" x14ac:dyDescent="0.25">
      <c r="A1446" s="5"/>
      <c r="B1446" s="5"/>
      <c r="C1446" s="5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5"/>
    </row>
    <row r="1447" spans="1:17" x14ac:dyDescent="0.25">
      <c r="A1447" s="23"/>
      <c r="B1447" s="23"/>
      <c r="C1447" s="23"/>
      <c r="D1447" s="13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x14ac:dyDescent="0.25">
      <c r="A1448" s="23"/>
      <c r="B1448" s="23"/>
      <c r="C1448" s="23"/>
    </row>
    <row r="1449" spans="1:17" x14ac:dyDescent="0.25">
      <c r="A1449" s="23"/>
      <c r="B1449" s="23"/>
      <c r="C1449" s="23"/>
    </row>
    <row r="1450" spans="1:17" x14ac:dyDescent="0.25">
      <c r="A1450" s="23"/>
      <c r="B1450" s="23"/>
      <c r="C1450" s="23"/>
    </row>
    <row r="1451" spans="1:17" x14ac:dyDescent="0.25">
      <c r="A1451" s="23"/>
      <c r="B1451" s="23"/>
      <c r="C1451" s="23"/>
    </row>
    <row r="1452" spans="1:17" x14ac:dyDescent="0.25">
      <c r="A1452" s="23"/>
      <c r="B1452" s="23"/>
      <c r="C1452" s="23"/>
    </row>
    <row r="1453" spans="1:17" x14ac:dyDescent="0.25">
      <c r="A1453" s="23"/>
      <c r="B1453" s="23"/>
      <c r="C1453" s="23"/>
    </row>
    <row r="1454" spans="1:17" x14ac:dyDescent="0.25">
      <c r="A1454" s="23"/>
      <c r="B1454" s="23"/>
      <c r="C1454" s="23"/>
    </row>
    <row r="1455" spans="1:17" x14ac:dyDescent="0.25">
      <c r="A1455" s="23"/>
      <c r="B1455" s="23"/>
      <c r="C1455" s="23"/>
    </row>
    <row r="1456" spans="1:17" x14ac:dyDescent="0.25">
      <c r="A1456" s="23"/>
      <c r="B1456" s="23"/>
      <c r="C1456" s="23"/>
    </row>
    <row r="1457" spans="1:16" x14ac:dyDescent="0.25">
      <c r="A1457" s="23"/>
      <c r="B1457" s="23"/>
      <c r="C1457" s="23"/>
    </row>
    <row r="1458" spans="1:16" x14ac:dyDescent="0.25">
      <c r="A1458" s="23"/>
      <c r="B1458" s="23"/>
      <c r="C1458" s="23"/>
    </row>
    <row r="1459" spans="1:16" x14ac:dyDescent="0.25">
      <c r="A1459" s="23"/>
      <c r="B1459" s="23"/>
      <c r="C1459" s="23"/>
    </row>
    <row r="1460" spans="1:16" x14ac:dyDescent="0.25">
      <c r="A1460" s="23"/>
      <c r="B1460" s="23"/>
      <c r="C1460" s="23"/>
    </row>
    <row r="1461" spans="1:16" x14ac:dyDescent="0.25">
      <c r="A1461" s="23"/>
      <c r="B1461" s="23"/>
      <c r="C1461" s="23"/>
      <c r="E1461" s="201"/>
      <c r="F1461" s="201"/>
      <c r="G1461" s="201"/>
      <c r="H1461" s="201"/>
      <c r="I1461" s="201"/>
      <c r="J1461" s="201"/>
      <c r="K1461" s="201"/>
      <c r="L1461" s="201"/>
      <c r="M1461" s="201"/>
      <c r="N1461" s="201"/>
      <c r="O1461" s="201"/>
      <c r="P1461" s="201"/>
    </row>
    <row r="1462" spans="1:16" x14ac:dyDescent="0.25">
      <c r="A1462" s="23"/>
      <c r="B1462" s="23"/>
      <c r="C1462" s="23"/>
    </row>
    <row r="1463" spans="1:16" x14ac:dyDescent="0.25">
      <c r="A1463" s="23"/>
      <c r="B1463" s="23"/>
      <c r="C1463" s="23"/>
    </row>
    <row r="1464" spans="1:16" x14ac:dyDescent="0.25">
      <c r="A1464" s="23"/>
      <c r="B1464" s="23"/>
      <c r="C1464" s="23"/>
      <c r="F1464" s="201"/>
      <c r="G1464" s="201"/>
      <c r="H1464" s="201"/>
      <c r="I1464" s="201"/>
      <c r="J1464" s="201"/>
      <c r="K1464" s="201"/>
      <c r="L1464" s="201"/>
      <c r="M1464" s="201"/>
      <c r="N1464" s="201"/>
      <c r="O1464" s="201"/>
      <c r="P1464" s="201"/>
    </row>
    <row r="1465" spans="1:16" x14ac:dyDescent="0.25">
      <c r="A1465" s="23"/>
      <c r="B1465" s="23"/>
      <c r="C1465" s="23"/>
    </row>
    <row r="1466" spans="1:16" x14ac:dyDescent="0.25">
      <c r="A1466" s="23"/>
      <c r="B1466" s="23"/>
      <c r="C1466" s="23"/>
    </row>
    <row r="1467" spans="1:16" x14ac:dyDescent="0.25">
      <c r="A1467" s="23"/>
      <c r="B1467" s="23"/>
      <c r="C1467" s="23"/>
    </row>
    <row r="1468" spans="1:16" x14ac:dyDescent="0.25">
      <c r="A1468" s="23"/>
      <c r="B1468" s="23"/>
      <c r="C1468" s="23"/>
    </row>
    <row r="1469" spans="1:16" x14ac:dyDescent="0.25">
      <c r="A1469" s="23"/>
      <c r="B1469" s="23"/>
      <c r="C1469" s="23"/>
    </row>
    <row r="1470" spans="1:16" x14ac:dyDescent="0.25">
      <c r="A1470" s="23"/>
      <c r="B1470" s="23"/>
      <c r="C1470" s="23"/>
      <c r="E1470" s="202"/>
      <c r="F1470" s="202"/>
      <c r="G1470" s="202"/>
      <c r="H1470" s="202"/>
      <c r="I1470" s="202"/>
      <c r="J1470" s="202"/>
      <c r="K1470" s="202"/>
      <c r="L1470" s="202"/>
      <c r="M1470" s="202"/>
      <c r="N1470" s="202"/>
      <c r="O1470" s="202"/>
      <c r="P1470" s="202"/>
    </row>
    <row r="1471" spans="1:16" x14ac:dyDescent="0.25">
      <c r="A1471" s="23"/>
      <c r="B1471" s="23"/>
      <c r="C1471" s="23"/>
      <c r="E1471" s="202"/>
      <c r="F1471" s="202"/>
      <c r="G1471" s="202"/>
      <c r="H1471" s="202"/>
      <c r="I1471" s="202"/>
      <c r="J1471" s="202"/>
      <c r="K1471" s="202"/>
      <c r="L1471" s="202"/>
      <c r="M1471" s="202"/>
      <c r="N1471" s="202"/>
      <c r="O1471" s="202"/>
      <c r="P1471" s="202"/>
    </row>
    <row r="1472" spans="1:16" x14ac:dyDescent="0.25">
      <c r="A1472" s="23"/>
      <c r="B1472" s="23"/>
      <c r="C1472" s="23"/>
    </row>
    <row r="1473" spans="1:16" x14ac:dyDescent="0.25">
      <c r="A1473" s="23"/>
      <c r="B1473" s="23"/>
      <c r="C1473" s="23"/>
    </row>
    <row r="1474" spans="1:16" x14ac:dyDescent="0.25">
      <c r="A1474" s="23"/>
      <c r="B1474" s="23"/>
      <c r="C1474" s="23"/>
    </row>
    <row r="1475" spans="1:16" x14ac:dyDescent="0.25">
      <c r="A1475" s="23"/>
      <c r="B1475" s="23"/>
      <c r="C1475" s="23"/>
    </row>
    <row r="1476" spans="1:16" x14ac:dyDescent="0.25">
      <c r="A1476" s="23"/>
      <c r="B1476" s="23"/>
      <c r="C1476" s="23"/>
      <c r="E1476" s="203"/>
      <c r="F1476" s="203"/>
      <c r="G1476" s="203"/>
      <c r="H1476" s="203"/>
      <c r="I1476" s="203"/>
      <c r="J1476" s="203"/>
      <c r="K1476" s="203"/>
      <c r="L1476" s="203"/>
      <c r="M1476" s="203"/>
      <c r="N1476" s="203"/>
      <c r="O1476" s="203"/>
      <c r="P1476" s="203"/>
    </row>
    <row r="1477" spans="1:16" x14ac:dyDescent="0.25">
      <c r="A1477" s="23"/>
      <c r="B1477" s="23"/>
      <c r="C1477" s="23"/>
      <c r="E1477" s="203"/>
      <c r="F1477" s="203"/>
      <c r="G1477" s="203"/>
      <c r="H1477" s="203"/>
      <c r="I1477" s="203"/>
      <c r="J1477" s="203"/>
      <c r="K1477" s="203"/>
      <c r="L1477" s="203"/>
      <c r="M1477" s="203"/>
      <c r="N1477" s="203"/>
      <c r="O1477" s="203"/>
      <c r="P1477" s="203"/>
    </row>
    <row r="1478" spans="1:16" x14ac:dyDescent="0.25">
      <c r="A1478" s="23"/>
      <c r="B1478" s="23"/>
      <c r="C1478" s="23"/>
      <c r="E1478" s="203"/>
      <c r="F1478" s="203"/>
      <c r="G1478" s="203"/>
      <c r="H1478" s="203"/>
      <c r="I1478" s="203"/>
      <c r="J1478" s="203"/>
      <c r="K1478" s="203"/>
      <c r="L1478" s="203"/>
      <c r="M1478" s="203"/>
      <c r="N1478" s="203"/>
      <c r="O1478" s="203"/>
      <c r="P1478" s="203"/>
    </row>
    <row r="1479" spans="1:16" x14ac:dyDescent="0.25">
      <c r="A1479" s="23"/>
      <c r="B1479" s="23"/>
      <c r="C1479" s="23"/>
    </row>
    <row r="1480" spans="1:16" x14ac:dyDescent="0.25">
      <c r="A1480" s="23"/>
      <c r="B1480" s="23"/>
      <c r="C1480" s="23"/>
    </row>
    <row r="1481" spans="1:16" x14ac:dyDescent="0.25">
      <c r="A1481" s="23"/>
      <c r="B1481" s="23"/>
      <c r="C1481" s="23"/>
    </row>
    <row r="1487" spans="1:16" ht="13.5" customHeight="1" x14ac:dyDescent="0.25">
      <c r="H1487" s="211"/>
      <c r="I1487" s="211"/>
      <c r="J1487" s="211"/>
      <c r="K1487" s="211"/>
    </row>
    <row r="1488" spans="1:16" x14ac:dyDescent="0.25">
      <c r="H1488" s="211"/>
      <c r="I1488" s="211"/>
      <c r="J1488" s="211"/>
      <c r="K1488" s="211"/>
    </row>
    <row r="1489" spans="8:11" x14ac:dyDescent="0.25">
      <c r="H1489" s="211"/>
      <c r="I1489" s="211"/>
      <c r="J1489" s="211"/>
      <c r="K1489" s="211"/>
    </row>
    <row r="1490" spans="8:11" x14ac:dyDescent="0.25">
      <c r="H1490" s="211"/>
      <c r="I1490" s="211"/>
      <c r="J1490" s="211"/>
      <c r="K1490" s="211"/>
    </row>
    <row r="1492" spans="8:11" x14ac:dyDescent="0.25">
      <c r="H1492" s="211"/>
      <c r="I1492" s="211"/>
      <c r="J1492" s="211"/>
      <c r="K1492" s="211"/>
    </row>
    <row r="1493" spans="8:11" x14ac:dyDescent="0.25">
      <c r="H1493" s="211"/>
      <c r="I1493" s="211"/>
      <c r="J1493" s="211"/>
      <c r="K1493" s="211"/>
    </row>
    <row r="1494" spans="8:11" x14ac:dyDescent="0.25">
      <c r="H1494" s="211"/>
      <c r="I1494" s="211"/>
      <c r="J1494" s="211"/>
      <c r="K1494" s="211"/>
    </row>
    <row r="1495" spans="8:11" x14ac:dyDescent="0.25">
      <c r="H1495" s="211"/>
      <c r="I1495" s="211"/>
      <c r="J1495" s="211"/>
      <c r="K1495" s="211"/>
    </row>
    <row r="1521" spans="5:16" x14ac:dyDescent="0.25">
      <c r="E1521" s="202"/>
      <c r="F1521" s="202"/>
      <c r="G1521" s="202"/>
      <c r="H1521" s="202"/>
      <c r="I1521" s="202"/>
      <c r="J1521" s="202"/>
      <c r="K1521" s="202"/>
      <c r="L1521" s="202"/>
      <c r="M1521" s="202"/>
      <c r="N1521" s="202"/>
      <c r="O1521" s="202"/>
      <c r="P1521" s="202"/>
    </row>
  </sheetData>
  <mergeCells count="167">
    <mergeCell ref="H1492:K1492"/>
    <mergeCell ref="H1493:K1493"/>
    <mergeCell ref="H1494:K1494"/>
    <mergeCell ref="H1495:K1495"/>
    <mergeCell ref="A1238:Q1238"/>
    <mergeCell ref="A1240:Q1240"/>
    <mergeCell ref="H1487:K1487"/>
    <mergeCell ref="H1488:K1488"/>
    <mergeCell ref="H1489:K1489"/>
    <mergeCell ref="H1490:K1490"/>
    <mergeCell ref="A1189:Q1189"/>
    <mergeCell ref="A1191:Q1191"/>
    <mergeCell ref="A1234:Q1234"/>
    <mergeCell ref="A1235:Q1235"/>
    <mergeCell ref="A1236:Q1236"/>
    <mergeCell ref="A1237:Q1237"/>
    <mergeCell ref="A1140:Q1140"/>
    <mergeCell ref="A1142:Q1142"/>
    <mergeCell ref="A1185:Q1185"/>
    <mergeCell ref="A1186:Q1186"/>
    <mergeCell ref="A1187:Q1187"/>
    <mergeCell ref="A1188:Q1188"/>
    <mergeCell ref="A1091:Q1091"/>
    <mergeCell ref="A1093:Q1093"/>
    <mergeCell ref="A1136:Q1136"/>
    <mergeCell ref="A1137:Q1137"/>
    <mergeCell ref="A1138:Q1138"/>
    <mergeCell ref="A1139:Q1139"/>
    <mergeCell ref="A1042:Q1042"/>
    <mergeCell ref="A1044:Q1044"/>
    <mergeCell ref="A1087:Q1087"/>
    <mergeCell ref="A1088:Q1088"/>
    <mergeCell ref="A1089:Q1089"/>
    <mergeCell ref="A1090:Q1090"/>
    <mergeCell ref="A993:Q993"/>
    <mergeCell ref="A995:Q995"/>
    <mergeCell ref="A1038:Q1038"/>
    <mergeCell ref="A1039:Q1039"/>
    <mergeCell ref="A1040:Q1040"/>
    <mergeCell ref="A1041:Q1041"/>
    <mergeCell ref="A944:Q944"/>
    <mergeCell ref="A946:Q946"/>
    <mergeCell ref="A989:Q989"/>
    <mergeCell ref="A990:Q990"/>
    <mergeCell ref="A991:Q991"/>
    <mergeCell ref="A992:Q992"/>
    <mergeCell ref="A895:Q895"/>
    <mergeCell ref="A897:Q897"/>
    <mergeCell ref="A940:Q940"/>
    <mergeCell ref="A941:Q941"/>
    <mergeCell ref="A942:Q942"/>
    <mergeCell ref="A943:Q943"/>
    <mergeCell ref="A846:Q846"/>
    <mergeCell ref="A848:Q848"/>
    <mergeCell ref="A891:Q891"/>
    <mergeCell ref="A892:Q892"/>
    <mergeCell ref="A893:Q893"/>
    <mergeCell ref="A894:Q894"/>
    <mergeCell ref="A797:Q797"/>
    <mergeCell ref="A799:Q799"/>
    <mergeCell ref="A842:Q842"/>
    <mergeCell ref="A843:Q843"/>
    <mergeCell ref="A844:Q844"/>
    <mergeCell ref="A845:Q845"/>
    <mergeCell ref="A749:Q749"/>
    <mergeCell ref="A751:Q751"/>
    <mergeCell ref="A793:Q793"/>
    <mergeCell ref="A794:Q794"/>
    <mergeCell ref="A795:Q795"/>
    <mergeCell ref="A796:Q796"/>
    <mergeCell ref="A700:Q700"/>
    <mergeCell ref="A702:Q702"/>
    <mergeCell ref="A745:Q745"/>
    <mergeCell ref="A746:Q746"/>
    <mergeCell ref="A747:Q747"/>
    <mergeCell ref="A748:Q748"/>
    <mergeCell ref="A651:Q651"/>
    <mergeCell ref="A653:Q653"/>
    <mergeCell ref="A696:Q696"/>
    <mergeCell ref="A697:Q697"/>
    <mergeCell ref="A698:Q698"/>
    <mergeCell ref="A699:Q699"/>
    <mergeCell ref="A602:Q602"/>
    <mergeCell ref="A604:Q604"/>
    <mergeCell ref="A647:Q647"/>
    <mergeCell ref="A648:Q648"/>
    <mergeCell ref="A649:Q649"/>
    <mergeCell ref="A650:Q650"/>
    <mergeCell ref="A553:Q553"/>
    <mergeCell ref="A555:Q555"/>
    <mergeCell ref="A598:Q598"/>
    <mergeCell ref="A599:Q599"/>
    <mergeCell ref="A600:Q600"/>
    <mergeCell ref="A601:Q601"/>
    <mergeCell ref="A504:Q504"/>
    <mergeCell ref="A506:Q506"/>
    <mergeCell ref="A549:Q549"/>
    <mergeCell ref="A550:Q550"/>
    <mergeCell ref="A551:Q551"/>
    <mergeCell ref="A552:Q552"/>
    <mergeCell ref="A455:Q455"/>
    <mergeCell ref="A457:Q457"/>
    <mergeCell ref="A500:Q500"/>
    <mergeCell ref="A501:Q501"/>
    <mergeCell ref="A502:Q502"/>
    <mergeCell ref="A503:Q503"/>
    <mergeCell ref="A406:Q406"/>
    <mergeCell ref="A408:Q408"/>
    <mergeCell ref="A451:Q451"/>
    <mergeCell ref="A452:Q452"/>
    <mergeCell ref="A453:Q453"/>
    <mergeCell ref="A454:Q454"/>
    <mergeCell ref="A359:Q359"/>
    <mergeCell ref="A361:Q361"/>
    <mergeCell ref="A402:Q402"/>
    <mergeCell ref="A403:Q403"/>
    <mergeCell ref="A404:Q404"/>
    <mergeCell ref="A405:Q405"/>
    <mergeCell ref="A310:Q310"/>
    <mergeCell ref="A312:Q312"/>
    <mergeCell ref="A355:Q355"/>
    <mergeCell ref="A356:Q356"/>
    <mergeCell ref="A357:Q357"/>
    <mergeCell ref="A358:Q358"/>
    <mergeCell ref="A261:Q261"/>
    <mergeCell ref="A263:Q263"/>
    <mergeCell ref="A306:Q306"/>
    <mergeCell ref="A307:Q307"/>
    <mergeCell ref="A308:Q308"/>
    <mergeCell ref="A309:Q309"/>
    <mergeCell ref="A213:Q213"/>
    <mergeCell ref="A215:Q215"/>
    <mergeCell ref="A257:Q257"/>
    <mergeCell ref="A258:Q258"/>
    <mergeCell ref="A259:Q259"/>
    <mergeCell ref="A260:Q260"/>
    <mergeCell ref="A165:Q165"/>
    <mergeCell ref="A167:Q167"/>
    <mergeCell ref="A209:Q209"/>
    <mergeCell ref="A210:Q210"/>
    <mergeCell ref="A211:Q211"/>
    <mergeCell ref="A212:Q212"/>
    <mergeCell ref="A118:Q118"/>
    <mergeCell ref="A120:Q120"/>
    <mergeCell ref="A161:Q161"/>
    <mergeCell ref="A162:Q162"/>
    <mergeCell ref="A163:Q163"/>
    <mergeCell ref="A164:Q164"/>
    <mergeCell ref="A70:Q70"/>
    <mergeCell ref="T70:AM70"/>
    <mergeCell ref="A114:Q114"/>
    <mergeCell ref="A115:Q115"/>
    <mergeCell ref="A116:Q116"/>
    <mergeCell ref="A117:Q117"/>
    <mergeCell ref="A66:Q66"/>
    <mergeCell ref="T66:AM66"/>
    <mergeCell ref="A67:Q67"/>
    <mergeCell ref="T67:AM67"/>
    <mergeCell ref="A68:Q68"/>
    <mergeCell ref="T68:AM68"/>
    <mergeCell ref="A8:Q8"/>
    <mergeCell ref="A9:Q9"/>
    <mergeCell ref="A10:Q10"/>
    <mergeCell ref="A64:Q64"/>
    <mergeCell ref="T64:AM64"/>
    <mergeCell ref="A65:Q65"/>
    <mergeCell ref="T65:AM65"/>
  </mergeCells>
  <pageMargins left="0.5" right="0.5" top="1" bottom="0.75" header="0.55000000000000004" footer="0.3"/>
  <pageSetup scale="54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22" manualBreakCount="22">
    <brk id="111" max="16" man="1"/>
    <brk id="159" max="16" man="1"/>
    <brk id="206" max="16" man="1"/>
    <brk id="254" max="16" man="1"/>
    <brk id="303" max="16" man="1"/>
    <brk id="352" max="16" man="1"/>
    <brk id="400" max="16" man="1"/>
    <brk id="448" max="16" man="1"/>
    <brk id="497" max="16" man="1"/>
    <brk id="546" max="16" man="1"/>
    <brk id="595" max="16" man="1"/>
    <brk id="644" max="16" man="1"/>
    <brk id="694" max="16" man="1"/>
    <brk id="743" max="16" man="1"/>
    <brk id="791" max="16" man="1"/>
    <brk id="839" max="16" man="1"/>
    <brk id="888" max="16" man="1"/>
    <brk id="937" max="16" man="1"/>
    <brk id="986" max="16" man="1"/>
    <brk id="1035" max="16" man="1"/>
    <brk id="1083" max="16" man="1"/>
    <brk id="1133" max="1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586F-607A-49BA-9E94-61652BE4948C}">
  <sheetPr transitionEvaluation="1" transitionEntry="1"/>
  <dimension ref="A1:S183"/>
  <sheetViews>
    <sheetView showGridLines="0" defaultGridColor="0" view="pageBreakPreview" colorId="8" zoomScale="70" zoomScaleNormal="80" zoomScaleSheetLayoutView="70" workbookViewId="0">
      <selection activeCell="Q28" sqref="Q28"/>
    </sheetView>
  </sheetViews>
  <sheetFormatPr defaultColWidth="11.58203125" defaultRowHeight="12.5" x14ac:dyDescent="0.25"/>
  <cols>
    <col min="1" max="1" width="4.33203125" style="1" customWidth="1"/>
    <col min="2" max="2" width="3" style="1" customWidth="1"/>
    <col min="3" max="3" width="35.58203125" style="1" customWidth="1"/>
    <col min="4" max="4" width="14" style="1" customWidth="1"/>
    <col min="5" max="16" width="11.58203125" style="1"/>
    <col min="17" max="17" width="12.08203125" style="1" customWidth="1"/>
    <col min="18" max="18" width="3.58203125" style="1" customWidth="1"/>
    <col min="19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52"/>
      <c r="S2" s="1">
        <v>32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21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211" t="s">
        <v>363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19" x14ac:dyDescent="0.25">
      <c r="A8" s="211" t="s">
        <v>364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253" t="s">
        <v>257</v>
      </c>
      <c r="E12" s="253" t="str">
        <f>'42-8_Project 1'!E12</f>
        <v xml:space="preserve">Actual </v>
      </c>
      <c r="F12" s="253" t="str">
        <f>'42-8_Project 1'!F12</f>
        <v xml:space="preserve">Actual </v>
      </c>
      <c r="G12" s="253" t="str">
        <f>'42-8_Project 1'!G12</f>
        <v xml:space="preserve">Actual </v>
      </c>
      <c r="H12" s="253" t="str">
        <f>'42-8_Project 1'!H12</f>
        <v xml:space="preserve">Actual </v>
      </c>
      <c r="I12" s="253" t="str">
        <f>'42-8_Project 1'!I12</f>
        <v xml:space="preserve">Actual </v>
      </c>
      <c r="J12" s="253" t="str">
        <f>'42-8_Project 1'!J12</f>
        <v>Estimated</v>
      </c>
      <c r="K12" s="253" t="str">
        <f>'42-8_Project 1'!K12</f>
        <v>Estimated</v>
      </c>
      <c r="L12" s="253" t="str">
        <f>'42-8_Project 1'!L12</f>
        <v>Estimated</v>
      </c>
      <c r="M12" s="253" t="str">
        <f>'42-8_Project 1'!M12</f>
        <v>Estimated</v>
      </c>
      <c r="N12" s="253" t="str">
        <f>'42-8_Project 1'!N12</f>
        <v>Estimated</v>
      </c>
      <c r="O12" s="253" t="str">
        <f>'42-8_Project 1'!O12</f>
        <v>Estimated</v>
      </c>
      <c r="P12" s="253" t="str">
        <f>'42-8_Project 1'!P12</f>
        <v>Estimated</v>
      </c>
      <c r="Q12" s="253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7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365</v>
      </c>
      <c r="D15" s="202"/>
      <c r="E15" s="202">
        <f>E78+E144</f>
        <v>0</v>
      </c>
      <c r="F15" s="202">
        <f t="shared" ref="F15:P15" si="0">F78+F144</f>
        <v>0</v>
      </c>
      <c r="G15" s="202">
        <f t="shared" si="0"/>
        <v>0</v>
      </c>
      <c r="H15" s="202">
        <f t="shared" si="0"/>
        <v>0</v>
      </c>
      <c r="I15" s="202">
        <f t="shared" si="0"/>
        <v>0</v>
      </c>
      <c r="J15" s="202">
        <f t="shared" si="0"/>
        <v>0</v>
      </c>
      <c r="K15" s="202">
        <f t="shared" si="0"/>
        <v>0</v>
      </c>
      <c r="L15" s="202">
        <f t="shared" si="0"/>
        <v>0</v>
      </c>
      <c r="M15" s="202">
        <f t="shared" si="0"/>
        <v>0</v>
      </c>
      <c r="N15" s="202">
        <f t="shared" si="0"/>
        <v>0</v>
      </c>
      <c r="O15" s="202">
        <f t="shared" si="0"/>
        <v>0</v>
      </c>
      <c r="P15" s="202">
        <f t="shared" si="0"/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366</v>
      </c>
      <c r="E16" s="202">
        <f t="shared" ref="E16:P17" si="1">E79+E145</f>
        <v>0</v>
      </c>
      <c r="F16" s="202">
        <f t="shared" si="1"/>
        <v>0</v>
      </c>
      <c r="G16" s="202">
        <f t="shared" si="1"/>
        <v>0</v>
      </c>
      <c r="H16" s="202">
        <f t="shared" si="1"/>
        <v>0</v>
      </c>
      <c r="I16" s="202">
        <f t="shared" si="1"/>
        <v>0</v>
      </c>
      <c r="J16" s="202">
        <f t="shared" si="1"/>
        <v>0</v>
      </c>
      <c r="K16" s="202">
        <f t="shared" si="1"/>
        <v>0</v>
      </c>
      <c r="L16" s="202">
        <f t="shared" si="1"/>
        <v>0</v>
      </c>
      <c r="M16" s="202">
        <f t="shared" si="1"/>
        <v>0</v>
      </c>
      <c r="N16" s="202">
        <f t="shared" si="1"/>
        <v>0</v>
      </c>
      <c r="O16" s="202">
        <f t="shared" si="1"/>
        <v>0</v>
      </c>
      <c r="P16" s="202">
        <f t="shared" si="1"/>
        <v>0</v>
      </c>
      <c r="Q16" s="1">
        <f>SUM(E16:P16)</f>
        <v>0</v>
      </c>
    </row>
    <row r="17" spans="1:17" x14ac:dyDescent="0.25">
      <c r="A17" s="13"/>
      <c r="B17" s="23" t="s">
        <v>266</v>
      </c>
      <c r="C17" s="23" t="s">
        <v>367</v>
      </c>
      <c r="E17" s="202">
        <f t="shared" si="1"/>
        <v>0</v>
      </c>
      <c r="F17" s="202">
        <f t="shared" si="1"/>
        <v>0</v>
      </c>
      <c r="G17" s="202">
        <f t="shared" si="1"/>
        <v>0</v>
      </c>
      <c r="H17" s="202">
        <f t="shared" si="1"/>
        <v>0</v>
      </c>
      <c r="I17" s="202">
        <f t="shared" si="1"/>
        <v>0</v>
      </c>
      <c r="J17" s="202">
        <f t="shared" si="1"/>
        <v>0</v>
      </c>
      <c r="K17" s="202">
        <f t="shared" si="1"/>
        <v>0</v>
      </c>
      <c r="L17" s="202">
        <f t="shared" si="1"/>
        <v>0</v>
      </c>
      <c r="M17" s="202">
        <f t="shared" si="1"/>
        <v>0</v>
      </c>
      <c r="N17" s="202">
        <f t="shared" si="1"/>
        <v>0</v>
      </c>
      <c r="O17" s="202">
        <f t="shared" si="1"/>
        <v>0</v>
      </c>
      <c r="P17" s="202">
        <f t="shared" si="1"/>
        <v>0</v>
      </c>
      <c r="Q17" s="1">
        <f>SUM(E17:P17)</f>
        <v>0</v>
      </c>
    </row>
    <row r="18" spans="1:17" x14ac:dyDescent="0.25">
      <c r="A18" s="13">
        <v>2</v>
      </c>
      <c r="B18" s="11" t="s">
        <v>368</v>
      </c>
      <c r="C18" s="25"/>
    </row>
    <row r="19" spans="1:17" x14ac:dyDescent="0.25">
      <c r="B19" s="23" t="s">
        <v>262</v>
      </c>
      <c r="C19" s="23" t="s">
        <v>369</v>
      </c>
      <c r="D19" s="202">
        <v>5767.5400000000009</v>
      </c>
      <c r="E19" s="1">
        <f>D19-E35+E15</f>
        <v>4838.9500000000007</v>
      </c>
      <c r="F19" s="1">
        <f t="shared" ref="F19:P19" si="2">E19-F35+F15</f>
        <v>5125.2900000000009</v>
      </c>
      <c r="G19" s="1">
        <f t="shared" si="2"/>
        <v>5125.2900000000009</v>
      </c>
      <c r="H19" s="1">
        <f t="shared" si="2"/>
        <v>4949.7600000000011</v>
      </c>
      <c r="I19" s="1">
        <f t="shared" si="2"/>
        <v>4949.7600000000011</v>
      </c>
      <c r="J19" s="1">
        <f t="shared" si="2"/>
        <v>4856.3535894233273</v>
      </c>
      <c r="K19" s="1">
        <f t="shared" si="2"/>
        <v>4775.784142194052</v>
      </c>
      <c r="L19" s="1">
        <f t="shared" si="2"/>
        <v>4676.3620134789662</v>
      </c>
      <c r="M19" s="1">
        <f t="shared" si="2"/>
        <v>4589.7207560432444</v>
      </c>
      <c r="N19" s="1">
        <f t="shared" si="2"/>
        <v>4529.6926238936021</v>
      </c>
      <c r="O19" s="1">
        <f t="shared" si="2"/>
        <v>4471.9678894063773</v>
      </c>
      <c r="P19" s="1">
        <f t="shared" si="2"/>
        <v>4405.0745378652355</v>
      </c>
    </row>
    <row r="20" spans="1:17" x14ac:dyDescent="0.25">
      <c r="B20" s="23" t="s">
        <v>264</v>
      </c>
      <c r="C20" s="23" t="s">
        <v>370</v>
      </c>
      <c r="D20" s="202">
        <f>D83+D149</f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7" x14ac:dyDescent="0.25">
      <c r="B21" s="23" t="s">
        <v>266</v>
      </c>
      <c r="C21" s="23" t="s">
        <v>371</v>
      </c>
      <c r="D21" s="202">
        <f>D84+D150</f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7" x14ac:dyDescent="0.25">
      <c r="B22" s="1" t="s">
        <v>268</v>
      </c>
      <c r="C22" s="1" t="s">
        <v>372</v>
      </c>
      <c r="D22" s="199">
        <f>D85+D151</f>
        <v>0</v>
      </c>
      <c r="E22" s="199">
        <f>D22-E33</f>
        <v>0</v>
      </c>
      <c r="F22" s="199">
        <f t="shared" ref="F22:P22" si="3">E22-F33-F17</f>
        <v>0</v>
      </c>
      <c r="G22" s="199">
        <f t="shared" si="3"/>
        <v>0</v>
      </c>
      <c r="H22" s="199">
        <f t="shared" si="3"/>
        <v>0</v>
      </c>
      <c r="I22" s="199">
        <f t="shared" si="3"/>
        <v>0</v>
      </c>
      <c r="J22" s="199">
        <f t="shared" si="3"/>
        <v>0</v>
      </c>
      <c r="K22" s="199">
        <f t="shared" si="3"/>
        <v>0</v>
      </c>
      <c r="L22" s="199">
        <f t="shared" si="3"/>
        <v>0</v>
      </c>
      <c r="M22" s="199">
        <f t="shared" si="3"/>
        <v>0</v>
      </c>
      <c r="N22" s="199">
        <f t="shared" si="3"/>
        <v>0</v>
      </c>
      <c r="O22" s="199">
        <f t="shared" si="3"/>
        <v>0</v>
      </c>
      <c r="P22" s="199">
        <f t="shared" si="3"/>
        <v>0</v>
      </c>
    </row>
    <row r="23" spans="1:17" x14ac:dyDescent="0.25">
      <c r="A23" s="13">
        <v>3</v>
      </c>
      <c r="B23" s="11" t="s">
        <v>373</v>
      </c>
      <c r="C23" s="13"/>
      <c r="D23" s="199">
        <f>ROUND(SUM(D19:D22),2)</f>
        <v>5767.54</v>
      </c>
      <c r="E23" s="199">
        <f t="shared" ref="E23:P23" si="4">ROUND(SUM(E19:E22),2)</f>
        <v>4838.95</v>
      </c>
      <c r="F23" s="199">
        <f t="shared" si="4"/>
        <v>5125.29</v>
      </c>
      <c r="G23" s="199">
        <f t="shared" si="4"/>
        <v>5125.29</v>
      </c>
      <c r="H23" s="199">
        <f t="shared" si="4"/>
        <v>4949.76</v>
      </c>
      <c r="I23" s="199">
        <f t="shared" si="4"/>
        <v>4949.76</v>
      </c>
      <c r="J23" s="199">
        <f t="shared" si="4"/>
        <v>4856.3500000000004</v>
      </c>
      <c r="K23" s="199">
        <f t="shared" si="4"/>
        <v>4775.78</v>
      </c>
      <c r="L23" s="199">
        <f t="shared" si="4"/>
        <v>4676.3599999999997</v>
      </c>
      <c r="M23" s="199">
        <f t="shared" si="4"/>
        <v>4589.72</v>
      </c>
      <c r="N23" s="199">
        <f t="shared" si="4"/>
        <v>4529.6899999999996</v>
      </c>
      <c r="O23" s="199">
        <f t="shared" si="4"/>
        <v>4471.97</v>
      </c>
      <c r="P23" s="199">
        <f t="shared" si="4"/>
        <v>4405.07</v>
      </c>
    </row>
    <row r="24" spans="1:17" x14ac:dyDescent="0.25">
      <c r="B24" s="23"/>
    </row>
    <row r="25" spans="1:17" x14ac:dyDescent="0.25">
      <c r="A25" s="13">
        <v>4</v>
      </c>
      <c r="B25" s="23" t="s">
        <v>374</v>
      </c>
      <c r="C25" s="23"/>
      <c r="E25" s="1">
        <f>(D23+E23)/2</f>
        <v>5303.2449999999999</v>
      </c>
      <c r="F25" s="1">
        <f t="shared" ref="F25:P25" si="5">(E23+F23)/2</f>
        <v>4982.12</v>
      </c>
      <c r="G25" s="1">
        <f t="shared" si="5"/>
        <v>5125.29</v>
      </c>
      <c r="H25" s="1">
        <f t="shared" si="5"/>
        <v>5037.5249999999996</v>
      </c>
      <c r="I25" s="1">
        <f t="shared" si="5"/>
        <v>4949.76</v>
      </c>
      <c r="J25" s="1">
        <f t="shared" si="5"/>
        <v>4903.0550000000003</v>
      </c>
      <c r="K25" s="1">
        <f t="shared" si="5"/>
        <v>4816.0650000000005</v>
      </c>
      <c r="L25" s="1">
        <f t="shared" si="5"/>
        <v>4726.07</v>
      </c>
      <c r="M25" s="1">
        <f t="shared" si="5"/>
        <v>4633.04</v>
      </c>
      <c r="N25" s="1">
        <f t="shared" si="5"/>
        <v>4559.7049999999999</v>
      </c>
      <c r="O25" s="1">
        <f t="shared" si="5"/>
        <v>4500.83</v>
      </c>
      <c r="P25" s="1">
        <f t="shared" si="5"/>
        <v>4438.5200000000004</v>
      </c>
    </row>
    <row r="26" spans="1:17" x14ac:dyDescent="0.25">
      <c r="B26" s="20"/>
    </row>
    <row r="27" spans="1:17" x14ac:dyDescent="0.25">
      <c r="A27" s="13">
        <v>5</v>
      </c>
      <c r="B27" s="23" t="s">
        <v>375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7" x14ac:dyDescent="0.25">
      <c r="B28" s="23" t="s">
        <v>262</v>
      </c>
      <c r="C28" s="23" t="s">
        <v>376</v>
      </c>
      <c r="E28" s="1">
        <v>24.416139979999997</v>
      </c>
      <c r="F28" s="1">
        <v>22.937680479999997</v>
      </c>
      <c r="G28" s="1">
        <v>23.596835159999998</v>
      </c>
      <c r="H28" s="1">
        <v>23.192765099999995</v>
      </c>
      <c r="I28" s="1">
        <v>22.78869504</v>
      </c>
      <c r="J28" s="1">
        <v>22.573665219999999</v>
      </c>
      <c r="K28" s="1">
        <v>23.064135285000003</v>
      </c>
      <c r="L28" s="1">
        <v>22.633149229999997</v>
      </c>
      <c r="M28" s="1">
        <v>22.18762856</v>
      </c>
      <c r="N28" s="1">
        <v>21.836427244999999</v>
      </c>
      <c r="O28" s="1">
        <v>21.55447487</v>
      </c>
      <c r="P28" s="1">
        <v>21.256072280000001</v>
      </c>
      <c r="Q28" s="1">
        <f>ROUND(SUM(E28:P28),2)</f>
        <v>272.04000000000002</v>
      </c>
    </row>
    <row r="29" spans="1:17" x14ac:dyDescent="0.25">
      <c r="B29" s="23" t="s">
        <v>264</v>
      </c>
      <c r="C29" s="11" t="s">
        <v>377</v>
      </c>
      <c r="E29" s="225">
        <v>6.1623706900000004</v>
      </c>
      <c r="F29" s="225">
        <v>5.7892234399999998</v>
      </c>
      <c r="G29" s="225">
        <v>5.9555869800000005</v>
      </c>
      <c r="H29" s="225">
        <v>5.8536040499999995</v>
      </c>
      <c r="I29" s="225">
        <v>5.7516211200000003</v>
      </c>
      <c r="J29" s="225">
        <v>5.6973499100000007</v>
      </c>
      <c r="K29" s="225">
        <v>5.0520521850000009</v>
      </c>
      <c r="L29" s="225">
        <v>4.9576474299999997</v>
      </c>
      <c r="M29" s="225">
        <v>4.8600589599999999</v>
      </c>
      <c r="N29" s="225">
        <v>4.7831305449999997</v>
      </c>
      <c r="O29" s="225">
        <v>4.7213706699999998</v>
      </c>
      <c r="P29" s="225">
        <v>4.6560074800000004</v>
      </c>
      <c r="Q29" s="225">
        <f>ROUND(SUM(E29:P29),2)</f>
        <v>64.239999999999995</v>
      </c>
    </row>
    <row r="30" spans="1:17" x14ac:dyDescent="0.25">
      <c r="A30" s="13">
        <v>6</v>
      </c>
      <c r="B30" s="16" t="s">
        <v>378</v>
      </c>
      <c r="E30" s="1">
        <f>ROUND(SUM(E28:E29),2)</f>
        <v>30.58</v>
      </c>
      <c r="F30" s="1">
        <f t="shared" ref="F30:P30" si="6">ROUND(SUM(F28:F29),2)</f>
        <v>28.73</v>
      </c>
      <c r="G30" s="1">
        <f t="shared" si="6"/>
        <v>29.55</v>
      </c>
      <c r="H30" s="1">
        <f t="shared" si="6"/>
        <v>29.05</v>
      </c>
      <c r="I30" s="1">
        <f t="shared" si="6"/>
        <v>28.54</v>
      </c>
      <c r="J30" s="1">
        <f t="shared" si="6"/>
        <v>28.27</v>
      </c>
      <c r="K30" s="1">
        <f t="shared" si="6"/>
        <v>28.12</v>
      </c>
      <c r="L30" s="1">
        <f t="shared" si="6"/>
        <v>27.59</v>
      </c>
      <c r="M30" s="1">
        <f t="shared" si="6"/>
        <v>27.05</v>
      </c>
      <c r="N30" s="1">
        <f t="shared" si="6"/>
        <v>26.62</v>
      </c>
      <c r="O30" s="1">
        <f t="shared" si="6"/>
        <v>26.28</v>
      </c>
      <c r="P30" s="1">
        <f t="shared" si="6"/>
        <v>25.91</v>
      </c>
      <c r="Q30" s="1">
        <f>ROUND(SUM(Q28:Q29),2)</f>
        <v>336.28</v>
      </c>
    </row>
    <row r="31" spans="1:17" x14ac:dyDescent="0.25">
      <c r="A31" s="13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7" x14ac:dyDescent="0.25">
      <c r="A32" s="13">
        <v>7</v>
      </c>
      <c r="B32" s="23" t="s">
        <v>379</v>
      </c>
    </row>
    <row r="33" spans="1:19" x14ac:dyDescent="0.25">
      <c r="A33" s="200"/>
      <c r="B33" s="23" t="s">
        <v>262</v>
      </c>
      <c r="C33" s="23" t="s">
        <v>380</v>
      </c>
      <c r="E33" s="1">
        <f>E96+E162</f>
        <v>0</v>
      </c>
      <c r="F33" s="1">
        <f t="shared" ref="F33:P33" si="7">F96+F162</f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>ROUND(SUM(E33:P33),2)</f>
        <v>0</v>
      </c>
    </row>
    <row r="34" spans="1:19" x14ac:dyDescent="0.25">
      <c r="A34" s="200"/>
      <c r="B34" s="23" t="s">
        <v>264</v>
      </c>
      <c r="C34" s="23" t="s">
        <v>381</v>
      </c>
      <c r="E34" s="1">
        <f t="shared" ref="E34:P34" si="8">E97+E163</f>
        <v>0</v>
      </c>
      <c r="F34" s="1">
        <f t="shared" si="8"/>
        <v>0</v>
      </c>
      <c r="G34" s="1">
        <f t="shared" si="8"/>
        <v>0</v>
      </c>
      <c r="H34" s="1">
        <f t="shared" si="8"/>
        <v>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1">
        <f t="shared" si="8"/>
        <v>0</v>
      </c>
      <c r="M34" s="1">
        <f t="shared" si="8"/>
        <v>0</v>
      </c>
      <c r="N34" s="1">
        <f t="shared" si="8"/>
        <v>0</v>
      </c>
      <c r="O34" s="1">
        <f t="shared" si="8"/>
        <v>0</v>
      </c>
      <c r="P34" s="1">
        <f t="shared" si="8"/>
        <v>0</v>
      </c>
      <c r="Q34" s="1">
        <f>ROUND(SUM(E34:P34),2)</f>
        <v>0</v>
      </c>
    </row>
    <row r="35" spans="1:19" x14ac:dyDescent="0.25">
      <c r="A35" s="200"/>
      <c r="B35" s="23" t="s">
        <v>266</v>
      </c>
      <c r="C35" s="23" t="s">
        <v>382</v>
      </c>
      <c r="E35" s="199">
        <v>928.59</v>
      </c>
      <c r="F35" s="199">
        <v>-286.33999999999997</v>
      </c>
      <c r="G35" s="199">
        <v>0</v>
      </c>
      <c r="H35" s="199">
        <v>175.53</v>
      </c>
      <c r="I35" s="199">
        <v>0</v>
      </c>
      <c r="J35" s="199">
        <v>93.406410576673863</v>
      </c>
      <c r="K35" s="199">
        <v>80.569447229274942</v>
      </c>
      <c r="L35" s="199">
        <v>99.422128715085691</v>
      </c>
      <c r="M35" s="199">
        <v>86.64125743572157</v>
      </c>
      <c r="N35" s="199">
        <v>60.028132149641998</v>
      </c>
      <c r="O35" s="199">
        <v>57.724734487224801</v>
      </c>
      <c r="P35" s="199">
        <v>66.893351541141868</v>
      </c>
      <c r="Q35" s="199">
        <f>SUM(E35:P35)</f>
        <v>1362.4654621347647</v>
      </c>
      <c r="S35" s="1">
        <f>Q35+'42-8_Seas_NOx'!Q35+'42-8_SO2'!Q35</f>
        <v>33378.646245970594</v>
      </c>
    </row>
    <row r="36" spans="1:19" x14ac:dyDescent="0.25">
      <c r="A36" s="200">
        <v>8</v>
      </c>
      <c r="B36" s="23" t="s">
        <v>383</v>
      </c>
      <c r="C36" s="23"/>
      <c r="E36" s="202">
        <f>ROUND(SUM(E33:E35),2)</f>
        <v>928.59</v>
      </c>
      <c r="F36" s="202">
        <f t="shared" ref="F36:P36" si="9">ROUND(SUM(F33:F35),2)</f>
        <v>-286.33999999999997</v>
      </c>
      <c r="G36" s="202">
        <f t="shared" si="9"/>
        <v>0</v>
      </c>
      <c r="H36" s="202">
        <f t="shared" si="9"/>
        <v>175.53</v>
      </c>
      <c r="I36" s="202">
        <f t="shared" si="9"/>
        <v>0</v>
      </c>
      <c r="J36" s="202">
        <f t="shared" si="9"/>
        <v>93.41</v>
      </c>
      <c r="K36" s="202">
        <f t="shared" si="9"/>
        <v>80.569999999999993</v>
      </c>
      <c r="L36" s="202">
        <f t="shared" si="9"/>
        <v>99.42</v>
      </c>
      <c r="M36" s="202">
        <f t="shared" si="9"/>
        <v>86.64</v>
      </c>
      <c r="N36" s="202">
        <f t="shared" si="9"/>
        <v>60.03</v>
      </c>
      <c r="O36" s="202">
        <f t="shared" si="9"/>
        <v>57.72</v>
      </c>
      <c r="P36" s="202">
        <f t="shared" si="9"/>
        <v>66.89</v>
      </c>
      <c r="Q36" s="1">
        <f>SUM(E36:P36)</f>
        <v>1362.4600000000003</v>
      </c>
    </row>
    <row r="37" spans="1:19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9" x14ac:dyDescent="0.25">
      <c r="A38" s="13">
        <v>9</v>
      </c>
      <c r="B38" s="11" t="s">
        <v>384</v>
      </c>
      <c r="E38" s="1">
        <f t="shared" ref="E38:Q38" si="10">E30+E36</f>
        <v>959.17000000000007</v>
      </c>
      <c r="F38" s="1">
        <f t="shared" si="10"/>
        <v>-257.60999999999996</v>
      </c>
      <c r="G38" s="1">
        <f t="shared" si="10"/>
        <v>29.55</v>
      </c>
      <c r="H38" s="1">
        <f t="shared" si="10"/>
        <v>204.58</v>
      </c>
      <c r="I38" s="1">
        <f t="shared" si="10"/>
        <v>28.54</v>
      </c>
      <c r="J38" s="1">
        <f t="shared" si="10"/>
        <v>121.67999999999999</v>
      </c>
      <c r="K38" s="1">
        <f t="shared" si="10"/>
        <v>108.69</v>
      </c>
      <c r="L38" s="1">
        <f t="shared" si="10"/>
        <v>127.01</v>
      </c>
      <c r="M38" s="1">
        <f t="shared" si="10"/>
        <v>113.69</v>
      </c>
      <c r="N38" s="1">
        <f t="shared" si="10"/>
        <v>86.65</v>
      </c>
      <c r="O38" s="1">
        <f t="shared" si="10"/>
        <v>84</v>
      </c>
      <c r="P38" s="1">
        <f t="shared" si="10"/>
        <v>92.8</v>
      </c>
      <c r="Q38" s="1">
        <f t="shared" si="10"/>
        <v>1698.7400000000002</v>
      </c>
    </row>
    <row r="39" spans="1:19" x14ac:dyDescent="0.25">
      <c r="A39" s="200"/>
      <c r="B39" s="23" t="s">
        <v>262</v>
      </c>
      <c r="C39" s="23" t="s">
        <v>160</v>
      </c>
      <c r="E39" s="1">
        <f>E30*1/13+E36</f>
        <v>930.94230769230774</v>
      </c>
      <c r="F39" s="1">
        <f t="shared" ref="F39:P39" si="11">F30*1/13+F36</f>
        <v>-284.13</v>
      </c>
      <c r="G39" s="1">
        <f t="shared" si="11"/>
        <v>2.273076923076923</v>
      </c>
      <c r="H39" s="1">
        <f t="shared" si="11"/>
        <v>177.76461538461538</v>
      </c>
      <c r="I39" s="1">
        <f t="shared" si="11"/>
        <v>2.1953846153846155</v>
      </c>
      <c r="J39" s="1">
        <f t="shared" si="11"/>
        <v>95.584615384615375</v>
      </c>
      <c r="K39" s="1">
        <f t="shared" si="11"/>
        <v>82.733076923076922</v>
      </c>
      <c r="L39" s="1">
        <f t="shared" si="11"/>
        <v>101.54230769230769</v>
      </c>
      <c r="M39" s="1">
        <f t="shared" si="11"/>
        <v>88.720769230769235</v>
      </c>
      <c r="N39" s="1">
        <f t="shared" si="11"/>
        <v>62.07769230769231</v>
      </c>
      <c r="O39" s="1">
        <f t="shared" si="11"/>
        <v>59.741538461538461</v>
      </c>
      <c r="P39" s="1">
        <f t="shared" si="11"/>
        <v>68.883076923076928</v>
      </c>
      <c r="Q39" s="1">
        <f>ROUND(SUM(E39:P39),2)</f>
        <v>1388.33</v>
      </c>
    </row>
    <row r="40" spans="1:19" x14ac:dyDescent="0.25">
      <c r="A40" s="200"/>
      <c r="B40" s="23" t="s">
        <v>264</v>
      </c>
      <c r="C40" s="23" t="s">
        <v>161</v>
      </c>
      <c r="E40" s="1">
        <f t="shared" ref="E40:P40" si="12">E38-E39</f>
        <v>28.227692307692337</v>
      </c>
      <c r="F40" s="1">
        <f t="shared" si="12"/>
        <v>26.520000000000039</v>
      </c>
      <c r="G40" s="1">
        <f t="shared" si="12"/>
        <v>27.276923076923076</v>
      </c>
      <c r="H40" s="1">
        <f t="shared" si="12"/>
        <v>26.81538461538463</v>
      </c>
      <c r="I40" s="1">
        <f t="shared" si="12"/>
        <v>26.344615384615384</v>
      </c>
      <c r="J40" s="1">
        <f t="shared" si="12"/>
        <v>26.095384615384617</v>
      </c>
      <c r="K40" s="1">
        <f t="shared" si="12"/>
        <v>25.956923076923076</v>
      </c>
      <c r="L40" s="1">
        <f t="shared" si="12"/>
        <v>25.467692307692317</v>
      </c>
      <c r="M40" s="1">
        <f t="shared" si="12"/>
        <v>24.969230769230762</v>
      </c>
      <c r="N40" s="1">
        <f t="shared" si="12"/>
        <v>24.572307692307696</v>
      </c>
      <c r="O40" s="1">
        <f t="shared" si="12"/>
        <v>24.258461538461539</v>
      </c>
      <c r="P40" s="1">
        <f t="shared" si="12"/>
        <v>23.916923076923069</v>
      </c>
      <c r="Q40" s="1">
        <f>ROUND(SUM(E40:P40),2)</f>
        <v>310.42</v>
      </c>
    </row>
    <row r="41" spans="1:19" x14ac:dyDescent="0.25">
      <c r="A41" s="200"/>
      <c r="B41" s="20"/>
      <c r="C41" s="202"/>
    </row>
    <row r="42" spans="1:19" x14ac:dyDescent="0.25">
      <c r="A42" s="13">
        <v>10</v>
      </c>
      <c r="B42" s="23" t="s">
        <v>385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9" x14ac:dyDescent="0.25">
      <c r="A43" s="13">
        <v>11</v>
      </c>
      <c r="B43" s="23" t="s">
        <v>386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9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9" x14ac:dyDescent="0.25">
      <c r="A45" s="13">
        <v>12</v>
      </c>
      <c r="B45" s="23" t="s">
        <v>387</v>
      </c>
      <c r="E45" s="1">
        <v>932.06</v>
      </c>
      <c r="F45" s="1">
        <v>-284.47000000000003</v>
      </c>
      <c r="G45" s="1">
        <v>2.2799999999999998</v>
      </c>
      <c r="H45" s="1">
        <v>177.98</v>
      </c>
      <c r="I45" s="1">
        <v>2.2000000000000002</v>
      </c>
      <c r="J45" s="1">
        <v>95.7</v>
      </c>
      <c r="K45" s="1">
        <v>82.83</v>
      </c>
      <c r="L45" s="1">
        <v>101.66</v>
      </c>
      <c r="M45" s="1">
        <v>88.83</v>
      </c>
      <c r="N45" s="1">
        <v>62.15</v>
      </c>
      <c r="O45" s="1">
        <v>59.81</v>
      </c>
      <c r="P45" s="1">
        <v>68.97</v>
      </c>
      <c r="Q45" s="1">
        <f>ROUND(SUM(E45:P45),2)</f>
        <v>1390</v>
      </c>
    </row>
    <row r="46" spans="1:19" x14ac:dyDescent="0.25">
      <c r="A46" s="13">
        <v>13</v>
      </c>
      <c r="B46" s="23" t="s">
        <v>388</v>
      </c>
      <c r="E46" s="199">
        <f>ROUND(E40*E43,2)</f>
        <v>27.45</v>
      </c>
      <c r="F46" s="199">
        <f t="shared" ref="F46:P46" si="13">ROUND(F40*F43,2)</f>
        <v>25.79</v>
      </c>
      <c r="G46" s="199">
        <f t="shared" si="13"/>
        <v>26.52</v>
      </c>
      <c r="H46" s="199">
        <f t="shared" si="13"/>
        <v>26.07</v>
      </c>
      <c r="I46" s="199">
        <f t="shared" si="13"/>
        <v>25.62</v>
      </c>
      <c r="J46" s="199">
        <f t="shared" si="13"/>
        <v>25.37</v>
      </c>
      <c r="K46" s="199">
        <f t="shared" si="13"/>
        <v>25.24</v>
      </c>
      <c r="L46" s="199">
        <f t="shared" si="13"/>
        <v>24.76</v>
      </c>
      <c r="M46" s="199">
        <f t="shared" si="13"/>
        <v>24.28</v>
      </c>
      <c r="N46" s="199">
        <f t="shared" si="13"/>
        <v>23.89</v>
      </c>
      <c r="O46" s="199">
        <f t="shared" si="13"/>
        <v>23.59</v>
      </c>
      <c r="P46" s="199">
        <f t="shared" si="13"/>
        <v>23.26</v>
      </c>
      <c r="Q46" s="199">
        <f>SUM(E46:P46)</f>
        <v>301.83999999999997</v>
      </c>
    </row>
    <row r="47" spans="1:19" ht="13" thickBot="1" x14ac:dyDescent="0.3">
      <c r="A47" s="13">
        <v>14</v>
      </c>
      <c r="B47" s="23" t="s">
        <v>291</v>
      </c>
      <c r="E47" s="204">
        <f t="shared" ref="E47:Q47" si="14">E45+E46</f>
        <v>959.51</v>
      </c>
      <c r="F47" s="204">
        <f t="shared" si="14"/>
        <v>-258.68</v>
      </c>
      <c r="G47" s="204">
        <f t="shared" si="14"/>
        <v>28.8</v>
      </c>
      <c r="H47" s="204">
        <f t="shared" si="14"/>
        <v>204.04999999999998</v>
      </c>
      <c r="I47" s="204">
        <f t="shared" si="14"/>
        <v>27.82</v>
      </c>
      <c r="J47" s="204">
        <f t="shared" si="14"/>
        <v>121.07000000000001</v>
      </c>
      <c r="K47" s="204">
        <f t="shared" si="14"/>
        <v>108.07</v>
      </c>
      <c r="L47" s="204">
        <f t="shared" si="14"/>
        <v>126.42</v>
      </c>
      <c r="M47" s="204">
        <f t="shared" si="14"/>
        <v>113.11</v>
      </c>
      <c r="N47" s="204">
        <f t="shared" si="14"/>
        <v>86.039999999999992</v>
      </c>
      <c r="O47" s="204">
        <f t="shared" si="14"/>
        <v>83.4</v>
      </c>
      <c r="P47" s="204">
        <f t="shared" si="14"/>
        <v>92.23</v>
      </c>
      <c r="Q47" s="204">
        <f t="shared" si="14"/>
        <v>1691.84</v>
      </c>
    </row>
    <row r="48" spans="1:19" ht="13" thickTop="1" x14ac:dyDescent="0.25">
      <c r="A48" s="200"/>
      <c r="B48" s="20"/>
    </row>
    <row r="49" spans="1:17" x14ac:dyDescent="0.25">
      <c r="A49" s="210" t="s">
        <v>76</v>
      </c>
      <c r="B49" s="23"/>
    </row>
    <row r="50" spans="1:17" x14ac:dyDescent="0.25">
      <c r="A50" s="23" t="s">
        <v>168</v>
      </c>
      <c r="B50" s="11" t="s">
        <v>296</v>
      </c>
    </row>
    <row r="51" spans="1:17" x14ac:dyDescent="0.25">
      <c r="A51" s="23" t="s">
        <v>170</v>
      </c>
      <c r="B51" s="11" t="s">
        <v>304</v>
      </c>
    </row>
    <row r="52" spans="1:17" x14ac:dyDescent="0.25">
      <c r="A52" s="23" t="s">
        <v>255</v>
      </c>
      <c r="B52" s="23" t="s">
        <v>306</v>
      </c>
    </row>
    <row r="53" spans="1:17" x14ac:dyDescent="0.25">
      <c r="A53" s="23" t="s">
        <v>295</v>
      </c>
      <c r="B53" s="11" t="s">
        <v>389</v>
      </c>
    </row>
    <row r="54" spans="1:17" x14ac:dyDescent="0.25">
      <c r="A54" s="23" t="s">
        <v>297</v>
      </c>
      <c r="B54" s="11" t="s">
        <v>390</v>
      </c>
    </row>
    <row r="55" spans="1:17" x14ac:dyDescent="0.25">
      <c r="A55" s="11" t="s">
        <v>299</v>
      </c>
      <c r="B55" s="23" t="s">
        <v>308</v>
      </c>
    </row>
    <row r="56" spans="1:17" x14ac:dyDescent="0.25">
      <c r="A56" s="11" t="s">
        <v>301</v>
      </c>
      <c r="B56" s="23" t="s">
        <v>310</v>
      </c>
    </row>
    <row r="57" spans="1:17" x14ac:dyDescent="0.25">
      <c r="B57" s="11"/>
      <c r="E57" s="1">
        <f>ROUND(E39*E42*1.0012,2)</f>
        <v>932.06</v>
      </c>
    </row>
    <row r="58" spans="1:17" x14ac:dyDescent="0.25">
      <c r="B58" s="23"/>
      <c r="C58" s="23"/>
      <c r="E58" s="1">
        <f>E38-E57</f>
        <v>27.110000000000127</v>
      </c>
    </row>
    <row r="59" spans="1:17" x14ac:dyDescent="0.25">
      <c r="B59" s="23"/>
      <c r="C59" s="23"/>
    </row>
    <row r="63" spans="1:17" ht="13" x14ac:dyDescent="0.3">
      <c r="Q63" s="226"/>
    </row>
    <row r="64" spans="1:17" x14ac:dyDescent="0.25">
      <c r="Q64" s="16"/>
    </row>
    <row r="65" spans="1:17" ht="13" x14ac:dyDescent="0.3">
      <c r="B65" s="187"/>
      <c r="C65" s="188"/>
      <c r="D65" s="188"/>
      <c r="E65" s="188"/>
      <c r="F65" s="188"/>
      <c r="G65" s="188"/>
      <c r="H65" s="187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211"/>
      <c r="H70" s="211"/>
      <c r="I70" s="211"/>
      <c r="J70" s="211"/>
    </row>
    <row r="71" spans="1:17" x14ac:dyDescent="0.25">
      <c r="B71" s="188"/>
      <c r="C71" s="188"/>
      <c r="F71" s="188"/>
      <c r="G71" s="188"/>
      <c r="H71" s="188"/>
      <c r="I71" s="23"/>
    </row>
    <row r="72" spans="1:17" x14ac:dyDescent="0.25">
      <c r="B72" s="206"/>
      <c r="C72" s="188"/>
      <c r="D72" s="188"/>
      <c r="E72" s="188"/>
      <c r="F72" s="188"/>
      <c r="G72" s="188"/>
      <c r="H72" s="206"/>
      <c r="I72" s="188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11"/>
      <c r="C81" s="25"/>
    </row>
    <row r="82" spans="1:16" x14ac:dyDescent="0.25">
      <c r="B82" s="23"/>
      <c r="C82" s="23"/>
      <c r="D82" s="202"/>
    </row>
    <row r="83" spans="1:16" x14ac:dyDescent="0.25">
      <c r="B83" s="23"/>
      <c r="C83" s="23"/>
    </row>
    <row r="84" spans="1:16" x14ac:dyDescent="0.25">
      <c r="B84" s="23"/>
      <c r="C84" s="23"/>
    </row>
    <row r="86" spans="1:16" x14ac:dyDescent="0.25">
      <c r="A86" s="13"/>
      <c r="B86" s="11"/>
      <c r="C86" s="13"/>
    </row>
    <row r="87" spans="1:16" x14ac:dyDescent="0.25">
      <c r="B87" s="23"/>
    </row>
    <row r="88" spans="1:16" x14ac:dyDescent="0.25">
      <c r="A88" s="13"/>
      <c r="B88" s="23"/>
      <c r="C88" s="23"/>
    </row>
    <row r="89" spans="1:16" x14ac:dyDescent="0.25"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B91" s="23"/>
      <c r="C91" s="23"/>
    </row>
    <row r="92" spans="1:16" x14ac:dyDescent="0.25">
      <c r="B92" s="23"/>
      <c r="C92" s="11"/>
    </row>
    <row r="93" spans="1:16" x14ac:dyDescent="0.25">
      <c r="A93" s="13"/>
      <c r="B93" s="16"/>
    </row>
    <row r="94" spans="1:16" x14ac:dyDescent="0.25">
      <c r="A94" s="13"/>
      <c r="B94" s="2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</row>
    <row r="95" spans="1:16" x14ac:dyDescent="0.25">
      <c r="A95" s="13"/>
      <c r="B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</row>
    <row r="99" spans="1:16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6" x14ac:dyDescent="0.25">
      <c r="A101" s="13"/>
      <c r="B101" s="11"/>
    </row>
    <row r="102" spans="1:16" x14ac:dyDescent="0.25">
      <c r="A102" s="200"/>
      <c r="B102" s="23"/>
      <c r="C102" s="23"/>
    </row>
    <row r="103" spans="1:16" x14ac:dyDescent="0.25">
      <c r="A103" s="200"/>
      <c r="B103" s="23"/>
      <c r="C103" s="23"/>
    </row>
    <row r="104" spans="1:16" x14ac:dyDescent="0.25">
      <c r="A104" s="200"/>
      <c r="B104" s="20"/>
      <c r="C104" s="202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13"/>
      <c r="B110" s="23"/>
    </row>
    <row r="111" spans="1:16" x14ac:dyDescent="0.25">
      <c r="A111" s="200"/>
      <c r="B111" s="20"/>
    </row>
    <row r="112" spans="1:16" x14ac:dyDescent="0.25">
      <c r="A112" s="5"/>
      <c r="B112" s="23"/>
    </row>
    <row r="113" spans="1:2" x14ac:dyDescent="0.25">
      <c r="A113" s="23"/>
      <c r="B113" s="11"/>
    </row>
    <row r="114" spans="1:2" x14ac:dyDescent="0.25">
      <c r="A114" s="23"/>
      <c r="B114" s="11"/>
    </row>
    <row r="115" spans="1:2" x14ac:dyDescent="0.25">
      <c r="A115" s="23"/>
      <c r="B115" s="23"/>
    </row>
    <row r="116" spans="1:2" x14ac:dyDescent="0.25">
      <c r="A116" s="23"/>
      <c r="B116" s="11"/>
    </row>
    <row r="117" spans="1:2" x14ac:dyDescent="0.25">
      <c r="A117" s="23"/>
      <c r="B117" s="11"/>
    </row>
    <row r="119" spans="1:2" x14ac:dyDescent="0.25">
      <c r="A119" s="23"/>
      <c r="B119" s="23"/>
    </row>
    <row r="120" spans="1:2" x14ac:dyDescent="0.25">
      <c r="B120" s="23"/>
    </row>
    <row r="121" spans="1:2" x14ac:dyDescent="0.25">
      <c r="B121" s="23"/>
    </row>
    <row r="122" spans="1:2" x14ac:dyDescent="0.25">
      <c r="B122" s="23"/>
    </row>
    <row r="123" spans="1:2" x14ac:dyDescent="0.25">
      <c r="B123" s="23"/>
    </row>
    <row r="124" spans="1:2" x14ac:dyDescent="0.25">
      <c r="B124" s="23"/>
    </row>
    <row r="125" spans="1:2" x14ac:dyDescent="0.25">
      <c r="B125" s="23"/>
    </row>
    <row r="126" spans="1:2" x14ac:dyDescent="0.25">
      <c r="B126" s="23"/>
    </row>
    <row r="127" spans="1:2" x14ac:dyDescent="0.25">
      <c r="B127" s="23"/>
    </row>
    <row r="128" spans="1:2" x14ac:dyDescent="0.25">
      <c r="B128" s="23"/>
    </row>
    <row r="129" spans="1:17" ht="13" x14ac:dyDescent="0.3">
      <c r="Q129" s="226"/>
    </row>
    <row r="130" spans="1:17" x14ac:dyDescent="0.25">
      <c r="Q130" s="16"/>
    </row>
    <row r="131" spans="1:17" ht="13" x14ac:dyDescent="0.3">
      <c r="B131" s="187"/>
      <c r="C131" s="188"/>
      <c r="D131" s="188"/>
      <c r="E131" s="188"/>
      <c r="F131" s="188"/>
      <c r="G131" s="188"/>
      <c r="H131" s="187"/>
      <c r="I131" s="188"/>
    </row>
    <row r="132" spans="1:17" x14ac:dyDescent="0.25">
      <c r="B132" s="188"/>
      <c r="C132" s="188"/>
      <c r="D132" s="188"/>
      <c r="E132" s="188"/>
      <c r="F132" s="188"/>
      <c r="G132" s="188"/>
      <c r="H132" s="188"/>
      <c r="I132" s="188"/>
    </row>
    <row r="133" spans="1:17" x14ac:dyDescent="0.25">
      <c r="B133" s="188"/>
      <c r="C133" s="188"/>
      <c r="D133" s="188"/>
      <c r="E133" s="188"/>
      <c r="F133" s="188"/>
      <c r="G133" s="188"/>
      <c r="H133" s="188"/>
      <c r="I133" s="188"/>
    </row>
    <row r="134" spans="1:17" ht="13" x14ac:dyDescent="0.3">
      <c r="B134" s="186"/>
      <c r="C134" s="188"/>
      <c r="D134" s="188"/>
      <c r="E134" s="188"/>
      <c r="F134" s="188"/>
      <c r="G134" s="188"/>
      <c r="H134" s="186"/>
      <c r="I134" s="188"/>
    </row>
    <row r="135" spans="1:17" x14ac:dyDescent="0.25">
      <c r="B135" s="188"/>
      <c r="C135" s="188"/>
      <c r="D135" s="188"/>
      <c r="E135" s="188"/>
      <c r="F135" s="188"/>
      <c r="G135" s="188"/>
      <c r="H135" s="188"/>
      <c r="I135" s="188"/>
    </row>
    <row r="136" spans="1:17" x14ac:dyDescent="0.25">
      <c r="B136" s="188"/>
      <c r="C136" s="188"/>
      <c r="D136" s="188"/>
      <c r="E136" s="188"/>
      <c r="F136" s="188"/>
      <c r="G136" s="211"/>
      <c r="H136" s="211"/>
      <c r="I136" s="211"/>
      <c r="J136" s="211"/>
    </row>
    <row r="137" spans="1:17" x14ac:dyDescent="0.25">
      <c r="B137" s="188"/>
      <c r="C137" s="188"/>
      <c r="F137" s="188"/>
      <c r="G137" s="188"/>
      <c r="H137" s="188"/>
      <c r="I137" s="23"/>
    </row>
    <row r="138" spans="1:17" x14ac:dyDescent="0.25">
      <c r="B138" s="206"/>
      <c r="C138" s="188"/>
      <c r="D138" s="188"/>
      <c r="E138" s="188"/>
      <c r="F138" s="188"/>
      <c r="G138" s="188"/>
      <c r="H138" s="206"/>
      <c r="I138" s="188"/>
    </row>
    <row r="139" spans="1:17" x14ac:dyDescent="0.25">
      <c r="B139" s="188"/>
      <c r="C139" s="188"/>
      <c r="D139" s="188"/>
      <c r="E139" s="188"/>
      <c r="F139" s="188"/>
      <c r="G139" s="188"/>
      <c r="H139" s="188"/>
      <c r="I139" s="188"/>
    </row>
    <row r="140" spans="1:17" x14ac:dyDescent="0.25">
      <c r="A140" s="206"/>
      <c r="B140" s="206"/>
      <c r="C140" s="188"/>
      <c r="D140" s="188"/>
      <c r="E140" s="188"/>
      <c r="F140" s="188"/>
      <c r="G140" s="188"/>
      <c r="H140" s="188"/>
      <c r="I140" s="188"/>
    </row>
    <row r="141" spans="1:17" x14ac:dyDescent="0.2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5">
      <c r="A143" s="13"/>
      <c r="B143" s="23"/>
      <c r="C143" s="13"/>
    </row>
    <row r="144" spans="1:17" x14ac:dyDescent="0.25">
      <c r="A144" s="13"/>
      <c r="B144" s="23"/>
      <c r="C144" s="23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</row>
    <row r="145" spans="1:16" x14ac:dyDescent="0.25">
      <c r="A145" s="13"/>
      <c r="B145" s="23"/>
      <c r="C145" s="23"/>
    </row>
    <row r="146" spans="1:16" x14ac:dyDescent="0.25">
      <c r="A146" s="13"/>
      <c r="B146" s="23"/>
      <c r="C146" s="23"/>
    </row>
    <row r="147" spans="1:16" x14ac:dyDescent="0.25">
      <c r="A147" s="13"/>
      <c r="B147" s="11"/>
      <c r="C147" s="25"/>
    </row>
    <row r="148" spans="1:16" x14ac:dyDescent="0.25">
      <c r="B148" s="23"/>
      <c r="C148" s="23"/>
      <c r="D148" s="202"/>
    </row>
    <row r="149" spans="1:16" x14ac:dyDescent="0.25">
      <c r="B149" s="23"/>
      <c r="C149" s="23"/>
    </row>
    <row r="150" spans="1:16" x14ac:dyDescent="0.25">
      <c r="B150" s="23"/>
      <c r="C150" s="23"/>
    </row>
    <row r="152" spans="1:16" x14ac:dyDescent="0.25">
      <c r="A152" s="13"/>
      <c r="B152" s="11"/>
      <c r="C152" s="13"/>
    </row>
    <row r="153" spans="1:16" x14ac:dyDescent="0.25">
      <c r="B153" s="23"/>
    </row>
    <row r="154" spans="1:16" x14ac:dyDescent="0.25">
      <c r="A154" s="13"/>
      <c r="B154" s="23"/>
      <c r="C154" s="23"/>
    </row>
    <row r="155" spans="1:16" x14ac:dyDescent="0.25">
      <c r="B155" s="20"/>
    </row>
    <row r="156" spans="1:16" x14ac:dyDescent="0.25">
      <c r="A156" s="13"/>
      <c r="B156" s="23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</row>
    <row r="157" spans="1:16" x14ac:dyDescent="0.25">
      <c r="B157" s="23"/>
      <c r="C157" s="23"/>
    </row>
    <row r="158" spans="1:16" x14ac:dyDescent="0.25">
      <c r="B158" s="23"/>
      <c r="C158" s="11"/>
    </row>
    <row r="159" spans="1:16" x14ac:dyDescent="0.25">
      <c r="A159" s="13"/>
      <c r="B159" s="16"/>
    </row>
    <row r="160" spans="1:16" x14ac:dyDescent="0.25">
      <c r="A160" s="13"/>
      <c r="B160" s="20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</row>
    <row r="161" spans="1:16" x14ac:dyDescent="0.25">
      <c r="A161" s="13"/>
      <c r="B161" s="23"/>
    </row>
    <row r="162" spans="1:16" x14ac:dyDescent="0.25">
      <c r="A162" s="200"/>
      <c r="B162" s="23"/>
      <c r="C162" s="23"/>
    </row>
    <row r="163" spans="1:16" x14ac:dyDescent="0.25">
      <c r="A163" s="200"/>
      <c r="B163" s="23"/>
      <c r="C163" s="23"/>
    </row>
    <row r="164" spans="1:16" x14ac:dyDescent="0.25">
      <c r="A164" s="200"/>
      <c r="B164" s="23"/>
      <c r="C164" s="23"/>
    </row>
    <row r="165" spans="1:16" x14ac:dyDescent="0.25">
      <c r="A165" s="200"/>
      <c r="B165" s="23"/>
      <c r="C165" s="23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</row>
    <row r="166" spans="1:16" x14ac:dyDescent="0.25">
      <c r="A166" s="200"/>
      <c r="B166" s="20"/>
      <c r="C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</row>
    <row r="167" spans="1:16" x14ac:dyDescent="0.25">
      <c r="A167" s="13"/>
      <c r="B167" s="11"/>
    </row>
    <row r="168" spans="1:16" x14ac:dyDescent="0.25">
      <c r="A168" s="200"/>
      <c r="B168" s="23"/>
      <c r="C168" s="23"/>
    </row>
    <row r="169" spans="1:16" x14ac:dyDescent="0.25">
      <c r="A169" s="200"/>
      <c r="B169" s="23"/>
      <c r="C169" s="23"/>
    </row>
    <row r="170" spans="1:16" x14ac:dyDescent="0.25">
      <c r="A170" s="200"/>
      <c r="B170" s="20"/>
      <c r="C170" s="202"/>
    </row>
    <row r="171" spans="1:16" x14ac:dyDescent="0.25">
      <c r="A171" s="13"/>
      <c r="B171" s="2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</row>
    <row r="172" spans="1:16" x14ac:dyDescent="0.25">
      <c r="A172" s="13"/>
      <c r="B172" s="2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</row>
    <row r="173" spans="1:16" x14ac:dyDescent="0.25">
      <c r="A173" s="13"/>
      <c r="B173" s="23"/>
      <c r="C173" s="202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</row>
    <row r="174" spans="1:16" x14ac:dyDescent="0.25">
      <c r="A174" s="13"/>
      <c r="B174" s="23"/>
    </row>
    <row r="175" spans="1:16" x14ac:dyDescent="0.25">
      <c r="A175" s="13"/>
      <c r="B175" s="23"/>
    </row>
    <row r="176" spans="1:16" x14ac:dyDescent="0.25">
      <c r="A176" s="13"/>
      <c r="B176" s="23"/>
    </row>
    <row r="177" spans="1:2" x14ac:dyDescent="0.25">
      <c r="A177" s="200"/>
      <c r="B177" s="20"/>
    </row>
    <row r="178" spans="1:2" x14ac:dyDescent="0.25">
      <c r="A178" s="5"/>
      <c r="B178" s="23"/>
    </row>
    <row r="179" spans="1:2" x14ac:dyDescent="0.25">
      <c r="A179" s="23"/>
      <c r="B179" s="11"/>
    </row>
    <row r="180" spans="1:2" x14ac:dyDescent="0.25">
      <c r="A180" s="23"/>
      <c r="B180" s="11"/>
    </row>
    <row r="181" spans="1:2" x14ac:dyDescent="0.25">
      <c r="A181" s="23"/>
      <c r="B181" s="23"/>
    </row>
    <row r="182" spans="1:2" x14ac:dyDescent="0.25">
      <c r="A182" s="23"/>
      <c r="B182" s="11"/>
    </row>
    <row r="183" spans="1:2" x14ac:dyDescent="0.25">
      <c r="A183" s="23"/>
      <c r="B183" s="11"/>
    </row>
  </sheetData>
  <mergeCells count="6">
    <mergeCell ref="A7:Q7"/>
    <mergeCell ref="A8:Q8"/>
    <mergeCell ref="A9:Q9"/>
    <mergeCell ref="A10:Q10"/>
    <mergeCell ref="G70:J70"/>
    <mergeCell ref="G136:J136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2" manualBreakCount="2">
    <brk id="122" max="16" man="1"/>
    <brk id="186" max="1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F0CC-1FAA-42F6-89BB-24F675D248A9}">
  <sheetPr transitionEvaluation="1" transitionEntry="1"/>
  <dimension ref="A1:S174"/>
  <sheetViews>
    <sheetView showGridLines="0" defaultGridColor="0" view="pageBreakPreview" colorId="8" zoomScale="85" zoomScaleNormal="75" zoomScaleSheetLayoutView="85" workbookViewId="0">
      <selection activeCell="Q28" sqref="Q28"/>
    </sheetView>
  </sheetViews>
  <sheetFormatPr defaultColWidth="11.58203125" defaultRowHeight="12.5" x14ac:dyDescent="0.25"/>
  <cols>
    <col min="1" max="1" width="3.5" style="1" customWidth="1"/>
    <col min="2" max="2" width="3" style="1" customWidth="1"/>
    <col min="3" max="3" width="35.58203125" style="1" customWidth="1"/>
    <col min="4" max="4" width="15.08203125" style="1" customWidth="1"/>
    <col min="5" max="6" width="11.58203125" style="1"/>
    <col min="7" max="8" width="12.75" style="1" bestFit="1" customWidth="1"/>
    <col min="9" max="16" width="11.58203125" style="1"/>
    <col min="17" max="17" width="12.08203125" style="1" customWidth="1"/>
    <col min="18" max="18" width="3.58203125" style="1" customWidth="1"/>
    <col min="19" max="19" width="9.33203125" style="1" bestFit="1" customWidth="1"/>
    <col min="20" max="30" width="4.58203125" style="1" customWidth="1"/>
    <col min="31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34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8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211" t="s">
        <v>391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19" x14ac:dyDescent="0.25">
      <c r="A8" s="211" t="s">
        <v>392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>
        <f>'42-8_Project 1'!$H$69</f>
        <v>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3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7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365</v>
      </c>
      <c r="D15" s="202"/>
      <c r="E15" s="202">
        <f t="shared" ref="E15:P17" si="0">E78+E133</f>
        <v>0</v>
      </c>
      <c r="F15" s="202">
        <f t="shared" si="0"/>
        <v>0</v>
      </c>
      <c r="G15" s="202">
        <f t="shared" si="0"/>
        <v>0</v>
      </c>
      <c r="H15" s="202">
        <f t="shared" si="0"/>
        <v>0</v>
      </c>
      <c r="I15" s="202">
        <f t="shared" si="0"/>
        <v>0</v>
      </c>
      <c r="J15" s="202">
        <f t="shared" si="0"/>
        <v>0</v>
      </c>
      <c r="K15" s="202">
        <f t="shared" si="0"/>
        <v>0</v>
      </c>
      <c r="L15" s="202">
        <f t="shared" si="0"/>
        <v>0</v>
      </c>
      <c r="M15" s="202">
        <f t="shared" si="0"/>
        <v>0</v>
      </c>
      <c r="N15" s="202">
        <f t="shared" si="0"/>
        <v>0</v>
      </c>
      <c r="O15" s="202">
        <f t="shared" si="0"/>
        <v>0</v>
      </c>
      <c r="P15" s="202">
        <f t="shared" si="0"/>
        <v>0</v>
      </c>
    </row>
    <row r="16" spans="1:19" x14ac:dyDescent="0.25">
      <c r="A16" s="13"/>
      <c r="B16" s="23" t="s">
        <v>264</v>
      </c>
      <c r="C16" s="23" t="s">
        <v>366</v>
      </c>
      <c r="E16" s="202">
        <f t="shared" si="0"/>
        <v>0</v>
      </c>
      <c r="F16" s="202">
        <f t="shared" si="0"/>
        <v>0</v>
      </c>
      <c r="G16" s="202">
        <f t="shared" si="0"/>
        <v>0</v>
      </c>
      <c r="H16" s="202">
        <f t="shared" si="0"/>
        <v>0</v>
      </c>
      <c r="I16" s="202">
        <f t="shared" si="0"/>
        <v>0</v>
      </c>
      <c r="J16" s="202">
        <f t="shared" si="0"/>
        <v>0</v>
      </c>
      <c r="K16" s="202">
        <f t="shared" si="0"/>
        <v>0</v>
      </c>
      <c r="L16" s="202">
        <f t="shared" si="0"/>
        <v>0</v>
      </c>
      <c r="M16" s="202">
        <f t="shared" si="0"/>
        <v>0</v>
      </c>
      <c r="N16" s="202">
        <f t="shared" si="0"/>
        <v>0</v>
      </c>
      <c r="O16" s="202">
        <f t="shared" si="0"/>
        <v>0</v>
      </c>
      <c r="P16" s="202">
        <f t="shared" si="0"/>
        <v>0</v>
      </c>
    </row>
    <row r="17" spans="1:17" x14ac:dyDescent="0.25">
      <c r="A17" s="13"/>
      <c r="B17" s="23" t="s">
        <v>266</v>
      </c>
      <c r="C17" s="23" t="s">
        <v>367</v>
      </c>
      <c r="E17" s="202">
        <f t="shared" si="0"/>
        <v>0</v>
      </c>
      <c r="F17" s="202">
        <f t="shared" si="0"/>
        <v>0</v>
      </c>
      <c r="G17" s="202">
        <f t="shared" si="0"/>
        <v>0</v>
      </c>
      <c r="H17" s="202">
        <v>24.05</v>
      </c>
      <c r="I17" s="202">
        <f t="shared" si="0"/>
        <v>0</v>
      </c>
      <c r="J17" s="202">
        <f t="shared" si="0"/>
        <v>0</v>
      </c>
      <c r="K17" s="202">
        <f t="shared" si="0"/>
        <v>0</v>
      </c>
      <c r="L17" s="202">
        <f t="shared" si="0"/>
        <v>0</v>
      </c>
      <c r="M17" s="202">
        <f t="shared" si="0"/>
        <v>0</v>
      </c>
      <c r="N17" s="202">
        <f t="shared" si="0"/>
        <v>0</v>
      </c>
      <c r="O17" s="202">
        <f t="shared" si="0"/>
        <v>0</v>
      </c>
      <c r="P17" s="202">
        <f t="shared" si="0"/>
        <v>0</v>
      </c>
    </row>
    <row r="18" spans="1:17" x14ac:dyDescent="0.25">
      <c r="A18" s="13">
        <v>2</v>
      </c>
      <c r="B18" s="11" t="s">
        <v>368</v>
      </c>
      <c r="C18" s="25"/>
    </row>
    <row r="19" spans="1:17" x14ac:dyDescent="0.25">
      <c r="B19" s="23" t="s">
        <v>262</v>
      </c>
      <c r="C19" s="23" t="s">
        <v>369</v>
      </c>
      <c r="D19" s="202">
        <v>6302888.1100000003</v>
      </c>
      <c r="E19" s="1">
        <f>D19-E35+E15</f>
        <v>6298580.79</v>
      </c>
      <c r="F19" s="1">
        <f t="shared" ref="F19:P19" si="1">E19-F35+F15</f>
        <v>6297185.5</v>
      </c>
      <c r="G19" s="1">
        <f>F19-G35+G15</f>
        <v>6297185.5</v>
      </c>
      <c r="H19" s="1">
        <f>G19-H35+H15</f>
        <v>6278336.3499999996</v>
      </c>
      <c r="I19" s="1">
        <f>H19-I35+I15</f>
        <v>6278336.3499999996</v>
      </c>
      <c r="J19" s="1">
        <f>I19-J35+J15</f>
        <v>6276840.9076919137</v>
      </c>
      <c r="K19" s="1">
        <f t="shared" si="1"/>
        <v>6275652.6198694911</v>
      </c>
      <c r="L19" s="1">
        <f t="shared" si="1"/>
        <v>6274455.046832568</v>
      </c>
      <c r="M19" s="1">
        <f>L19-M35+M15</f>
        <v>6273324.6616530251</v>
      </c>
      <c r="N19" s="1">
        <f t="shared" si="1"/>
        <v>6272697.6691365484</v>
      </c>
      <c r="O19" s="1">
        <f t="shared" si="1"/>
        <v>6272576.5300892908</v>
      </c>
      <c r="P19" s="1">
        <f t="shared" si="1"/>
        <v>6272417.0274083763</v>
      </c>
    </row>
    <row r="20" spans="1:17" x14ac:dyDescent="0.25">
      <c r="B20" s="23" t="s">
        <v>264</v>
      </c>
      <c r="C20" s="23" t="s">
        <v>370</v>
      </c>
      <c r="D20" s="202">
        <f>D83+D138</f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7" x14ac:dyDescent="0.25">
      <c r="B21" s="23" t="s">
        <v>266</v>
      </c>
      <c r="C21" s="23" t="s">
        <v>371</v>
      </c>
      <c r="D21" s="202">
        <f>D84+D139</f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7" x14ac:dyDescent="0.25">
      <c r="B22" s="1" t="s">
        <v>268</v>
      </c>
      <c r="C22" s="1" t="s">
        <v>372</v>
      </c>
      <c r="D22" s="199">
        <v>-161.16</v>
      </c>
      <c r="E22" s="199">
        <f t="shared" ref="E22:P22" si="2">D22-E33-E17</f>
        <v>-146.55000000000001</v>
      </c>
      <c r="F22" s="199">
        <f t="shared" si="2"/>
        <v>-146.55000000000001</v>
      </c>
      <c r="G22" s="199">
        <f t="shared" si="2"/>
        <v>-146.55000000000001</v>
      </c>
      <c r="H22" s="199">
        <f t="shared" si="2"/>
        <v>-167.19000000000003</v>
      </c>
      <c r="I22" s="199">
        <f t="shared" si="2"/>
        <v>-162.69000000000003</v>
      </c>
      <c r="J22" s="199">
        <f t="shared" si="2"/>
        <v>-158.19000000000003</v>
      </c>
      <c r="K22" s="199">
        <f t="shared" si="2"/>
        <v>-153.69000000000003</v>
      </c>
      <c r="L22" s="199">
        <f>K22-L33-L17</f>
        <v>-149.19000000000003</v>
      </c>
      <c r="M22" s="199">
        <f>L22-M33-M17</f>
        <v>-144.69000000000003</v>
      </c>
      <c r="N22" s="199">
        <f t="shared" si="2"/>
        <v>-140.19000000000003</v>
      </c>
      <c r="O22" s="199">
        <f t="shared" si="2"/>
        <v>-135.69000000000003</v>
      </c>
      <c r="P22" s="199">
        <f t="shared" si="2"/>
        <v>-131.19000000000003</v>
      </c>
    </row>
    <row r="23" spans="1:17" x14ac:dyDescent="0.25">
      <c r="A23" s="13">
        <v>3</v>
      </c>
      <c r="B23" s="11" t="s">
        <v>373</v>
      </c>
      <c r="C23" s="13"/>
      <c r="D23" s="199">
        <f>ROUND(SUM(D19:D22),2)</f>
        <v>6302726.9500000002</v>
      </c>
      <c r="E23" s="199">
        <f>ROUND(SUM(E19:E22),2)</f>
        <v>6298434.2400000002</v>
      </c>
      <c r="F23" s="199">
        <f t="shared" ref="F23:P23" si="3">ROUND(SUM(F19:F22),2)</f>
        <v>6297038.9500000002</v>
      </c>
      <c r="G23" s="199">
        <f>ROUND(SUM(G19:G22),2)</f>
        <v>6297038.9500000002</v>
      </c>
      <c r="H23" s="199">
        <f t="shared" si="3"/>
        <v>6278169.1600000001</v>
      </c>
      <c r="I23" s="199">
        <f t="shared" si="3"/>
        <v>6278173.6600000001</v>
      </c>
      <c r="J23" s="199">
        <f>ROUND(SUM(J19:J22),2)</f>
        <v>6276682.7199999997</v>
      </c>
      <c r="K23" s="199">
        <f t="shared" si="3"/>
        <v>6275498.9299999997</v>
      </c>
      <c r="L23" s="199">
        <f t="shared" si="3"/>
        <v>6274305.8600000003</v>
      </c>
      <c r="M23" s="199">
        <f t="shared" si="3"/>
        <v>6273179.9699999997</v>
      </c>
      <c r="N23" s="199">
        <f t="shared" si="3"/>
        <v>6272557.4800000004</v>
      </c>
      <c r="O23" s="199">
        <f t="shared" si="3"/>
        <v>6272440.8399999999</v>
      </c>
      <c r="P23" s="199">
        <f t="shared" si="3"/>
        <v>6272285.8399999999</v>
      </c>
    </row>
    <row r="24" spans="1:17" x14ac:dyDescent="0.25">
      <c r="B24" s="23"/>
    </row>
    <row r="25" spans="1:17" x14ac:dyDescent="0.25">
      <c r="A25" s="13">
        <v>4</v>
      </c>
      <c r="B25" s="23" t="s">
        <v>374</v>
      </c>
      <c r="C25" s="23"/>
      <c r="E25" s="1">
        <f>ROUND((D23+E23)/2,2)</f>
        <v>6300580.5999999996</v>
      </c>
      <c r="F25" s="1">
        <f t="shared" ref="F25:P25" si="4">ROUND((E23+F23)/2,2)</f>
        <v>6297736.5999999996</v>
      </c>
      <c r="G25" s="1">
        <f t="shared" si="4"/>
        <v>6297038.9500000002</v>
      </c>
      <c r="H25" s="1">
        <f t="shared" si="4"/>
        <v>6287604.0599999996</v>
      </c>
      <c r="I25" s="1">
        <f t="shared" si="4"/>
        <v>6278171.4100000001</v>
      </c>
      <c r="J25" s="1">
        <f t="shared" si="4"/>
        <v>6277428.1900000004</v>
      </c>
      <c r="K25" s="1">
        <f t="shared" si="4"/>
        <v>6276090.8300000001</v>
      </c>
      <c r="L25" s="1">
        <f t="shared" si="4"/>
        <v>6274902.4000000004</v>
      </c>
      <c r="M25" s="1">
        <f t="shared" si="4"/>
        <v>6273742.9199999999</v>
      </c>
      <c r="N25" s="1">
        <f t="shared" si="4"/>
        <v>6272868.7300000004</v>
      </c>
      <c r="O25" s="1">
        <f t="shared" si="4"/>
        <v>6272499.1600000001</v>
      </c>
      <c r="P25" s="1">
        <f t="shared" si="4"/>
        <v>6272363.3399999999</v>
      </c>
    </row>
    <row r="26" spans="1:17" x14ac:dyDescent="0.25">
      <c r="B26" s="20"/>
    </row>
    <row r="27" spans="1:17" x14ac:dyDescent="0.25">
      <c r="A27" s="13">
        <v>5</v>
      </c>
      <c r="B27" s="23" t="s">
        <v>375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7" x14ac:dyDescent="0.25">
      <c r="B28" s="23" t="s">
        <v>262</v>
      </c>
      <c r="C28" s="23" t="s">
        <v>376</v>
      </c>
      <c r="E28" s="1">
        <v>29007.873082399994</v>
      </c>
      <c r="F28" s="1">
        <v>28994.779306399996</v>
      </c>
      <c r="G28" s="1">
        <v>28991.567325799999</v>
      </c>
      <c r="H28" s="1">
        <v>28948.129092239997</v>
      </c>
      <c r="I28" s="1">
        <v>28904.701171639997</v>
      </c>
      <c r="J28" s="1">
        <v>28901.279386759998</v>
      </c>
      <c r="K28" s="1">
        <v>30056.19898487</v>
      </c>
      <c r="L28" s="1">
        <v>30050.507593599999</v>
      </c>
      <c r="M28" s="1">
        <v>30044.954843879997</v>
      </c>
      <c r="N28" s="1">
        <v>30040.768347970003</v>
      </c>
      <c r="O28" s="1">
        <v>30038.998477239998</v>
      </c>
      <c r="P28" s="1">
        <v>30038.348035259998</v>
      </c>
      <c r="Q28" s="1">
        <f>ROUND(SUM(E28:P28),2)</f>
        <v>354018.11</v>
      </c>
    </row>
    <row r="29" spans="1:17" x14ac:dyDescent="0.25">
      <c r="B29" s="23" t="s">
        <v>264</v>
      </c>
      <c r="C29" s="11" t="s">
        <v>377</v>
      </c>
      <c r="E29" s="225">
        <v>7321.2746571999996</v>
      </c>
      <c r="F29" s="225">
        <v>7317.9699291999996</v>
      </c>
      <c r="G29" s="225">
        <v>7317.1592599000005</v>
      </c>
      <c r="H29" s="225">
        <v>7306.1959177199997</v>
      </c>
      <c r="I29" s="225">
        <v>7295.2351784200009</v>
      </c>
      <c r="J29" s="225">
        <v>7294.3715567800009</v>
      </c>
      <c r="K29" s="225">
        <v>6583.6192806700001</v>
      </c>
      <c r="L29" s="225">
        <v>6582.3726176000009</v>
      </c>
      <c r="M29" s="225">
        <v>6581.1563230800002</v>
      </c>
      <c r="N29" s="225">
        <v>6580.239297770001</v>
      </c>
      <c r="O29" s="225">
        <v>6579.8516188399999</v>
      </c>
      <c r="P29" s="225">
        <v>6579.7091436600003</v>
      </c>
      <c r="Q29" s="225">
        <f>ROUND(SUM(E29:P29),2)</f>
        <v>83339.149999999994</v>
      </c>
    </row>
    <row r="30" spans="1:17" x14ac:dyDescent="0.25">
      <c r="A30" s="13">
        <v>6</v>
      </c>
      <c r="B30" s="16" t="s">
        <v>378</v>
      </c>
      <c r="E30" s="1">
        <f t="shared" ref="E30:Q30" si="5">ROUND(SUM(E28:E29),2)</f>
        <v>36329.15</v>
      </c>
      <c r="F30" s="1">
        <f t="shared" si="5"/>
        <v>36312.75</v>
      </c>
      <c r="G30" s="1">
        <f>ROUND(SUM(G28:G29),2)</f>
        <v>36308.730000000003</v>
      </c>
      <c r="H30" s="1">
        <f t="shared" si="5"/>
        <v>36254.33</v>
      </c>
      <c r="I30" s="1">
        <f>ROUND(SUM(I28:I29),2)</f>
        <v>36199.94</v>
      </c>
      <c r="J30" s="1">
        <f t="shared" si="5"/>
        <v>36195.65</v>
      </c>
      <c r="K30" s="1">
        <f t="shared" si="5"/>
        <v>36639.82</v>
      </c>
      <c r="L30" s="1">
        <f t="shared" si="5"/>
        <v>36632.879999999997</v>
      </c>
      <c r="M30" s="1">
        <f t="shared" si="5"/>
        <v>36626.11</v>
      </c>
      <c r="N30" s="1">
        <f t="shared" si="5"/>
        <v>36621.01</v>
      </c>
      <c r="O30" s="1">
        <f t="shared" si="5"/>
        <v>36618.85</v>
      </c>
      <c r="P30" s="1">
        <f t="shared" si="5"/>
        <v>36618.06</v>
      </c>
      <c r="Q30" s="1">
        <f t="shared" si="5"/>
        <v>437357.26</v>
      </c>
    </row>
    <row r="31" spans="1:17" x14ac:dyDescent="0.25">
      <c r="A31" s="13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7" x14ac:dyDescent="0.25">
      <c r="A32" s="13">
        <v>7</v>
      </c>
      <c r="B32" s="23" t="s">
        <v>379</v>
      </c>
    </row>
    <row r="33" spans="1:17" x14ac:dyDescent="0.25">
      <c r="A33" s="200"/>
      <c r="B33" s="23" t="s">
        <v>262</v>
      </c>
      <c r="C33" s="23" t="s">
        <v>380</v>
      </c>
      <c r="E33" s="1">
        <v>-14.61</v>
      </c>
      <c r="F33" s="1">
        <v>0</v>
      </c>
      <c r="G33" s="1">
        <v>0</v>
      </c>
      <c r="H33" s="1">
        <v>-3.41</v>
      </c>
      <c r="I33" s="1">
        <v>-4.5</v>
      </c>
      <c r="J33" s="1">
        <v>-4.5</v>
      </c>
      <c r="K33" s="1">
        <v>-4.5</v>
      </c>
      <c r="L33" s="1">
        <v>-4.5</v>
      </c>
      <c r="M33" s="1">
        <v>-4.5</v>
      </c>
      <c r="N33" s="1">
        <v>-4.5</v>
      </c>
      <c r="O33" s="1">
        <v>-4.5</v>
      </c>
      <c r="P33" s="1">
        <v>-4.5</v>
      </c>
      <c r="Q33" s="1">
        <f>(SUM(E33:P33))</f>
        <v>-54.019999999999996</v>
      </c>
    </row>
    <row r="34" spans="1:17" x14ac:dyDescent="0.25">
      <c r="A34" s="200"/>
      <c r="B34" s="23" t="s">
        <v>264</v>
      </c>
      <c r="C34" s="23" t="s">
        <v>381</v>
      </c>
      <c r="E34" s="1">
        <f t="shared" ref="E34:P34" si="6">E97+E152</f>
        <v>0</v>
      </c>
      <c r="F34" s="1">
        <f t="shared" si="6"/>
        <v>0</v>
      </c>
      <c r="G34" s="1">
        <f t="shared" si="6"/>
        <v>0</v>
      </c>
      <c r="H34" s="1">
        <f t="shared" si="6"/>
        <v>0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>(SUM(E34:P34))</f>
        <v>0</v>
      </c>
    </row>
    <row r="35" spans="1:17" x14ac:dyDescent="0.25">
      <c r="A35" s="200"/>
      <c r="B35" s="23" t="s">
        <v>266</v>
      </c>
      <c r="C35" s="23" t="s">
        <v>393</v>
      </c>
      <c r="E35" s="199">
        <v>4307.32</v>
      </c>
      <c r="F35" s="199">
        <v>1395.2900000000002</v>
      </c>
      <c r="G35" s="199">
        <v>0</v>
      </c>
      <c r="H35" s="199">
        <v>18849.150000000001</v>
      </c>
      <c r="I35" s="199">
        <v>0</v>
      </c>
      <c r="J35" s="199">
        <v>1495.4423080856984</v>
      </c>
      <c r="K35" s="199">
        <v>1188.287822422642</v>
      </c>
      <c r="L35" s="199">
        <v>1197.5730369235</v>
      </c>
      <c r="M35" s="199">
        <v>1130.3851795426767</v>
      </c>
      <c r="N35" s="199">
        <v>626.99251647675476</v>
      </c>
      <c r="O35" s="199">
        <v>121.13904725800535</v>
      </c>
      <c r="P35" s="199">
        <v>159.50268091411795</v>
      </c>
      <c r="Q35" s="199">
        <f>SUM(E35:P35)</f>
        <v>30471.082591623395</v>
      </c>
    </row>
    <row r="36" spans="1:17" x14ac:dyDescent="0.25">
      <c r="A36" s="200">
        <v>8</v>
      </c>
      <c r="B36" s="23" t="s">
        <v>383</v>
      </c>
      <c r="C36" s="23"/>
      <c r="E36" s="202">
        <f>SUM(E33:E35)</f>
        <v>4292.71</v>
      </c>
      <c r="F36" s="202">
        <f t="shared" ref="F36:P36" si="7">SUM(F33:F35)</f>
        <v>1395.2900000000002</v>
      </c>
      <c r="G36" s="202">
        <f>SUM(G33:G35)</f>
        <v>0</v>
      </c>
      <c r="H36" s="202">
        <f t="shared" si="7"/>
        <v>18845.740000000002</v>
      </c>
      <c r="I36" s="202">
        <f t="shared" si="7"/>
        <v>-4.5</v>
      </c>
      <c r="J36" s="202">
        <f t="shared" si="7"/>
        <v>1490.9423080856984</v>
      </c>
      <c r="K36" s="202">
        <f t="shared" si="7"/>
        <v>1183.787822422642</v>
      </c>
      <c r="L36" s="202">
        <f t="shared" si="7"/>
        <v>1193.0730369235</v>
      </c>
      <c r="M36" s="202">
        <f t="shared" si="7"/>
        <v>1125.8851795426767</v>
      </c>
      <c r="N36" s="202">
        <f t="shared" si="7"/>
        <v>622.49251647675476</v>
      </c>
      <c r="O36" s="202">
        <f t="shared" si="7"/>
        <v>116.63904725800535</v>
      </c>
      <c r="P36" s="202">
        <f t="shared" si="7"/>
        <v>155.00268091411795</v>
      </c>
      <c r="Q36" s="1">
        <f>SUM(E36:P36)</f>
        <v>30417.062591623395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11" t="s">
        <v>384</v>
      </c>
      <c r="E38" s="1">
        <f t="shared" ref="E38:Q38" si="8">E30+E36</f>
        <v>40621.86</v>
      </c>
      <c r="F38" s="1">
        <f t="shared" si="8"/>
        <v>37708.04</v>
      </c>
      <c r="G38" s="1">
        <f>G30+G36</f>
        <v>36308.730000000003</v>
      </c>
      <c r="H38" s="1">
        <f t="shared" si="8"/>
        <v>55100.070000000007</v>
      </c>
      <c r="I38" s="1">
        <f t="shared" si="8"/>
        <v>36195.440000000002</v>
      </c>
      <c r="J38" s="1">
        <f t="shared" si="8"/>
        <v>37686.592308085703</v>
      </c>
      <c r="K38" s="1">
        <f t="shared" si="8"/>
        <v>37823.607822422644</v>
      </c>
      <c r="L38" s="1">
        <f t="shared" si="8"/>
        <v>37825.9530369235</v>
      </c>
      <c r="M38" s="1">
        <f t="shared" si="8"/>
        <v>37751.995179542675</v>
      </c>
      <c r="N38" s="1">
        <f t="shared" si="8"/>
        <v>37243.502516476758</v>
      </c>
      <c r="O38" s="1">
        <f t="shared" si="8"/>
        <v>36735.489047258001</v>
      </c>
      <c r="P38" s="1">
        <f t="shared" si="8"/>
        <v>36773.062680914118</v>
      </c>
      <c r="Q38" s="1">
        <f t="shared" si="8"/>
        <v>467774.32259162341</v>
      </c>
    </row>
    <row r="39" spans="1:17" x14ac:dyDescent="0.25">
      <c r="A39" s="200"/>
      <c r="B39" s="23" t="s">
        <v>262</v>
      </c>
      <c r="C39" s="23" t="s">
        <v>160</v>
      </c>
      <c r="E39" s="1">
        <f>(E30*1/13)+E36</f>
        <v>7087.26</v>
      </c>
      <c r="F39" s="1">
        <f t="shared" ref="F39:P39" si="9">(F30*1/13)+F36</f>
        <v>4188.5784615384619</v>
      </c>
      <c r="G39" s="1">
        <f t="shared" si="9"/>
        <v>2792.979230769231</v>
      </c>
      <c r="H39" s="1">
        <f t="shared" si="9"/>
        <v>21634.534615384619</v>
      </c>
      <c r="I39" s="1">
        <f t="shared" si="9"/>
        <v>2780.1107692307696</v>
      </c>
      <c r="J39" s="1">
        <f t="shared" si="9"/>
        <v>4275.2230773164674</v>
      </c>
      <c r="K39" s="1">
        <f t="shared" si="9"/>
        <v>4002.2355147303342</v>
      </c>
      <c r="L39" s="1">
        <f t="shared" si="9"/>
        <v>4010.9868830773457</v>
      </c>
      <c r="M39" s="1">
        <f t="shared" si="9"/>
        <v>3943.2782564657537</v>
      </c>
      <c r="N39" s="1">
        <f t="shared" si="9"/>
        <v>3439.4932857075241</v>
      </c>
      <c r="O39" s="1">
        <f t="shared" si="9"/>
        <v>2933.4736626426202</v>
      </c>
      <c r="P39" s="1">
        <f t="shared" si="9"/>
        <v>2971.7765270679638</v>
      </c>
      <c r="Q39" s="1">
        <f>ROUND(SUM(E39:P39),2)</f>
        <v>64059.93</v>
      </c>
    </row>
    <row r="40" spans="1:17" x14ac:dyDescent="0.25">
      <c r="A40" s="200"/>
      <c r="B40" s="23" t="s">
        <v>264</v>
      </c>
      <c r="C40" s="23" t="s">
        <v>161</v>
      </c>
      <c r="E40" s="1">
        <f>E38-E39</f>
        <v>33534.6</v>
      </c>
      <c r="F40" s="1">
        <f t="shared" ref="F40:P40" si="10">F38-F39</f>
        <v>33519.461538461539</v>
      </c>
      <c r="G40" s="1">
        <f>G38-G39</f>
        <v>33515.75076923077</v>
      </c>
      <c r="H40" s="1">
        <f t="shared" si="10"/>
        <v>33465.535384615388</v>
      </c>
      <c r="I40" s="1">
        <f t="shared" si="10"/>
        <v>33415.329230769232</v>
      </c>
      <c r="J40" s="1">
        <f t="shared" si="10"/>
        <v>33411.369230769233</v>
      </c>
      <c r="K40" s="1">
        <f t="shared" si="10"/>
        <v>33821.372307692312</v>
      </c>
      <c r="L40" s="1">
        <f t="shared" si="10"/>
        <v>33814.966153846151</v>
      </c>
      <c r="M40" s="1">
        <f t="shared" si="10"/>
        <v>33808.716923076921</v>
      </c>
      <c r="N40" s="1">
        <f t="shared" si="10"/>
        <v>33804.009230769232</v>
      </c>
      <c r="O40" s="1">
        <f t="shared" si="10"/>
        <v>33802.015384615384</v>
      </c>
      <c r="P40" s="1">
        <f t="shared" si="10"/>
        <v>33801.286153846151</v>
      </c>
      <c r="Q40" s="1">
        <f>ROUND(SUM(E40:P40),2)</f>
        <v>403714.41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385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386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387</v>
      </c>
      <c r="E45" s="1">
        <v>7095.76</v>
      </c>
      <c r="F45" s="1">
        <v>4193.6000000000004</v>
      </c>
      <c r="G45" s="1">
        <v>2796.33</v>
      </c>
      <c r="H45" s="1">
        <v>21660.5</v>
      </c>
      <c r="I45" s="1">
        <v>2783.45</v>
      </c>
      <c r="J45" s="1">
        <v>4280.3500000000004</v>
      </c>
      <c r="K45" s="1">
        <v>4007.04</v>
      </c>
      <c r="L45" s="1">
        <v>4015.8</v>
      </c>
      <c r="M45" s="1">
        <v>3948.01</v>
      </c>
      <c r="N45" s="1">
        <v>3443.62</v>
      </c>
      <c r="O45" s="1">
        <v>2936.99</v>
      </c>
      <c r="P45" s="1">
        <v>2975.34</v>
      </c>
      <c r="Q45" s="1">
        <f>ROUND(SUM(E45:P45),2)</f>
        <v>64136.79</v>
      </c>
    </row>
    <row r="46" spans="1:17" x14ac:dyDescent="0.25">
      <c r="A46" s="13">
        <v>13</v>
      </c>
      <c r="B46" s="23" t="s">
        <v>388</v>
      </c>
      <c r="E46" s="199">
        <f t="shared" ref="E46:P46" si="11">ROUND(E40*E43,2)</f>
        <v>32607.119999999999</v>
      </c>
      <c r="F46" s="199">
        <f t="shared" si="11"/>
        <v>32592.400000000001</v>
      </c>
      <c r="G46" s="199">
        <f>ROUND(G40*G43,2)</f>
        <v>32588.799999999999</v>
      </c>
      <c r="H46" s="199">
        <f t="shared" si="11"/>
        <v>32539.97</v>
      </c>
      <c r="I46" s="199">
        <f t="shared" si="11"/>
        <v>32491.15</v>
      </c>
      <c r="J46" s="199">
        <f t="shared" si="11"/>
        <v>32487.3</v>
      </c>
      <c r="K46" s="199">
        <f t="shared" si="11"/>
        <v>32885.96</v>
      </c>
      <c r="L46" s="199">
        <f t="shared" si="11"/>
        <v>32879.74</v>
      </c>
      <c r="M46" s="199">
        <f t="shared" si="11"/>
        <v>32873.660000000003</v>
      </c>
      <c r="N46" s="199">
        <f t="shared" si="11"/>
        <v>32869.08</v>
      </c>
      <c r="O46" s="199">
        <f t="shared" si="11"/>
        <v>32867.14</v>
      </c>
      <c r="P46" s="199">
        <f t="shared" si="11"/>
        <v>32866.43</v>
      </c>
      <c r="Q46" s="199">
        <f>SUM(E46:P46)</f>
        <v>392548.75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12">E45+E46</f>
        <v>39702.879999999997</v>
      </c>
      <c r="F47" s="204">
        <f t="shared" si="12"/>
        <v>36786</v>
      </c>
      <c r="G47" s="204">
        <f t="shared" si="12"/>
        <v>35385.129999999997</v>
      </c>
      <c r="H47" s="204">
        <f t="shared" si="12"/>
        <v>54200.47</v>
      </c>
      <c r="I47" s="204">
        <f t="shared" si="12"/>
        <v>35274.6</v>
      </c>
      <c r="J47" s="204">
        <f t="shared" si="12"/>
        <v>36767.65</v>
      </c>
      <c r="K47" s="204">
        <f t="shared" si="12"/>
        <v>36893</v>
      </c>
      <c r="L47" s="204">
        <f t="shared" si="12"/>
        <v>36895.54</v>
      </c>
      <c r="M47" s="204">
        <f t="shared" si="12"/>
        <v>36821.670000000006</v>
      </c>
      <c r="N47" s="204">
        <f t="shared" si="12"/>
        <v>36312.700000000004</v>
      </c>
      <c r="O47" s="204">
        <f t="shared" si="12"/>
        <v>35804.129999999997</v>
      </c>
      <c r="P47" s="204">
        <f t="shared" si="12"/>
        <v>35841.770000000004</v>
      </c>
      <c r="Q47" s="204">
        <f t="shared" si="12"/>
        <v>456685.54</v>
      </c>
    </row>
    <row r="48" spans="1:17" ht="13" thickTop="1" x14ac:dyDescent="0.25">
      <c r="A48" s="200"/>
      <c r="B48" s="20"/>
    </row>
    <row r="49" spans="1:17" x14ac:dyDescent="0.25">
      <c r="A49" s="210" t="s">
        <v>76</v>
      </c>
      <c r="B49" s="23"/>
    </row>
    <row r="50" spans="1:17" x14ac:dyDescent="0.25">
      <c r="A50" s="23" t="s">
        <v>168</v>
      </c>
      <c r="B50" s="11" t="s">
        <v>296</v>
      </c>
    </row>
    <row r="51" spans="1:17" x14ac:dyDescent="0.25">
      <c r="A51" s="23" t="s">
        <v>170</v>
      </c>
      <c r="B51" s="11" t="s">
        <v>304</v>
      </c>
    </row>
    <row r="52" spans="1:17" x14ac:dyDescent="0.25">
      <c r="A52" s="23" t="s">
        <v>255</v>
      </c>
      <c r="B52" s="23" t="s">
        <v>306</v>
      </c>
    </row>
    <row r="53" spans="1:17" x14ac:dyDescent="0.25">
      <c r="A53" s="23" t="s">
        <v>295</v>
      </c>
      <c r="B53" s="11" t="s">
        <v>389</v>
      </c>
    </row>
    <row r="54" spans="1:17" x14ac:dyDescent="0.25">
      <c r="A54" s="23" t="s">
        <v>297</v>
      </c>
      <c r="B54" s="11" t="s">
        <v>390</v>
      </c>
    </row>
    <row r="55" spans="1:17" x14ac:dyDescent="0.25">
      <c r="A55" s="1" t="s">
        <v>299</v>
      </c>
      <c r="B55" s="1" t="s">
        <v>308</v>
      </c>
    </row>
    <row r="56" spans="1:17" x14ac:dyDescent="0.25">
      <c r="A56" s="23" t="s">
        <v>310</v>
      </c>
      <c r="B56" s="23" t="s">
        <v>394</v>
      </c>
    </row>
    <row r="57" spans="1:17" x14ac:dyDescent="0.25">
      <c r="B57" s="11" t="s">
        <v>395</v>
      </c>
      <c r="E57" s="1">
        <f t="shared" ref="E57:P57" si="13">E36</f>
        <v>4292.71</v>
      </c>
      <c r="F57" s="1">
        <f t="shared" si="13"/>
        <v>1395.2900000000002</v>
      </c>
      <c r="G57" s="1">
        <f t="shared" si="13"/>
        <v>0</v>
      </c>
      <c r="H57" s="1">
        <f t="shared" si="13"/>
        <v>18845.740000000002</v>
      </c>
      <c r="I57" s="1">
        <f t="shared" si="13"/>
        <v>-4.5</v>
      </c>
      <c r="J57" s="1">
        <f t="shared" si="13"/>
        <v>1490.9423080856984</v>
      </c>
      <c r="K57" s="1">
        <f t="shared" si="13"/>
        <v>1183.787822422642</v>
      </c>
      <c r="L57" s="1">
        <f t="shared" si="13"/>
        <v>1193.0730369235</v>
      </c>
      <c r="M57" s="1">
        <f t="shared" si="13"/>
        <v>1125.8851795426767</v>
      </c>
      <c r="N57" s="1">
        <f t="shared" si="13"/>
        <v>622.49251647675476</v>
      </c>
      <c r="O57" s="1">
        <f t="shared" si="13"/>
        <v>116.63904725800535</v>
      </c>
      <c r="P57" s="1">
        <f t="shared" si="13"/>
        <v>155.00268091411795</v>
      </c>
      <c r="Q57" s="1">
        <f>ROUND(SUM(E57:P57),2)</f>
        <v>30417.06</v>
      </c>
    </row>
    <row r="58" spans="1:17" x14ac:dyDescent="0.25">
      <c r="B58" s="23" t="s">
        <v>262</v>
      </c>
      <c r="C58" s="23" t="s">
        <v>160</v>
      </c>
      <c r="E58" s="1">
        <f>E57</f>
        <v>4292.71</v>
      </c>
      <c r="F58" s="1">
        <f t="shared" ref="F58:Q58" si="14">F57</f>
        <v>1395.2900000000002</v>
      </c>
      <c r="G58" s="1">
        <f>G57</f>
        <v>0</v>
      </c>
      <c r="H58" s="1">
        <f t="shared" si="14"/>
        <v>18845.740000000002</v>
      </c>
      <c r="I58" s="1">
        <f t="shared" si="14"/>
        <v>-4.5</v>
      </c>
      <c r="J58" s="1">
        <f t="shared" si="14"/>
        <v>1490.9423080856984</v>
      </c>
      <c r="K58" s="1">
        <f t="shared" si="14"/>
        <v>1183.787822422642</v>
      </c>
      <c r="L58" s="1">
        <f t="shared" si="14"/>
        <v>1193.0730369235</v>
      </c>
      <c r="M58" s="1">
        <f t="shared" si="14"/>
        <v>1125.8851795426767</v>
      </c>
      <c r="N58" s="1">
        <f t="shared" si="14"/>
        <v>622.49251647675476</v>
      </c>
      <c r="O58" s="1">
        <f t="shared" si="14"/>
        <v>116.63904725800535</v>
      </c>
      <c r="P58" s="1">
        <f t="shared" si="14"/>
        <v>155.00268091411795</v>
      </c>
      <c r="Q58" s="1">
        <f t="shared" si="14"/>
        <v>30417.06</v>
      </c>
    </row>
    <row r="59" spans="1:17" x14ac:dyDescent="0.25">
      <c r="B59" s="23" t="s">
        <v>264</v>
      </c>
      <c r="C59" s="23" t="s">
        <v>161</v>
      </c>
      <c r="E59" s="1">
        <f t="shared" ref="E59:P59" si="15">E57-E58</f>
        <v>0</v>
      </c>
      <c r="F59" s="1">
        <f t="shared" si="15"/>
        <v>0</v>
      </c>
      <c r="G59" s="1">
        <f>G57-G58</f>
        <v>0</v>
      </c>
      <c r="H59" s="1">
        <f t="shared" si="15"/>
        <v>0</v>
      </c>
      <c r="I59" s="1">
        <f t="shared" si="15"/>
        <v>0</v>
      </c>
      <c r="J59" s="1">
        <f t="shared" si="15"/>
        <v>0</v>
      </c>
      <c r="K59" s="1">
        <f t="shared" si="15"/>
        <v>0</v>
      </c>
      <c r="L59" s="1">
        <f t="shared" si="15"/>
        <v>0</v>
      </c>
      <c r="M59" s="1">
        <f t="shared" si="15"/>
        <v>0</v>
      </c>
      <c r="N59" s="1">
        <f t="shared" si="15"/>
        <v>0</v>
      </c>
      <c r="O59" s="1">
        <f t="shared" si="15"/>
        <v>0</v>
      </c>
      <c r="P59" s="1">
        <f t="shared" si="15"/>
        <v>0</v>
      </c>
      <c r="Q59" s="1">
        <f>ROUND(SUM(E59:P59),2)</f>
        <v>0</v>
      </c>
    </row>
    <row r="60" spans="1:17" x14ac:dyDescent="0.25">
      <c r="B60" s="23"/>
    </row>
    <row r="61" spans="1:17" x14ac:dyDescent="0.25">
      <c r="B61" s="23"/>
    </row>
    <row r="62" spans="1:17" x14ac:dyDescent="0.25">
      <c r="B62" s="23"/>
    </row>
    <row r="63" spans="1:17" x14ac:dyDescent="0.25">
      <c r="B63" s="23"/>
    </row>
    <row r="64" spans="1:17" x14ac:dyDescent="0.25">
      <c r="B64" s="23"/>
    </row>
    <row r="65" spans="1:17" ht="13" x14ac:dyDescent="0.3">
      <c r="B65" s="187"/>
      <c r="C65" s="188"/>
      <c r="D65" s="188"/>
      <c r="E65" s="188"/>
      <c r="F65" s="188"/>
      <c r="G65" s="188"/>
      <c r="H65" s="187">
        <v>0</v>
      </c>
      <c r="I65" s="188"/>
    </row>
    <row r="66" spans="1:17" x14ac:dyDescent="0.25">
      <c r="B66" s="188"/>
      <c r="C66" s="188"/>
      <c r="D66" s="188"/>
      <c r="E66" s="188"/>
      <c r="F66" s="188"/>
      <c r="G66" s="188"/>
      <c r="H66" s="188" t="s">
        <v>10</v>
      </c>
      <c r="I66" s="188"/>
    </row>
    <row r="67" spans="1:17" x14ac:dyDescent="0.25">
      <c r="B67" s="188"/>
      <c r="C67" s="188"/>
      <c r="D67" s="188"/>
      <c r="E67" s="188"/>
      <c r="F67" s="188"/>
      <c r="G67" s="188"/>
      <c r="H67" s="188" t="s">
        <v>396</v>
      </c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 t="s">
        <v>397</v>
      </c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211" t="s">
        <v>398</v>
      </c>
      <c r="H70" s="211"/>
      <c r="I70" s="211"/>
      <c r="J70" s="211"/>
    </row>
    <row r="71" spans="1:17" x14ac:dyDescent="0.25">
      <c r="B71" s="188"/>
      <c r="C71" s="188"/>
      <c r="F71" s="188"/>
      <c r="G71" s="188"/>
      <c r="H71" s="188">
        <v>0</v>
      </c>
      <c r="I71" s="23" t="s">
        <v>399</v>
      </c>
    </row>
    <row r="72" spans="1:17" x14ac:dyDescent="0.25">
      <c r="B72" s="206"/>
      <c r="C72" s="188"/>
      <c r="D72" s="188"/>
      <c r="E72" s="188"/>
      <c r="F72" s="188"/>
      <c r="G72" s="188"/>
      <c r="H72" s="206"/>
      <c r="I72" s="188"/>
    </row>
    <row r="73" spans="1:17" x14ac:dyDescent="0.25">
      <c r="B73" s="188"/>
      <c r="C73" s="188"/>
      <c r="D73" s="188"/>
      <c r="E73" s="188"/>
      <c r="F73" s="188"/>
      <c r="G73" s="188"/>
      <c r="H73" s="188">
        <v>0</v>
      </c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 t="s">
        <v>257</v>
      </c>
      <c r="E75" s="13" t="s">
        <v>400</v>
      </c>
      <c r="F75" s="13" t="s">
        <v>400</v>
      </c>
      <c r="G75" s="13" t="s">
        <v>400</v>
      </c>
      <c r="H75" s="13" t="s">
        <v>400</v>
      </c>
      <c r="I75" s="13" t="s">
        <v>400</v>
      </c>
      <c r="J75" s="13" t="s">
        <v>401</v>
      </c>
      <c r="K75" s="13" t="s">
        <v>401</v>
      </c>
      <c r="L75" s="13" t="s">
        <v>401</v>
      </c>
      <c r="M75" s="13" t="s">
        <v>401</v>
      </c>
      <c r="N75" s="13" t="s">
        <v>401</v>
      </c>
      <c r="O75" s="13" t="s">
        <v>401</v>
      </c>
      <c r="P75" s="13" t="s">
        <v>401</v>
      </c>
      <c r="Q75" s="13" t="s">
        <v>258</v>
      </c>
    </row>
    <row r="76" spans="1:17" x14ac:dyDescent="0.25">
      <c r="A76" s="5" t="s">
        <v>126</v>
      </c>
      <c r="B76" s="5"/>
      <c r="C76" s="5" t="s">
        <v>259</v>
      </c>
      <c r="D76" s="5" t="s">
        <v>260</v>
      </c>
      <c r="E76" s="5" t="s">
        <v>15</v>
      </c>
      <c r="F76" s="5" t="s">
        <v>16</v>
      </c>
      <c r="G76" s="5" t="s">
        <v>17</v>
      </c>
      <c r="H76" s="5" t="s">
        <v>18</v>
      </c>
      <c r="I76" s="5" t="s">
        <v>19</v>
      </c>
      <c r="J76" s="5" t="s">
        <v>20</v>
      </c>
      <c r="K76" s="5" t="s">
        <v>21</v>
      </c>
      <c r="L76" s="5" t="s">
        <v>22</v>
      </c>
      <c r="M76" s="5" t="s">
        <v>23</v>
      </c>
      <c r="N76" s="5" t="s">
        <v>24</v>
      </c>
      <c r="O76" s="5" t="s">
        <v>25</v>
      </c>
      <c r="P76" s="5" t="s">
        <v>26</v>
      </c>
      <c r="Q76" s="5" t="s">
        <v>117</v>
      </c>
    </row>
    <row r="77" spans="1:17" x14ac:dyDescent="0.25">
      <c r="A77" s="13">
        <v>1</v>
      </c>
      <c r="B77" s="23" t="s">
        <v>261</v>
      </c>
      <c r="C77" s="13"/>
    </row>
    <row r="78" spans="1:17" x14ac:dyDescent="0.25">
      <c r="A78" s="13"/>
      <c r="B78" s="23" t="s">
        <v>262</v>
      </c>
      <c r="C78" s="23" t="s">
        <v>365</v>
      </c>
      <c r="D78" s="202"/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</row>
    <row r="79" spans="1:17" x14ac:dyDescent="0.25">
      <c r="A79" s="13"/>
      <c r="B79" s="23" t="s">
        <v>264</v>
      </c>
      <c r="C79" s="23" t="s">
        <v>366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</row>
    <row r="80" spans="1:17" x14ac:dyDescent="0.25">
      <c r="A80" s="13"/>
      <c r="B80" s="23" t="s">
        <v>266</v>
      </c>
      <c r="C80" s="23" t="s">
        <v>367</v>
      </c>
    </row>
    <row r="81" spans="1:17" x14ac:dyDescent="0.25">
      <c r="A81" s="13">
        <v>2</v>
      </c>
      <c r="B81" s="11" t="s">
        <v>368</v>
      </c>
      <c r="C81" s="25"/>
    </row>
    <row r="82" spans="1:17" x14ac:dyDescent="0.25">
      <c r="B82" s="23" t="s">
        <v>262</v>
      </c>
      <c r="C82" s="23" t="s">
        <v>369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7" x14ac:dyDescent="0.25">
      <c r="B83" s="23" t="s">
        <v>264</v>
      </c>
      <c r="C83" s="23" t="s">
        <v>370</v>
      </c>
    </row>
    <row r="84" spans="1:17" x14ac:dyDescent="0.25">
      <c r="B84" s="23" t="s">
        <v>266</v>
      </c>
      <c r="C84" s="23" t="s">
        <v>371</v>
      </c>
    </row>
    <row r="85" spans="1:17" x14ac:dyDescent="0.25">
      <c r="B85" s="1" t="s">
        <v>268</v>
      </c>
      <c r="C85" s="1" t="s">
        <v>372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1:17" x14ac:dyDescent="0.25">
      <c r="A86" s="13">
        <v>3</v>
      </c>
      <c r="B86" s="11" t="s">
        <v>373</v>
      </c>
      <c r="C86" s="13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</row>
    <row r="87" spans="1:17" x14ac:dyDescent="0.25">
      <c r="B87" s="23"/>
    </row>
    <row r="88" spans="1:17" x14ac:dyDescent="0.25">
      <c r="A88" s="13">
        <v>4</v>
      </c>
      <c r="B88" s="23" t="s">
        <v>374</v>
      </c>
      <c r="C88" s="23"/>
    </row>
    <row r="89" spans="1:17" x14ac:dyDescent="0.25">
      <c r="B89" s="20"/>
    </row>
    <row r="90" spans="1:17" x14ac:dyDescent="0.25">
      <c r="A90" s="13">
        <v>5</v>
      </c>
      <c r="B90" s="23" t="s">
        <v>375</v>
      </c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7" x14ac:dyDescent="0.25">
      <c r="B91" s="23" t="s">
        <v>262</v>
      </c>
      <c r="C91" s="23" t="s">
        <v>376</v>
      </c>
    </row>
    <row r="92" spans="1:17" x14ac:dyDescent="0.25">
      <c r="B92" s="23" t="s">
        <v>264</v>
      </c>
      <c r="C92" s="11" t="s">
        <v>377</v>
      </c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199"/>
    </row>
    <row r="93" spans="1:17" x14ac:dyDescent="0.25">
      <c r="A93" s="13">
        <v>6</v>
      </c>
      <c r="B93" s="16" t="s">
        <v>378</v>
      </c>
    </row>
    <row r="94" spans="1:17" x14ac:dyDescent="0.25">
      <c r="A94" s="13"/>
      <c r="B94" s="2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</row>
    <row r="95" spans="1:17" x14ac:dyDescent="0.25">
      <c r="A95" s="13">
        <v>7</v>
      </c>
      <c r="B95" s="23" t="s">
        <v>379</v>
      </c>
    </row>
    <row r="96" spans="1:17" x14ac:dyDescent="0.25">
      <c r="A96" s="200"/>
      <c r="B96" s="23" t="s">
        <v>262</v>
      </c>
      <c r="C96" s="23" t="s">
        <v>380</v>
      </c>
    </row>
    <row r="97" spans="1:17" x14ac:dyDescent="0.25">
      <c r="A97" s="200"/>
      <c r="B97" s="23" t="s">
        <v>264</v>
      </c>
      <c r="C97" s="23" t="s">
        <v>381</v>
      </c>
    </row>
    <row r="98" spans="1:17" x14ac:dyDescent="0.25">
      <c r="A98" s="200"/>
      <c r="B98" s="23" t="s">
        <v>266</v>
      </c>
      <c r="C98" s="23" t="s">
        <v>402</v>
      </c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</row>
    <row r="99" spans="1:17" x14ac:dyDescent="0.25">
      <c r="A99" s="200">
        <v>8</v>
      </c>
      <c r="B99" s="23" t="s">
        <v>383</v>
      </c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7" x14ac:dyDescent="0.25">
      <c r="A101" s="13">
        <v>9</v>
      </c>
      <c r="B101" s="11" t="s">
        <v>384</v>
      </c>
    </row>
    <row r="102" spans="1:17" x14ac:dyDescent="0.25">
      <c r="A102" s="200"/>
      <c r="B102" s="23" t="s">
        <v>262</v>
      </c>
      <c r="C102" s="23" t="s">
        <v>160</v>
      </c>
    </row>
    <row r="103" spans="1:17" x14ac:dyDescent="0.25">
      <c r="A103" s="200"/>
      <c r="B103" s="23" t="s">
        <v>264</v>
      </c>
      <c r="C103" s="23" t="s">
        <v>161</v>
      </c>
    </row>
    <row r="104" spans="1:17" x14ac:dyDescent="0.25">
      <c r="A104" s="200"/>
      <c r="B104" s="20"/>
      <c r="C104" s="202"/>
    </row>
    <row r="105" spans="1:17" x14ac:dyDescent="0.25">
      <c r="A105" s="13">
        <v>10</v>
      </c>
      <c r="B105" s="23" t="s">
        <v>385</v>
      </c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7" x14ac:dyDescent="0.25">
      <c r="A106" s="13">
        <v>11</v>
      </c>
      <c r="B106" s="23" t="s">
        <v>386</v>
      </c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7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7" x14ac:dyDescent="0.25">
      <c r="A108" s="13">
        <v>12</v>
      </c>
      <c r="B108" s="23" t="s">
        <v>387</v>
      </c>
    </row>
    <row r="109" spans="1:17" x14ac:dyDescent="0.25">
      <c r="A109" s="13">
        <v>13</v>
      </c>
      <c r="B109" s="23" t="s">
        <v>388</v>
      </c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</row>
    <row r="110" spans="1:17" ht="13" thickBot="1" x14ac:dyDescent="0.3">
      <c r="A110" s="13">
        <v>14</v>
      </c>
      <c r="B110" s="23" t="s">
        <v>291</v>
      </c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</row>
    <row r="111" spans="1:17" ht="13" thickTop="1" x14ac:dyDescent="0.25">
      <c r="A111" s="200"/>
      <c r="B111" s="20"/>
    </row>
    <row r="112" spans="1:17" x14ac:dyDescent="0.25">
      <c r="A112" s="210">
        <v>0</v>
      </c>
      <c r="B112" s="23"/>
    </row>
    <row r="113" spans="1:17" x14ac:dyDescent="0.25">
      <c r="A113" s="23">
        <v>0</v>
      </c>
      <c r="B113" s="11" t="str">
        <f>B50</f>
        <v xml:space="preserve">The equity component has been grossed up for taxes.  The approved ROE is 10.25%. </v>
      </c>
    </row>
    <row r="114" spans="1:17" x14ac:dyDescent="0.25">
      <c r="A114" s="23">
        <v>0</v>
      </c>
      <c r="B114" s="11" t="str">
        <f>B51</f>
        <v>Line 9a x Line 10 x line loss multiplier</v>
      </c>
    </row>
    <row r="115" spans="1:17" x14ac:dyDescent="0.25">
      <c r="A115" s="23">
        <v>0</v>
      </c>
      <c r="B115" s="23" t="s">
        <v>403</v>
      </c>
    </row>
    <row r="116" spans="1:17" x14ac:dyDescent="0.25">
      <c r="A116" s="23">
        <v>0</v>
      </c>
      <c r="B116" s="11" t="s">
        <v>389</v>
      </c>
    </row>
    <row r="117" spans="1:17" x14ac:dyDescent="0.25">
      <c r="A117" s="23">
        <v>0</v>
      </c>
      <c r="B117" s="11" t="s">
        <v>390</v>
      </c>
    </row>
    <row r="119" spans="1:17" x14ac:dyDescent="0.25">
      <c r="Q119" s="16"/>
    </row>
    <row r="120" spans="1:17" ht="13" x14ac:dyDescent="0.3">
      <c r="B120" s="187"/>
      <c r="C120" s="188"/>
      <c r="D120" s="188"/>
      <c r="E120" s="188"/>
      <c r="F120" s="188"/>
      <c r="G120" s="188"/>
      <c r="H120" s="187">
        <v>0</v>
      </c>
      <c r="I120" s="188"/>
    </row>
    <row r="121" spans="1:17" x14ac:dyDescent="0.25">
      <c r="B121" s="188"/>
      <c r="C121" s="188"/>
      <c r="D121" s="188"/>
      <c r="E121" s="188"/>
      <c r="F121" s="188"/>
      <c r="G121" s="188"/>
      <c r="H121" s="188" t="s">
        <v>10</v>
      </c>
      <c r="I121" s="188"/>
    </row>
    <row r="122" spans="1:17" x14ac:dyDescent="0.25">
      <c r="B122" s="188"/>
      <c r="C122" s="188"/>
      <c r="D122" s="188"/>
      <c r="E122" s="188"/>
      <c r="F122" s="188"/>
      <c r="G122" s="188"/>
      <c r="H122" s="188" t="s">
        <v>396</v>
      </c>
      <c r="I122" s="188"/>
    </row>
    <row r="123" spans="1:17" ht="13" x14ac:dyDescent="0.3">
      <c r="B123" s="186"/>
      <c r="C123" s="188"/>
      <c r="D123" s="188"/>
      <c r="E123" s="188"/>
      <c r="F123" s="188"/>
      <c r="G123" s="188"/>
      <c r="H123" s="186" t="s">
        <v>397</v>
      </c>
      <c r="I123" s="188"/>
    </row>
    <row r="124" spans="1:17" x14ac:dyDescent="0.25">
      <c r="B124" s="188"/>
      <c r="C124" s="188"/>
      <c r="D124" s="188"/>
      <c r="E124" s="188"/>
      <c r="F124" s="188"/>
      <c r="G124" s="188"/>
      <c r="H124" s="188"/>
      <c r="I124" s="188"/>
    </row>
    <row r="125" spans="1:17" x14ac:dyDescent="0.25">
      <c r="B125" s="188"/>
      <c r="C125" s="188"/>
      <c r="D125" s="188"/>
      <c r="E125" s="188"/>
      <c r="F125" s="188"/>
      <c r="G125" s="211" t="s">
        <v>398</v>
      </c>
      <c r="H125" s="211"/>
      <c r="I125" s="211"/>
      <c r="J125" s="211"/>
    </row>
    <row r="126" spans="1:17" x14ac:dyDescent="0.25">
      <c r="B126" s="188"/>
      <c r="C126" s="188"/>
      <c r="F126" s="188"/>
      <c r="G126" s="188"/>
      <c r="H126" s="188">
        <v>0</v>
      </c>
      <c r="I126" s="23" t="s">
        <v>404</v>
      </c>
    </row>
    <row r="127" spans="1:17" x14ac:dyDescent="0.25">
      <c r="B127" s="206"/>
      <c r="C127" s="188"/>
      <c r="D127" s="188"/>
      <c r="E127" s="188"/>
      <c r="F127" s="188"/>
      <c r="G127" s="188"/>
      <c r="H127" s="206"/>
      <c r="I127" s="188"/>
    </row>
    <row r="128" spans="1:17" x14ac:dyDescent="0.25">
      <c r="B128" s="188"/>
      <c r="C128" s="188"/>
      <c r="D128" s="188"/>
      <c r="E128" s="188"/>
      <c r="F128" s="188"/>
      <c r="G128" s="188"/>
      <c r="H128" s="188">
        <v>0</v>
      </c>
      <c r="I128" s="188"/>
    </row>
    <row r="129" spans="1:17" x14ac:dyDescent="0.25">
      <c r="A129" s="206"/>
      <c r="B129" s="206"/>
      <c r="C129" s="188"/>
      <c r="D129" s="188"/>
      <c r="E129" s="188"/>
      <c r="F129" s="188"/>
      <c r="G129" s="188"/>
      <c r="H129" s="188"/>
      <c r="I129" s="188"/>
    </row>
    <row r="130" spans="1:17" x14ac:dyDescent="0.25">
      <c r="D130" s="13" t="s">
        <v>257</v>
      </c>
      <c r="E130" s="13" t="s">
        <v>405</v>
      </c>
      <c r="F130" s="13" t="s">
        <v>405</v>
      </c>
      <c r="G130" s="13" t="s">
        <v>405</v>
      </c>
      <c r="H130" s="13" t="s">
        <v>405</v>
      </c>
      <c r="I130" s="13" t="s">
        <v>405</v>
      </c>
      <c r="J130" s="13" t="s">
        <v>405</v>
      </c>
      <c r="K130" s="13" t="s">
        <v>405</v>
      </c>
      <c r="L130" s="13" t="s">
        <v>405</v>
      </c>
      <c r="M130" s="13" t="s">
        <v>405</v>
      </c>
      <c r="N130" s="13" t="s">
        <v>405</v>
      </c>
      <c r="O130" s="13" t="s">
        <v>405</v>
      </c>
      <c r="P130" s="13" t="s">
        <v>405</v>
      </c>
      <c r="Q130" s="13" t="s">
        <v>406</v>
      </c>
    </row>
    <row r="131" spans="1:17" x14ac:dyDescent="0.25">
      <c r="A131" s="5" t="s">
        <v>126</v>
      </c>
      <c r="B131" s="5"/>
      <c r="C131" s="5" t="s">
        <v>259</v>
      </c>
      <c r="D131" s="5" t="s">
        <v>260</v>
      </c>
      <c r="E131" s="5" t="s">
        <v>15</v>
      </c>
      <c r="F131" s="5" t="s">
        <v>16</v>
      </c>
      <c r="G131" s="5" t="s">
        <v>17</v>
      </c>
      <c r="H131" s="5" t="s">
        <v>18</v>
      </c>
      <c r="I131" s="5" t="s">
        <v>19</v>
      </c>
      <c r="J131" s="5" t="s">
        <v>20</v>
      </c>
      <c r="K131" s="5" t="s">
        <v>21</v>
      </c>
      <c r="L131" s="5" t="s">
        <v>22</v>
      </c>
      <c r="M131" s="5" t="s">
        <v>23</v>
      </c>
      <c r="N131" s="5" t="s">
        <v>24</v>
      </c>
      <c r="O131" s="5" t="s">
        <v>25</v>
      </c>
      <c r="P131" s="5" t="s">
        <v>26</v>
      </c>
      <c r="Q131" s="5" t="s">
        <v>260</v>
      </c>
    </row>
    <row r="132" spans="1:17" x14ac:dyDescent="0.25">
      <c r="A132" s="13">
        <v>1</v>
      </c>
      <c r="B132" s="23" t="s">
        <v>261</v>
      </c>
      <c r="C132" s="13"/>
    </row>
    <row r="133" spans="1:17" x14ac:dyDescent="0.25">
      <c r="A133" s="13"/>
      <c r="B133" s="23" t="s">
        <v>262</v>
      </c>
      <c r="C133" s="23" t="s">
        <v>365</v>
      </c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</row>
    <row r="134" spans="1:17" x14ac:dyDescent="0.25">
      <c r="A134" s="13"/>
      <c r="B134" s="23" t="s">
        <v>264</v>
      </c>
      <c r="C134" s="23" t="s">
        <v>366</v>
      </c>
    </row>
    <row r="135" spans="1:17" x14ac:dyDescent="0.25">
      <c r="A135" s="13"/>
      <c r="B135" s="23" t="s">
        <v>266</v>
      </c>
      <c r="C135" s="23" t="s">
        <v>367</v>
      </c>
    </row>
    <row r="136" spans="1:17" x14ac:dyDescent="0.25">
      <c r="A136" s="13">
        <v>2</v>
      </c>
      <c r="B136" s="11" t="s">
        <v>368</v>
      </c>
      <c r="C136" s="25"/>
    </row>
    <row r="137" spans="1:17" x14ac:dyDescent="0.25">
      <c r="B137" s="23" t="s">
        <v>262</v>
      </c>
      <c r="C137" s="23" t="s">
        <v>369</v>
      </c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</row>
    <row r="138" spans="1:17" x14ac:dyDescent="0.25">
      <c r="B138" s="23" t="s">
        <v>264</v>
      </c>
      <c r="C138" s="23" t="s">
        <v>370</v>
      </c>
    </row>
    <row r="139" spans="1:17" x14ac:dyDescent="0.25">
      <c r="B139" s="23" t="s">
        <v>266</v>
      </c>
      <c r="C139" s="23" t="s">
        <v>371</v>
      </c>
    </row>
    <row r="140" spans="1:17" x14ac:dyDescent="0.25">
      <c r="B140" s="1" t="s">
        <v>268</v>
      </c>
      <c r="C140" s="1" t="s">
        <v>372</v>
      </c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</row>
    <row r="141" spans="1:17" x14ac:dyDescent="0.25">
      <c r="A141" s="13">
        <v>3</v>
      </c>
      <c r="B141" s="11" t="s">
        <v>373</v>
      </c>
      <c r="C141" s="13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</row>
    <row r="142" spans="1:17" x14ac:dyDescent="0.25">
      <c r="B142" s="23"/>
    </row>
    <row r="143" spans="1:17" x14ac:dyDescent="0.25">
      <c r="A143" s="13">
        <v>4</v>
      </c>
      <c r="B143" s="23" t="s">
        <v>374</v>
      </c>
      <c r="C143" s="23"/>
    </row>
    <row r="144" spans="1:17" x14ac:dyDescent="0.25">
      <c r="B144" s="20"/>
    </row>
    <row r="145" spans="1:17" x14ac:dyDescent="0.25">
      <c r="A145" s="13">
        <v>5</v>
      </c>
      <c r="B145" s="23" t="s">
        <v>375</v>
      </c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</row>
    <row r="146" spans="1:17" x14ac:dyDescent="0.25">
      <c r="B146" s="23" t="s">
        <v>262</v>
      </c>
      <c r="C146" s="23" t="s">
        <v>376</v>
      </c>
    </row>
    <row r="147" spans="1:17" x14ac:dyDescent="0.25">
      <c r="B147" s="23" t="s">
        <v>264</v>
      </c>
      <c r="C147" s="11" t="s">
        <v>377</v>
      </c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199"/>
    </row>
    <row r="148" spans="1:17" x14ac:dyDescent="0.25">
      <c r="A148" s="13">
        <v>6</v>
      </c>
      <c r="B148" s="16" t="s">
        <v>378</v>
      </c>
    </row>
    <row r="149" spans="1:17" x14ac:dyDescent="0.25">
      <c r="A149" s="13"/>
      <c r="B149" s="2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</row>
    <row r="150" spans="1:17" x14ac:dyDescent="0.25">
      <c r="A150" s="13">
        <v>7</v>
      </c>
      <c r="B150" s="23" t="s">
        <v>379</v>
      </c>
    </row>
    <row r="151" spans="1:17" x14ac:dyDescent="0.25">
      <c r="A151" s="200"/>
      <c r="B151" s="23" t="s">
        <v>262</v>
      </c>
      <c r="C151" s="23" t="s">
        <v>380</v>
      </c>
    </row>
    <row r="152" spans="1:17" x14ac:dyDescent="0.25">
      <c r="A152" s="200"/>
      <c r="B152" s="23" t="s">
        <v>264</v>
      </c>
      <c r="C152" s="23" t="s">
        <v>381</v>
      </c>
    </row>
    <row r="153" spans="1:17" x14ac:dyDescent="0.25">
      <c r="A153" s="200"/>
      <c r="B153" s="23" t="s">
        <v>266</v>
      </c>
      <c r="C153" s="23" t="s">
        <v>407</v>
      </c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</row>
    <row r="154" spans="1:17" x14ac:dyDescent="0.25">
      <c r="A154" s="200">
        <v>8</v>
      </c>
      <c r="B154" s="23" t="s">
        <v>383</v>
      </c>
      <c r="C154" s="23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</row>
    <row r="155" spans="1:17" x14ac:dyDescent="0.25">
      <c r="A155" s="200"/>
      <c r="B155" s="20"/>
      <c r="C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</row>
    <row r="156" spans="1:17" x14ac:dyDescent="0.25">
      <c r="A156" s="13">
        <v>9</v>
      </c>
      <c r="B156" s="11" t="s">
        <v>384</v>
      </c>
    </row>
    <row r="157" spans="1:17" x14ac:dyDescent="0.25">
      <c r="A157" s="200"/>
      <c r="B157" s="23" t="s">
        <v>262</v>
      </c>
      <c r="C157" s="23" t="s">
        <v>160</v>
      </c>
    </row>
    <row r="158" spans="1:17" x14ac:dyDescent="0.25">
      <c r="A158" s="200"/>
      <c r="B158" s="23" t="s">
        <v>264</v>
      </c>
      <c r="C158" s="23" t="s">
        <v>161</v>
      </c>
    </row>
    <row r="159" spans="1:17" x14ac:dyDescent="0.25">
      <c r="A159" s="200"/>
      <c r="B159" s="20"/>
      <c r="C159" s="202"/>
    </row>
    <row r="160" spans="1:17" x14ac:dyDescent="0.25">
      <c r="A160" s="13">
        <v>10</v>
      </c>
      <c r="B160" s="23" t="s">
        <v>408</v>
      </c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17" x14ac:dyDescent="0.25">
      <c r="A161" s="13">
        <v>11</v>
      </c>
      <c r="B161" s="23" t="s">
        <v>409</v>
      </c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</row>
    <row r="162" spans="1:17" x14ac:dyDescent="0.25">
      <c r="A162" s="13"/>
      <c r="B162" s="23"/>
      <c r="C162" s="202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</row>
    <row r="163" spans="1:17" x14ac:dyDescent="0.25">
      <c r="A163" s="13">
        <v>12</v>
      </c>
      <c r="B163" s="23" t="s">
        <v>387</v>
      </c>
    </row>
    <row r="164" spans="1:17" x14ac:dyDescent="0.25">
      <c r="A164" s="13">
        <v>13</v>
      </c>
      <c r="B164" s="23" t="s">
        <v>388</v>
      </c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</row>
    <row r="165" spans="1:17" ht="13" thickBot="1" x14ac:dyDescent="0.3">
      <c r="A165" s="13">
        <v>14</v>
      </c>
      <c r="B165" s="23" t="s">
        <v>291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</row>
    <row r="166" spans="1:17" ht="13" thickTop="1" x14ac:dyDescent="0.25">
      <c r="A166" s="200"/>
      <c r="B166" s="20"/>
    </row>
    <row r="167" spans="1:17" x14ac:dyDescent="0.25">
      <c r="A167" s="210" t="s">
        <v>76</v>
      </c>
      <c r="B167" s="23"/>
    </row>
    <row r="168" spans="1:17" x14ac:dyDescent="0.25">
      <c r="A168" s="23" t="s">
        <v>168</v>
      </c>
      <c r="B168" s="11" t="str">
        <f>B50</f>
        <v xml:space="preserve">The equity component has been grossed up for taxes.  The approved ROE is 10.25%. </v>
      </c>
    </row>
    <row r="169" spans="1:17" x14ac:dyDescent="0.25">
      <c r="A169" s="23" t="s">
        <v>170</v>
      </c>
      <c r="B169" s="11" t="str">
        <f>B51</f>
        <v>Line 9a x Line 10 x line loss multiplier</v>
      </c>
    </row>
    <row r="170" spans="1:17" x14ac:dyDescent="0.25">
      <c r="A170" s="23" t="s">
        <v>255</v>
      </c>
      <c r="B170" s="23" t="s">
        <v>403</v>
      </c>
    </row>
    <row r="171" spans="1:17" x14ac:dyDescent="0.25">
      <c r="A171" s="23" t="s">
        <v>295</v>
      </c>
      <c r="B171" s="11" t="s">
        <v>389</v>
      </c>
    </row>
    <row r="172" spans="1:17" x14ac:dyDescent="0.25">
      <c r="A172" s="23" t="s">
        <v>297</v>
      </c>
      <c r="B172" s="11" t="s">
        <v>390</v>
      </c>
    </row>
    <row r="174" spans="1:17" x14ac:dyDescent="0.25">
      <c r="A174" s="23"/>
      <c r="B174" s="23"/>
    </row>
  </sheetData>
  <mergeCells count="6">
    <mergeCell ref="A7:Q7"/>
    <mergeCell ref="A8:Q8"/>
    <mergeCell ref="A9:Q9"/>
    <mergeCell ref="A10:Q10"/>
    <mergeCell ref="G70:J70"/>
    <mergeCell ref="G125:J125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C9D3-B66D-4861-83CE-F72F279D6FAC}">
  <dimension ref="A1:H63"/>
  <sheetViews>
    <sheetView showGridLines="0" view="pageBreakPreview" zoomScale="110" zoomScaleNormal="100" zoomScaleSheetLayoutView="110" workbookViewId="0">
      <selection activeCell="Q28" sqref="Q28"/>
    </sheetView>
  </sheetViews>
  <sheetFormatPr defaultColWidth="8.75" defaultRowHeight="10" x14ac:dyDescent="0.2"/>
  <cols>
    <col min="1" max="1" width="30.58203125" style="99" bestFit="1" customWidth="1"/>
    <col min="2" max="2" width="18.08203125" style="99" customWidth="1"/>
    <col min="3" max="3" width="14.83203125" style="99" customWidth="1"/>
    <col min="4" max="4" width="13.83203125" style="99" bestFit="1" customWidth="1"/>
    <col min="5" max="5" width="14" style="99" bestFit="1" customWidth="1"/>
    <col min="6" max="6" width="13.5" style="99" customWidth="1"/>
    <col min="7" max="7" width="6.08203125" style="99" customWidth="1"/>
    <col min="8" max="10" width="10.75" style="99" bestFit="1" customWidth="1"/>
    <col min="11" max="16384" width="8.75" style="99"/>
  </cols>
  <sheetData>
    <row r="1" spans="1:6" s="92" customFormat="1" ht="12" customHeight="1" thickBot="1" x14ac:dyDescent="0.25">
      <c r="A1" s="91"/>
      <c r="B1" s="91"/>
      <c r="C1" s="91"/>
      <c r="D1" s="91"/>
      <c r="E1" s="91"/>
      <c r="F1" s="91"/>
    </row>
    <row r="2" spans="1:6" s="92" customFormat="1" ht="15" customHeight="1" x14ac:dyDescent="0.2">
      <c r="A2" s="93" t="s">
        <v>0</v>
      </c>
      <c r="B2" s="93"/>
      <c r="C2" s="93"/>
      <c r="D2" s="93"/>
      <c r="E2" s="93"/>
      <c r="F2" s="93"/>
    </row>
    <row r="3" spans="1:6" s="92" customFormat="1" ht="15" customHeight="1" x14ac:dyDescent="0.2">
      <c r="A3" s="94" t="s">
        <v>78</v>
      </c>
      <c r="B3" s="94"/>
      <c r="C3" s="94"/>
      <c r="D3" s="94"/>
      <c r="E3" s="94"/>
      <c r="F3" s="94"/>
    </row>
    <row r="4" spans="1:6" s="92" customFormat="1" ht="12" customHeight="1" thickBot="1" x14ac:dyDescent="0.25">
      <c r="A4" s="91"/>
      <c r="B4" s="91"/>
      <c r="C4" s="91"/>
      <c r="D4" s="91"/>
      <c r="E4" s="91"/>
      <c r="F4" s="91"/>
    </row>
    <row r="5" spans="1:6" s="92" customFormat="1" x14ac:dyDescent="0.2">
      <c r="A5" s="95" t="s">
        <v>79</v>
      </c>
      <c r="B5" s="95" t="s">
        <v>80</v>
      </c>
      <c r="C5" s="95" t="s">
        <v>81</v>
      </c>
      <c r="D5" s="95" t="s">
        <v>82</v>
      </c>
      <c r="E5" s="95" t="s">
        <v>83</v>
      </c>
    </row>
    <row r="6" spans="1:6" s="92" customFormat="1" ht="12" customHeight="1" thickBot="1" x14ac:dyDescent="0.25">
      <c r="E6" s="91"/>
      <c r="F6" s="91"/>
    </row>
    <row r="7" spans="1:6" s="92" customFormat="1" ht="40.5" customHeight="1" thickBot="1" x14ac:dyDescent="0.25">
      <c r="A7" s="96" t="s">
        <v>84</v>
      </c>
      <c r="B7" s="97" t="s">
        <v>85</v>
      </c>
      <c r="C7" s="97" t="s">
        <v>86</v>
      </c>
      <c r="D7" s="97" t="s">
        <v>87</v>
      </c>
      <c r="E7" s="98" t="s">
        <v>88</v>
      </c>
    </row>
    <row r="8" spans="1:6" x14ac:dyDescent="0.2">
      <c r="A8" s="99" t="s">
        <v>89</v>
      </c>
      <c r="B8" s="100">
        <f>'42-5E'!Q8</f>
        <v>0</v>
      </c>
      <c r="C8" s="100">
        <v>0</v>
      </c>
      <c r="D8" s="101">
        <f>B8-C8</f>
        <v>0</v>
      </c>
      <c r="E8" s="102">
        <f>IF(C8=0,0,+D8/C8)</f>
        <v>0</v>
      </c>
    </row>
    <row r="9" spans="1:6" x14ac:dyDescent="0.2">
      <c r="A9" s="99" t="s">
        <v>90</v>
      </c>
      <c r="B9" s="100">
        <f>'42-5E'!Q9</f>
        <v>270736.91999999993</v>
      </c>
      <c r="C9" s="100">
        <v>285268.99996629998</v>
      </c>
      <c r="D9" s="101">
        <f t="shared" ref="D9:D35" si="0">B9-C9</f>
        <v>-14532.079966300051</v>
      </c>
      <c r="E9" s="102">
        <f>IF(C9=0,0,+D9/C9)</f>
        <v>-5.0941672484626041E-2</v>
      </c>
    </row>
    <row r="10" spans="1:6" x14ac:dyDescent="0.2">
      <c r="A10" s="99" t="s">
        <v>91</v>
      </c>
      <c r="B10" s="100">
        <f>'42-5E'!Q10</f>
        <v>217023.87594829997</v>
      </c>
      <c r="C10" s="100">
        <v>231465.2702646</v>
      </c>
      <c r="D10" s="101">
        <f t="shared" si="0"/>
        <v>-14441.394316300022</v>
      </c>
      <c r="E10" s="102">
        <f t="shared" ref="E10:E36" si="1">IF(C10=0,0,+D10/C10)</f>
        <v>-6.23911928549424E-2</v>
      </c>
    </row>
    <row r="11" spans="1:6" x14ac:dyDescent="0.2">
      <c r="A11" s="99" t="s">
        <v>92</v>
      </c>
      <c r="B11" s="100">
        <f>'42-5E'!Q11</f>
        <v>1000.4999999999927</v>
      </c>
      <c r="C11" s="100">
        <v>1000</v>
      </c>
      <c r="D11" s="101">
        <f t="shared" si="0"/>
        <v>0.49999999999272404</v>
      </c>
      <c r="E11" s="102">
        <f t="shared" si="1"/>
        <v>4.9999999999272404E-4</v>
      </c>
    </row>
    <row r="12" spans="1:6" x14ac:dyDescent="0.2">
      <c r="A12" s="99" t="s">
        <v>93</v>
      </c>
      <c r="B12" s="100">
        <f>'42-5E'!Q12</f>
        <v>688541.57107799989</v>
      </c>
      <c r="C12" s="100">
        <v>736399.30198659992</v>
      </c>
      <c r="D12" s="101">
        <f t="shared" si="0"/>
        <v>-47857.730908600031</v>
      </c>
      <c r="E12" s="102">
        <f t="shared" si="1"/>
        <v>-6.4988832525361209E-2</v>
      </c>
    </row>
    <row r="13" spans="1:6" x14ac:dyDescent="0.2">
      <c r="A13" s="99" t="s">
        <v>94</v>
      </c>
      <c r="B13" s="100">
        <f>'42-5E'!Q13</f>
        <v>1257914.5635569999</v>
      </c>
      <c r="C13" s="100">
        <v>1542559.1942656999</v>
      </c>
      <c r="D13" s="101">
        <f t="shared" si="0"/>
        <v>-284644.63070870005</v>
      </c>
      <c r="E13" s="102">
        <f t="shared" si="1"/>
        <v>-0.18452752527542299</v>
      </c>
    </row>
    <row r="14" spans="1:6" x14ac:dyDescent="0.2">
      <c r="A14" s="99" t="s">
        <v>95</v>
      </c>
      <c r="B14" s="100">
        <f>'42-5E'!Q14</f>
        <v>2091013.28</v>
      </c>
      <c r="C14" s="100">
        <v>2241963.9838651004</v>
      </c>
      <c r="D14" s="101">
        <f t="shared" si="0"/>
        <v>-150950.7038651004</v>
      </c>
      <c r="E14" s="102">
        <f t="shared" si="1"/>
        <v>-6.7329673871417167E-2</v>
      </c>
    </row>
    <row r="15" spans="1:6" x14ac:dyDescent="0.2">
      <c r="A15" s="99" t="s">
        <v>96</v>
      </c>
      <c r="B15" s="100">
        <f>'42-5E'!Q15</f>
        <v>49515.69</v>
      </c>
      <c r="C15" s="100">
        <v>35000</v>
      </c>
      <c r="D15" s="101">
        <f t="shared" si="0"/>
        <v>14515.690000000002</v>
      </c>
      <c r="E15" s="102">
        <f t="shared" si="1"/>
        <v>0.41473400000000005</v>
      </c>
    </row>
    <row r="16" spans="1:6" x14ac:dyDescent="0.2">
      <c r="A16" s="99" t="s">
        <v>97</v>
      </c>
      <c r="B16" s="100">
        <f>'42-5E'!Q16</f>
        <v>0</v>
      </c>
      <c r="C16" s="100">
        <v>0</v>
      </c>
      <c r="D16" s="101">
        <f t="shared" si="0"/>
        <v>0</v>
      </c>
      <c r="E16" s="102">
        <f t="shared" si="1"/>
        <v>0</v>
      </c>
    </row>
    <row r="17" spans="1:5" x14ac:dyDescent="0.2">
      <c r="A17" s="99" t="s">
        <v>98</v>
      </c>
      <c r="B17" s="100">
        <f>'42-5E'!Q17</f>
        <v>2587.6899999999987</v>
      </c>
      <c r="C17" s="100">
        <v>15000</v>
      </c>
      <c r="D17" s="101">
        <f t="shared" si="0"/>
        <v>-12412.310000000001</v>
      </c>
      <c r="E17" s="102">
        <f t="shared" si="1"/>
        <v>-0.82748733333333346</v>
      </c>
    </row>
    <row r="18" spans="1:5" x14ac:dyDescent="0.2">
      <c r="A18" s="99" t="s">
        <v>99</v>
      </c>
      <c r="B18" s="100">
        <f>'42-5E'!Q18</f>
        <v>957979.75936289993</v>
      </c>
      <c r="C18" s="100">
        <v>968840.07319239993</v>
      </c>
      <c r="D18" s="101">
        <f t="shared" si="0"/>
        <v>-10860.313829499995</v>
      </c>
      <c r="E18" s="102">
        <f t="shared" si="1"/>
        <v>-1.120960427835572E-2</v>
      </c>
    </row>
    <row r="19" spans="1:5" x14ac:dyDescent="0.2">
      <c r="A19" s="99" t="s">
        <v>100</v>
      </c>
      <c r="B19" s="100">
        <f>'42-5E'!Q19</f>
        <v>196679</v>
      </c>
      <c r="C19" s="100">
        <v>183658.84299719997</v>
      </c>
      <c r="D19" s="101">
        <f t="shared" si="0"/>
        <v>13020.157002800028</v>
      </c>
      <c r="E19" s="102">
        <f t="shared" si="1"/>
        <v>7.0893166864818655E-2</v>
      </c>
    </row>
    <row r="20" spans="1:5" x14ac:dyDescent="0.2">
      <c r="A20" s="99" t="s">
        <v>101</v>
      </c>
      <c r="B20" s="100">
        <f>'42-5E'!Q20</f>
        <v>0</v>
      </c>
      <c r="C20" s="100">
        <v>0</v>
      </c>
      <c r="D20" s="101">
        <f t="shared" si="0"/>
        <v>0</v>
      </c>
      <c r="E20" s="102">
        <f t="shared" si="1"/>
        <v>0</v>
      </c>
    </row>
    <row r="21" spans="1:5" x14ac:dyDescent="0.2">
      <c r="A21" s="99" t="s">
        <v>102</v>
      </c>
      <c r="B21" s="100">
        <f>'42-5E'!Q21</f>
        <v>0</v>
      </c>
      <c r="C21" s="100">
        <v>0</v>
      </c>
      <c r="D21" s="101">
        <f t="shared" si="0"/>
        <v>0</v>
      </c>
      <c r="E21" s="102">
        <f t="shared" si="1"/>
        <v>0</v>
      </c>
    </row>
    <row r="22" spans="1:5" x14ac:dyDescent="0.2">
      <c r="A22" s="99" t="s">
        <v>103</v>
      </c>
      <c r="B22" s="100">
        <f>'42-5E'!Q22</f>
        <v>0</v>
      </c>
      <c r="C22" s="100">
        <v>0</v>
      </c>
      <c r="D22" s="101">
        <f t="shared" si="0"/>
        <v>0</v>
      </c>
      <c r="E22" s="102">
        <f t="shared" si="1"/>
        <v>0</v>
      </c>
    </row>
    <row r="23" spans="1:5" x14ac:dyDescent="0.2">
      <c r="A23" s="99" t="s">
        <v>104</v>
      </c>
      <c r="B23" s="100">
        <f>'42-5E'!Q23</f>
        <v>0</v>
      </c>
      <c r="C23" s="100">
        <v>0</v>
      </c>
      <c r="D23" s="101">
        <f t="shared" si="0"/>
        <v>0</v>
      </c>
      <c r="E23" s="102">
        <f t="shared" si="1"/>
        <v>0</v>
      </c>
    </row>
    <row r="24" spans="1:5" x14ac:dyDescent="0.2">
      <c r="A24" s="99" t="s">
        <v>105</v>
      </c>
      <c r="B24" s="100">
        <f>'42-5E'!Q24</f>
        <v>0</v>
      </c>
      <c r="C24" s="100">
        <v>0</v>
      </c>
      <c r="D24" s="101">
        <f t="shared" si="0"/>
        <v>0</v>
      </c>
      <c r="E24" s="102">
        <f t="shared" si="1"/>
        <v>0</v>
      </c>
    </row>
    <row r="25" spans="1:5" x14ac:dyDescent="0.2">
      <c r="A25" s="99" t="s">
        <v>106</v>
      </c>
      <c r="B25" s="100">
        <f>'42-5E'!Q25</f>
        <v>0</v>
      </c>
      <c r="C25" s="100">
        <v>0</v>
      </c>
      <c r="D25" s="101">
        <f t="shared" si="0"/>
        <v>0</v>
      </c>
      <c r="E25" s="102">
        <f t="shared" si="1"/>
        <v>0</v>
      </c>
    </row>
    <row r="26" spans="1:5" x14ac:dyDescent="0.2">
      <c r="A26" s="99" t="s">
        <v>107</v>
      </c>
      <c r="B26" s="100">
        <f>'42-5E'!Q26</f>
        <v>227319.72064800002</v>
      </c>
      <c r="C26" s="100">
        <v>560730.73293439997</v>
      </c>
      <c r="D26" s="101">
        <f t="shared" si="0"/>
        <v>-333411.01228639996</v>
      </c>
      <c r="E26" s="102">
        <f t="shared" si="1"/>
        <v>-0.59460092465701497</v>
      </c>
    </row>
    <row r="27" spans="1:5" x14ac:dyDescent="0.2">
      <c r="A27" s="99" t="s">
        <v>108</v>
      </c>
      <c r="B27" s="100">
        <f>'42-5E'!Q27</f>
        <v>16998777.236951798</v>
      </c>
      <c r="C27" s="100">
        <v>18287138.337676495</v>
      </c>
      <c r="D27" s="101">
        <f t="shared" si="0"/>
        <v>-1288361.1007246971</v>
      </c>
      <c r="E27" s="102">
        <f t="shared" si="1"/>
        <v>-7.0451761064787358E-2</v>
      </c>
    </row>
    <row r="28" spans="1:5" x14ac:dyDescent="0.2">
      <c r="A28" s="99" t="s">
        <v>109</v>
      </c>
      <c r="B28" s="100">
        <f>'42-5E'!Q28</f>
        <v>0</v>
      </c>
      <c r="C28" s="100">
        <v>0</v>
      </c>
      <c r="D28" s="101">
        <f t="shared" si="0"/>
        <v>0</v>
      </c>
      <c r="E28" s="102">
        <f t="shared" si="1"/>
        <v>0</v>
      </c>
    </row>
    <row r="29" spans="1:5" x14ac:dyDescent="0.2">
      <c r="A29" s="99" t="s">
        <v>110</v>
      </c>
      <c r="B29" s="100">
        <f>'42-5E'!Q29</f>
        <v>208486.8</v>
      </c>
      <c r="C29" s="100">
        <v>45978.35</v>
      </c>
      <c r="D29" s="101">
        <f t="shared" si="0"/>
        <v>162508.44999999998</v>
      </c>
      <c r="E29" s="102">
        <f t="shared" si="1"/>
        <v>3.5344558906528829</v>
      </c>
    </row>
    <row r="30" spans="1:5" x14ac:dyDescent="0.2">
      <c r="A30" s="99" t="s">
        <v>111</v>
      </c>
      <c r="B30" s="100">
        <f>'42-5E'!Q30</f>
        <v>1000843.9874005998</v>
      </c>
      <c r="C30" s="100">
        <v>6866071.8378861006</v>
      </c>
      <c r="D30" s="101">
        <f>B30-C30</f>
        <v>-5865227.8504855009</v>
      </c>
      <c r="E30" s="102">
        <f t="shared" si="1"/>
        <v>-0.85423339413985278</v>
      </c>
    </row>
    <row r="31" spans="1:5" x14ac:dyDescent="0.2">
      <c r="A31" s="99" t="s">
        <v>112</v>
      </c>
      <c r="B31" s="100">
        <f>'42-5E'!Q31</f>
        <v>36806.160000000003</v>
      </c>
      <c r="C31" s="100">
        <v>48696</v>
      </c>
      <c r="D31" s="101">
        <f>B31-C31</f>
        <v>-11889.839999999997</v>
      </c>
      <c r="E31" s="102">
        <f t="shared" si="1"/>
        <v>-0.24416461310990628</v>
      </c>
    </row>
    <row r="32" spans="1:5" x14ac:dyDescent="0.2">
      <c r="A32" s="99" t="s">
        <v>113</v>
      </c>
      <c r="B32" s="100">
        <f>'42-5E'!Q32</f>
        <v>0</v>
      </c>
      <c r="C32" s="100">
        <v>0</v>
      </c>
      <c r="D32" s="101">
        <f t="shared" si="0"/>
        <v>0</v>
      </c>
      <c r="E32" s="102">
        <f t="shared" si="1"/>
        <v>0</v>
      </c>
    </row>
    <row r="33" spans="1:8" x14ac:dyDescent="0.2">
      <c r="A33" s="99" t="s">
        <v>114</v>
      </c>
      <c r="B33" s="100">
        <f>'42-5E'!Q33</f>
        <v>1362.4600000000003</v>
      </c>
      <c r="C33" s="100">
        <v>3087.37</v>
      </c>
      <c r="D33" s="101">
        <f t="shared" si="0"/>
        <v>-1724.9099999999996</v>
      </c>
      <c r="E33" s="102">
        <f t="shared" si="1"/>
        <v>-0.55869882780489533</v>
      </c>
    </row>
    <row r="34" spans="1:8" x14ac:dyDescent="0.2">
      <c r="A34" s="99" t="s">
        <v>115</v>
      </c>
      <c r="B34" s="100">
        <f>'42-5E'!Q34</f>
        <v>1545.0981922124329</v>
      </c>
      <c r="C34" s="100">
        <v>7112.7697169491539</v>
      </c>
      <c r="D34" s="101">
        <f t="shared" si="0"/>
        <v>-5567.671524736721</v>
      </c>
      <c r="E34" s="102">
        <f t="shared" si="1"/>
        <v>-0.78277123347173905</v>
      </c>
    </row>
    <row r="35" spans="1:8" ht="10.5" thickBot="1" x14ac:dyDescent="0.25">
      <c r="A35" s="99" t="s">
        <v>116</v>
      </c>
      <c r="B35" s="100">
        <f>'42-5E'!Q35</f>
        <v>30417.062591623395</v>
      </c>
      <c r="C35" s="100">
        <v>9834.4253396578988</v>
      </c>
      <c r="D35" s="101">
        <f t="shared" si="0"/>
        <v>20582.637251965498</v>
      </c>
      <c r="E35" s="102">
        <f t="shared" si="1"/>
        <v>2.092917129480337</v>
      </c>
    </row>
    <row r="36" spans="1:8" ht="10.5" hidden="1" thickBot="1" x14ac:dyDescent="0.25">
      <c r="B36" s="100"/>
      <c r="C36" s="100"/>
      <c r="D36" s="100"/>
      <c r="E36" s="103">
        <f t="shared" si="1"/>
        <v>0</v>
      </c>
    </row>
    <row r="37" spans="1:8" x14ac:dyDescent="0.2">
      <c r="A37" s="99" t="s">
        <v>117</v>
      </c>
      <c r="B37" s="104">
        <f>SUM(B8:B35)</f>
        <v>24238551.375730433</v>
      </c>
      <c r="C37" s="104">
        <f>SUM(C8:C35)</f>
        <v>32069805.490091503</v>
      </c>
      <c r="D37" s="105">
        <f>B37-C37</f>
        <v>-7831254.1143610701</v>
      </c>
      <c r="E37" s="106">
        <f>IF(C37=0,0,+D37/C37)</f>
        <v>-0.24419400101384045</v>
      </c>
      <c r="F37" s="107"/>
      <c r="H37" s="108"/>
    </row>
    <row r="38" spans="1:8" x14ac:dyDescent="0.2">
      <c r="B38" s="100"/>
      <c r="C38" s="100"/>
      <c r="D38" s="100"/>
    </row>
    <row r="39" spans="1:8" ht="12" x14ac:dyDescent="0.2">
      <c r="A39" s="92" t="s">
        <v>118</v>
      </c>
      <c r="B39" s="100"/>
      <c r="C39" s="100"/>
      <c r="D39" s="100"/>
      <c r="E39" s="103"/>
    </row>
    <row r="40" spans="1:8" ht="12" x14ac:dyDescent="0.2">
      <c r="A40" s="92" t="s">
        <v>119</v>
      </c>
      <c r="B40" s="100"/>
      <c r="C40" s="100"/>
      <c r="D40" s="100"/>
      <c r="E40" s="103"/>
    </row>
    <row r="41" spans="1:8" ht="12" x14ac:dyDescent="0.2">
      <c r="A41" s="92" t="s">
        <v>120</v>
      </c>
    </row>
    <row r="42" spans="1:8" ht="10.5" customHeight="1" x14ac:dyDescent="0.2">
      <c r="A42" s="92" t="s">
        <v>121</v>
      </c>
    </row>
    <row r="43" spans="1:8" x14ac:dyDescent="0.2">
      <c r="A43" s="92"/>
    </row>
    <row r="44" spans="1:8" x14ac:dyDescent="0.2">
      <c r="A44" s="92"/>
    </row>
    <row r="45" spans="1:8" x14ac:dyDescent="0.2">
      <c r="A45" s="92"/>
    </row>
    <row r="49" spans="1:7" ht="10.5" x14ac:dyDescent="0.25">
      <c r="E49" s="109"/>
      <c r="G49" s="110"/>
    </row>
    <row r="50" spans="1:7" x14ac:dyDescent="0.2">
      <c r="F50" s="111"/>
      <c r="G50" s="111"/>
    </row>
    <row r="51" spans="1:7" ht="10.5" hidden="1" x14ac:dyDescent="0.25">
      <c r="A51" s="112"/>
      <c r="B51" s="113"/>
      <c r="C51" s="113"/>
      <c r="D51" s="113"/>
      <c r="E51" s="113"/>
      <c r="F51" s="113"/>
    </row>
    <row r="52" spans="1:7" hidden="1" x14ac:dyDescent="0.2">
      <c r="A52" s="113"/>
      <c r="B52" s="113"/>
      <c r="C52" s="113"/>
      <c r="D52" s="113"/>
      <c r="E52" s="113"/>
      <c r="F52" s="113"/>
    </row>
    <row r="53" spans="1:7" hidden="1" x14ac:dyDescent="0.2">
      <c r="A53" s="113"/>
      <c r="B53" s="113"/>
      <c r="C53" s="113"/>
      <c r="D53" s="113"/>
      <c r="E53" s="113"/>
      <c r="F53" s="113"/>
    </row>
    <row r="54" spans="1:7" x14ac:dyDescent="0.2">
      <c r="A54" s="114"/>
      <c r="B54" s="114"/>
      <c r="C54" s="114"/>
      <c r="D54" s="114"/>
      <c r="E54" s="114"/>
      <c r="F54" s="114"/>
    </row>
    <row r="55" spans="1:7" hidden="1" x14ac:dyDescent="0.2">
      <c r="A55" s="113"/>
      <c r="B55" s="113"/>
      <c r="C55" s="113"/>
      <c r="D55" s="113"/>
      <c r="E55" s="113"/>
      <c r="F55" s="113"/>
    </row>
    <row r="56" spans="1:7" x14ac:dyDescent="0.2">
      <c r="A56" s="114"/>
      <c r="B56" s="114"/>
      <c r="C56" s="114"/>
      <c r="D56" s="114"/>
      <c r="E56" s="114"/>
      <c r="F56" s="114"/>
    </row>
    <row r="57" spans="1:7" x14ac:dyDescent="0.2">
      <c r="A57" s="114"/>
      <c r="B57" s="114"/>
      <c r="C57" s="114"/>
      <c r="D57" s="114"/>
      <c r="E57" s="114"/>
      <c r="F57" s="114"/>
    </row>
    <row r="59" spans="1:7" hidden="1" x14ac:dyDescent="0.2">
      <c r="D59" s="115"/>
      <c r="E59" s="115"/>
      <c r="F59" s="115"/>
      <c r="G59" s="116"/>
    </row>
    <row r="60" spans="1:7" hidden="1" x14ac:dyDescent="0.2">
      <c r="A60" s="115"/>
      <c r="C60" s="115"/>
      <c r="D60" s="115"/>
      <c r="E60" s="113"/>
      <c r="F60" s="113"/>
      <c r="G60" s="113"/>
    </row>
    <row r="61" spans="1:7" x14ac:dyDescent="0.2">
      <c r="A61" s="114"/>
      <c r="B61" s="114"/>
      <c r="C61" s="115"/>
      <c r="D61" s="115"/>
      <c r="E61" s="115"/>
      <c r="F61" s="117"/>
    </row>
    <row r="62" spans="1:7" x14ac:dyDescent="0.2">
      <c r="A62" s="114"/>
      <c r="B62" s="114"/>
      <c r="C62" s="118"/>
      <c r="D62" s="118"/>
      <c r="E62" s="118"/>
      <c r="F62" s="119"/>
      <c r="G62" s="119"/>
    </row>
    <row r="63" spans="1:7" x14ac:dyDescent="0.2">
      <c r="F63" s="103"/>
    </row>
  </sheetData>
  <mergeCells count="9">
    <mergeCell ref="A61:B61"/>
    <mergeCell ref="A62:B62"/>
    <mergeCell ref="F62:G62"/>
    <mergeCell ref="A2:F2"/>
    <mergeCell ref="A3:F3"/>
    <mergeCell ref="F50:G50"/>
    <mergeCell ref="A54:F54"/>
    <mergeCell ref="A56:F56"/>
    <mergeCell ref="A57:F57"/>
  </mergeCells>
  <pageMargins left="0.5" right="0.5" top="1" bottom="0.75" header="0.55000000000000004" footer="0.3"/>
  <pageSetup orientation="landscape" r:id="rId1"/>
  <headerFooter alignWithMargins="0">
    <oddHeader>&amp;C&amp;"Arial,Regular"&amp;8GULF POWER COMPANY
 ENVIRONMENTAL COST RECOVERY CLAUSE
 CALCULATION OF THE ACTUAL / ESTIMATED TRUE-UP AMOUNT FOR THE PERIOD&amp;R&amp;"Arial,Regular"&amp;8FORM 42-4E</oddHeader>
  </headerFooter>
  <colBreaks count="1" manualBreakCount="1">
    <brk id="7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E70-3DD4-40DF-9098-AE5C0E037A59}">
  <sheetPr transitionEvaluation="1" transitionEntry="1"/>
  <dimension ref="A1:S187"/>
  <sheetViews>
    <sheetView showGridLines="0" defaultGridColor="0" view="pageBreakPreview" colorId="8" zoomScale="70" zoomScaleNormal="80" zoomScaleSheetLayoutView="70" workbookViewId="0">
      <selection activeCell="Q28" sqref="Q28"/>
    </sheetView>
  </sheetViews>
  <sheetFormatPr defaultColWidth="11.58203125" defaultRowHeight="12.5" x14ac:dyDescent="0.25"/>
  <cols>
    <col min="1" max="1" width="4.83203125" style="1" customWidth="1"/>
    <col min="2" max="2" width="3" style="1" customWidth="1"/>
    <col min="3" max="3" width="35.58203125" style="1" customWidth="1"/>
    <col min="4" max="4" width="14.83203125" style="1" customWidth="1"/>
    <col min="5" max="16" width="11.58203125" style="1"/>
    <col min="17" max="17" width="12.08203125" style="1" customWidth="1"/>
    <col min="18" max="18" width="3.58203125" style="1" customWidth="1"/>
    <col min="19" max="19" width="5.75" style="1" customWidth="1"/>
    <col min="20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33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3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211" t="s">
        <v>410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19" x14ac:dyDescent="0.25">
      <c r="A8" s="211" t="s">
        <v>411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>
        <f>'42-8_Project 1'!$H$69</f>
        <v>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B12" s="217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253" t="s">
        <v>258</v>
      </c>
    </row>
    <row r="13" spans="1:19" ht="13" thickBot="1" x14ac:dyDescent="0.3">
      <c r="A13" s="195" t="s">
        <v>126</v>
      </c>
      <c r="B13" s="198"/>
      <c r="C13" s="197" t="s">
        <v>259</v>
      </c>
      <c r="D13" s="254" t="s">
        <v>260</v>
      </c>
      <c r="E13" s="254" t="s">
        <v>15</v>
      </c>
      <c r="F13" s="254" t="s">
        <v>16</v>
      </c>
      <c r="G13" s="254" t="s">
        <v>17</v>
      </c>
      <c r="H13" s="254" t="s">
        <v>18</v>
      </c>
      <c r="I13" s="254" t="s">
        <v>19</v>
      </c>
      <c r="J13" s="254" t="s">
        <v>20</v>
      </c>
      <c r="K13" s="254" t="s">
        <v>21</v>
      </c>
      <c r="L13" s="254" t="s">
        <v>22</v>
      </c>
      <c r="M13" s="254" t="s">
        <v>23</v>
      </c>
      <c r="N13" s="254" t="s">
        <v>24</v>
      </c>
      <c r="O13" s="254" t="s">
        <v>25</v>
      </c>
      <c r="P13" s="254" t="s">
        <v>26</v>
      </c>
      <c r="Q13" s="254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365</v>
      </c>
      <c r="D15" s="202"/>
      <c r="E15" s="202">
        <f>E78+E144</f>
        <v>0</v>
      </c>
      <c r="F15" s="202">
        <f t="shared" ref="F15:P15" si="0">F78+F144</f>
        <v>0</v>
      </c>
      <c r="G15" s="202">
        <f t="shared" si="0"/>
        <v>0</v>
      </c>
      <c r="H15" s="202">
        <f t="shared" si="0"/>
        <v>0</v>
      </c>
      <c r="I15" s="202">
        <f t="shared" si="0"/>
        <v>0</v>
      </c>
      <c r="J15" s="202">
        <f t="shared" si="0"/>
        <v>0</v>
      </c>
      <c r="K15" s="202">
        <f t="shared" si="0"/>
        <v>0</v>
      </c>
      <c r="L15" s="202">
        <f t="shared" si="0"/>
        <v>0</v>
      </c>
      <c r="M15" s="202">
        <f t="shared" si="0"/>
        <v>0</v>
      </c>
      <c r="N15" s="202">
        <f t="shared" si="0"/>
        <v>0</v>
      </c>
      <c r="O15" s="202">
        <v>85000</v>
      </c>
      <c r="P15" s="202">
        <f t="shared" si="0"/>
        <v>0</v>
      </c>
      <c r="Q15" s="1">
        <f>SUM(E15:P15)</f>
        <v>85000</v>
      </c>
    </row>
    <row r="16" spans="1:19" x14ac:dyDescent="0.25">
      <c r="A16" s="13"/>
      <c r="B16" s="23" t="s">
        <v>264</v>
      </c>
      <c r="C16" s="23" t="s">
        <v>366</v>
      </c>
      <c r="E16" s="202">
        <f t="shared" ref="E16:P17" si="1">E79+E145</f>
        <v>0</v>
      </c>
      <c r="F16" s="202">
        <f t="shared" si="1"/>
        <v>0</v>
      </c>
      <c r="G16" s="202">
        <f t="shared" si="1"/>
        <v>0</v>
      </c>
      <c r="H16" s="202">
        <f t="shared" si="1"/>
        <v>0</v>
      </c>
      <c r="I16" s="202">
        <f t="shared" si="1"/>
        <v>0</v>
      </c>
      <c r="J16" s="202">
        <f t="shared" si="1"/>
        <v>0</v>
      </c>
      <c r="K16" s="202">
        <f t="shared" si="1"/>
        <v>0</v>
      </c>
      <c r="L16" s="202">
        <f t="shared" si="1"/>
        <v>0</v>
      </c>
      <c r="M16" s="202">
        <f t="shared" si="1"/>
        <v>0</v>
      </c>
      <c r="N16" s="202">
        <f t="shared" si="1"/>
        <v>0</v>
      </c>
      <c r="O16" s="202">
        <f t="shared" si="1"/>
        <v>0</v>
      </c>
      <c r="P16" s="202">
        <f t="shared" si="1"/>
        <v>0</v>
      </c>
      <c r="Q16" s="1">
        <f>SUM(E16:P16)</f>
        <v>0</v>
      </c>
    </row>
    <row r="17" spans="1:17" x14ac:dyDescent="0.25">
      <c r="A17" s="13"/>
      <c r="B17" s="23" t="s">
        <v>266</v>
      </c>
      <c r="C17" s="23" t="s">
        <v>367</v>
      </c>
      <c r="E17" s="202">
        <f t="shared" si="1"/>
        <v>0</v>
      </c>
      <c r="F17" s="202">
        <f t="shared" si="1"/>
        <v>0</v>
      </c>
      <c r="G17" s="202">
        <f t="shared" si="1"/>
        <v>0</v>
      </c>
      <c r="H17" s="202">
        <f t="shared" si="1"/>
        <v>0</v>
      </c>
      <c r="I17" s="202">
        <f t="shared" si="1"/>
        <v>0</v>
      </c>
      <c r="J17" s="202">
        <f t="shared" si="1"/>
        <v>0</v>
      </c>
      <c r="K17" s="202">
        <f t="shared" si="1"/>
        <v>0</v>
      </c>
      <c r="L17" s="202">
        <f t="shared" si="1"/>
        <v>0</v>
      </c>
      <c r="M17" s="202">
        <f t="shared" si="1"/>
        <v>0</v>
      </c>
      <c r="N17" s="202">
        <f t="shared" si="1"/>
        <v>0</v>
      </c>
      <c r="O17" s="202">
        <f t="shared" si="1"/>
        <v>0</v>
      </c>
      <c r="P17" s="202">
        <f t="shared" si="1"/>
        <v>0</v>
      </c>
      <c r="Q17" s="1">
        <f>SUM(E17:P17)</f>
        <v>0</v>
      </c>
    </row>
    <row r="18" spans="1:17" x14ac:dyDescent="0.25">
      <c r="A18" s="13">
        <v>2</v>
      </c>
      <c r="B18" s="11" t="s">
        <v>368</v>
      </c>
      <c r="C18" s="25"/>
    </row>
    <row r="19" spans="1:17" x14ac:dyDescent="0.25">
      <c r="B19" s="23" t="s">
        <v>262</v>
      </c>
      <c r="C19" s="23" t="s">
        <v>369</v>
      </c>
      <c r="D19" s="202">
        <v>2916.93</v>
      </c>
      <c r="E19" s="1">
        <f>ROUND(D19-E35+E15,0)</f>
        <v>2941</v>
      </c>
      <c r="F19" s="1">
        <f t="shared" ref="F19:P19" si="2">E19-F35+F15</f>
        <v>2940.54</v>
      </c>
      <c r="G19" s="1">
        <f t="shared" si="2"/>
        <v>2940.54</v>
      </c>
      <c r="H19" s="1">
        <f t="shared" si="2"/>
        <v>2972.93</v>
      </c>
      <c r="I19" s="1">
        <f t="shared" si="2"/>
        <v>2972.93</v>
      </c>
      <c r="J19" s="1">
        <f>I19-J35+J15</f>
        <v>2597.6882821044819</v>
      </c>
      <c r="K19" s="1">
        <f>J19-K35+K15</f>
        <v>2180.2783871764955</v>
      </c>
      <c r="L19" s="1">
        <f>K19-L35+L15</f>
        <v>1754.6570018787997</v>
      </c>
      <c r="M19" s="1">
        <f>L19-M35+M15</f>
        <v>1371.8618077875672</v>
      </c>
      <c r="N19" s="1">
        <f t="shared" si="2"/>
        <v>1371.8618077875672</v>
      </c>
      <c r="O19" s="1">
        <f t="shared" si="2"/>
        <v>86371.861807787573</v>
      </c>
      <c r="P19" s="1">
        <f t="shared" si="2"/>
        <v>86371.861807787573</v>
      </c>
    </row>
    <row r="20" spans="1:17" x14ac:dyDescent="0.25">
      <c r="B20" s="23" t="s">
        <v>264</v>
      </c>
      <c r="C20" s="23" t="s">
        <v>370</v>
      </c>
      <c r="D20" s="202">
        <f>D83+D149</f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7" x14ac:dyDescent="0.25">
      <c r="B21" s="23" t="s">
        <v>266</v>
      </c>
      <c r="C21" s="23" t="s">
        <v>371</v>
      </c>
      <c r="D21" s="202">
        <f>D84+D150</f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7" x14ac:dyDescent="0.25">
      <c r="B22" s="1" t="s">
        <v>268</v>
      </c>
      <c r="C22" s="1" t="s">
        <v>372</v>
      </c>
      <c r="D22" s="199">
        <f>D85+D151</f>
        <v>0</v>
      </c>
      <c r="E22" s="199">
        <f>D22-E33</f>
        <v>0</v>
      </c>
      <c r="F22" s="199">
        <f t="shared" ref="F22:P22" si="3">E22-F33-F17</f>
        <v>0</v>
      </c>
      <c r="G22" s="199">
        <f t="shared" si="3"/>
        <v>0</v>
      </c>
      <c r="H22" s="199">
        <f t="shared" si="3"/>
        <v>0</v>
      </c>
      <c r="I22" s="199">
        <f t="shared" si="3"/>
        <v>0</v>
      </c>
      <c r="J22" s="199">
        <f t="shared" si="3"/>
        <v>0</v>
      </c>
      <c r="K22" s="199">
        <f t="shared" si="3"/>
        <v>0</v>
      </c>
      <c r="L22" s="199">
        <f t="shared" si="3"/>
        <v>0</v>
      </c>
      <c r="M22" s="199">
        <f t="shared" si="3"/>
        <v>0</v>
      </c>
      <c r="N22" s="199">
        <f t="shared" si="3"/>
        <v>0</v>
      </c>
      <c r="O22" s="199">
        <f t="shared" si="3"/>
        <v>0</v>
      </c>
      <c r="P22" s="199">
        <f t="shared" si="3"/>
        <v>0</v>
      </c>
    </row>
    <row r="23" spans="1:17" x14ac:dyDescent="0.25">
      <c r="A23" s="13">
        <v>3</v>
      </c>
      <c r="B23" s="11" t="s">
        <v>373</v>
      </c>
      <c r="C23" s="13"/>
      <c r="D23" s="199">
        <f>ROUND(SUM(D19:D22),2)</f>
        <v>2916.93</v>
      </c>
      <c r="E23" s="199">
        <f t="shared" ref="E23:P23" si="4">ROUND(SUM(E19:E22),2)</f>
        <v>2941</v>
      </c>
      <c r="F23" s="199">
        <f t="shared" si="4"/>
        <v>2940.54</v>
      </c>
      <c r="G23" s="199">
        <f t="shared" si="4"/>
        <v>2940.54</v>
      </c>
      <c r="H23" s="199">
        <f t="shared" si="4"/>
        <v>2972.93</v>
      </c>
      <c r="I23" s="199">
        <f t="shared" si="4"/>
        <v>2972.93</v>
      </c>
      <c r="J23" s="199">
        <f t="shared" si="4"/>
        <v>2597.69</v>
      </c>
      <c r="K23" s="199">
        <f t="shared" si="4"/>
        <v>2180.2800000000002</v>
      </c>
      <c r="L23" s="199">
        <f t="shared" si="4"/>
        <v>1754.66</v>
      </c>
      <c r="M23" s="199">
        <f>ROUND(SUM(M19:M22),2)</f>
        <v>1371.86</v>
      </c>
      <c r="N23" s="199">
        <f t="shared" si="4"/>
        <v>1371.86</v>
      </c>
      <c r="O23" s="199">
        <f t="shared" si="4"/>
        <v>86371.86</v>
      </c>
      <c r="P23" s="199">
        <f t="shared" si="4"/>
        <v>86371.86</v>
      </c>
    </row>
    <row r="24" spans="1:17" x14ac:dyDescent="0.25">
      <c r="B24" s="23"/>
    </row>
    <row r="25" spans="1:17" x14ac:dyDescent="0.25">
      <c r="A25" s="13">
        <v>4</v>
      </c>
      <c r="B25" s="23" t="s">
        <v>374</v>
      </c>
      <c r="C25" s="23"/>
      <c r="E25" s="1">
        <f>(D23+E23)/2</f>
        <v>2928.9650000000001</v>
      </c>
      <c r="F25" s="1">
        <f t="shared" ref="F25:P25" si="5">(E23+F23)/2</f>
        <v>2940.77</v>
      </c>
      <c r="G25" s="1">
        <f t="shared" si="5"/>
        <v>2940.54</v>
      </c>
      <c r="H25" s="1">
        <f t="shared" si="5"/>
        <v>2956.7349999999997</v>
      </c>
      <c r="I25" s="1">
        <f t="shared" si="5"/>
        <v>2972.93</v>
      </c>
      <c r="J25" s="1">
        <f t="shared" si="5"/>
        <v>2785.31</v>
      </c>
      <c r="K25" s="1">
        <f t="shared" si="5"/>
        <v>2388.9850000000001</v>
      </c>
      <c r="L25" s="1">
        <f t="shared" si="5"/>
        <v>1967.4700000000003</v>
      </c>
      <c r="M25" s="1">
        <f t="shared" si="5"/>
        <v>1563.26</v>
      </c>
      <c r="N25" s="1">
        <f t="shared" si="5"/>
        <v>1371.86</v>
      </c>
      <c r="O25" s="1">
        <f t="shared" si="5"/>
        <v>43871.86</v>
      </c>
      <c r="P25" s="1">
        <f t="shared" si="5"/>
        <v>86371.86</v>
      </c>
    </row>
    <row r="26" spans="1:17" x14ac:dyDescent="0.25">
      <c r="B26" s="20"/>
    </row>
    <row r="27" spans="1:17" x14ac:dyDescent="0.25">
      <c r="A27" s="13">
        <v>5</v>
      </c>
      <c r="B27" s="23" t="s">
        <v>375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7" x14ac:dyDescent="0.25">
      <c r="B28" s="23" t="s">
        <v>262</v>
      </c>
      <c r="C28" s="23" t="s">
        <v>376</v>
      </c>
      <c r="E28" s="1">
        <v>13.48495486</v>
      </c>
      <c r="F28" s="1">
        <v>13.539305079999998</v>
      </c>
      <c r="G28" s="1">
        <v>13.538246159999998</v>
      </c>
      <c r="H28" s="1">
        <v>13.612807939999998</v>
      </c>
      <c r="I28" s="1">
        <v>13.687369719999998</v>
      </c>
      <c r="J28" s="1">
        <v>12.823567239999999</v>
      </c>
      <c r="K28" s="1">
        <v>11.440849164999999</v>
      </c>
      <c r="L28" s="1">
        <v>9.4222138300000005</v>
      </c>
      <c r="M28" s="1">
        <v>7.4864521399999999</v>
      </c>
      <c r="N28" s="1">
        <v>6.5698375399999991</v>
      </c>
      <c r="O28" s="1">
        <v>210.10233754000001</v>
      </c>
      <c r="P28" s="1">
        <v>413.63483753999998</v>
      </c>
      <c r="Q28" s="1">
        <f>ROUND(SUM(E28:P28),2)</f>
        <v>739.34</v>
      </c>
    </row>
    <row r="29" spans="1:17" x14ac:dyDescent="0.25">
      <c r="B29" s="23" t="s">
        <v>264</v>
      </c>
      <c r="C29" s="11" t="s">
        <v>377</v>
      </c>
      <c r="E29" s="225">
        <v>3.4034573300000002</v>
      </c>
      <c r="F29" s="225">
        <v>3.4171747400000001</v>
      </c>
      <c r="G29" s="225">
        <v>3.4169074800000003</v>
      </c>
      <c r="H29" s="225">
        <v>3.4357260699999999</v>
      </c>
      <c r="I29" s="225">
        <v>3.4545446599999998</v>
      </c>
      <c r="J29" s="225">
        <v>3.2365302200000001</v>
      </c>
      <c r="K29" s="225">
        <v>2.506045265</v>
      </c>
      <c r="L29" s="225">
        <v>2.0638760300000003</v>
      </c>
      <c r="M29" s="225">
        <v>1.6398597400000001</v>
      </c>
      <c r="N29" s="225">
        <v>1.4390811399999999</v>
      </c>
      <c r="O29" s="225">
        <v>46.021581140000002</v>
      </c>
      <c r="P29" s="225">
        <v>90.604081140000005</v>
      </c>
      <c r="Q29" s="225">
        <f>ROUND(SUM(E29:P29),2)</f>
        <v>164.64</v>
      </c>
    </row>
    <row r="30" spans="1:17" x14ac:dyDescent="0.25">
      <c r="A30" s="13">
        <v>6</v>
      </c>
      <c r="B30" s="16" t="s">
        <v>378</v>
      </c>
      <c r="E30" s="1">
        <f t="shared" ref="E30:Q30" si="6">ROUND(SUM(E28:E29),2)</f>
        <v>16.89</v>
      </c>
      <c r="F30" s="1">
        <f t="shared" si="6"/>
        <v>16.96</v>
      </c>
      <c r="G30" s="1">
        <f t="shared" si="6"/>
        <v>16.96</v>
      </c>
      <c r="H30" s="1">
        <f t="shared" si="6"/>
        <v>17.05</v>
      </c>
      <c r="I30" s="1">
        <f t="shared" si="6"/>
        <v>17.14</v>
      </c>
      <c r="J30" s="1">
        <f t="shared" si="6"/>
        <v>16.059999999999999</v>
      </c>
      <c r="K30" s="1">
        <f t="shared" si="6"/>
        <v>13.95</v>
      </c>
      <c r="L30" s="1">
        <f t="shared" si="6"/>
        <v>11.49</v>
      </c>
      <c r="M30" s="1">
        <f t="shared" si="6"/>
        <v>9.1300000000000008</v>
      </c>
      <c r="N30" s="1">
        <f t="shared" si="6"/>
        <v>8.01</v>
      </c>
      <c r="O30" s="1">
        <f t="shared" si="6"/>
        <v>256.12</v>
      </c>
      <c r="P30" s="1">
        <f t="shared" si="6"/>
        <v>504.24</v>
      </c>
      <c r="Q30" s="1">
        <f t="shared" si="6"/>
        <v>903.98</v>
      </c>
    </row>
    <row r="31" spans="1:17" x14ac:dyDescent="0.25">
      <c r="A31" s="13"/>
      <c r="B31" s="2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7" x14ac:dyDescent="0.25">
      <c r="A32" s="13">
        <v>7</v>
      </c>
      <c r="B32" s="23" t="s">
        <v>379</v>
      </c>
    </row>
    <row r="33" spans="1:17" x14ac:dyDescent="0.25">
      <c r="A33" s="200"/>
      <c r="B33" s="23" t="s">
        <v>262</v>
      </c>
      <c r="C33" s="23" t="s">
        <v>380</v>
      </c>
      <c r="E33" s="1">
        <f>E96+E162</f>
        <v>0</v>
      </c>
      <c r="F33" s="1">
        <f t="shared" ref="F33:P33" si="7">F96+F162</f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>ROUND(SUM(E33:P33),2)</f>
        <v>0</v>
      </c>
    </row>
    <row r="34" spans="1:17" x14ac:dyDescent="0.25">
      <c r="A34" s="200"/>
      <c r="B34" s="23" t="s">
        <v>264</v>
      </c>
      <c r="C34" s="23" t="s">
        <v>381</v>
      </c>
      <c r="E34" s="1">
        <f t="shared" ref="E34:P34" si="8">E97+E163</f>
        <v>0</v>
      </c>
      <c r="F34" s="1">
        <f t="shared" si="8"/>
        <v>0</v>
      </c>
      <c r="G34" s="1">
        <f t="shared" si="8"/>
        <v>0</v>
      </c>
      <c r="H34" s="1">
        <f t="shared" si="8"/>
        <v>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1">
        <f t="shared" si="8"/>
        <v>0</v>
      </c>
      <c r="M34" s="1">
        <f t="shared" si="8"/>
        <v>0</v>
      </c>
      <c r="N34" s="1">
        <f t="shared" si="8"/>
        <v>0</v>
      </c>
      <c r="O34" s="1">
        <f t="shared" si="8"/>
        <v>0</v>
      </c>
      <c r="P34" s="1">
        <f t="shared" si="8"/>
        <v>0</v>
      </c>
      <c r="Q34" s="1">
        <f>ROUND(SUM(E34:P34),2)</f>
        <v>0</v>
      </c>
    </row>
    <row r="35" spans="1:17" x14ac:dyDescent="0.25">
      <c r="A35" s="200"/>
      <c r="B35" s="23" t="s">
        <v>266</v>
      </c>
      <c r="C35" s="23" t="s">
        <v>402</v>
      </c>
      <c r="E35" s="199">
        <v>-24.04</v>
      </c>
      <c r="F35" s="199">
        <v>0.46</v>
      </c>
      <c r="G35" s="199">
        <v>0</v>
      </c>
      <c r="H35" s="199">
        <v>-32.39</v>
      </c>
      <c r="I35" s="199">
        <v>0</v>
      </c>
      <c r="J35" s="199">
        <v>375.24171789551787</v>
      </c>
      <c r="K35" s="199">
        <v>417.40989492798661</v>
      </c>
      <c r="L35" s="199">
        <v>425.62138529769584</v>
      </c>
      <c r="M35" s="199">
        <v>382.79519409123247</v>
      </c>
      <c r="N35" s="199">
        <v>0</v>
      </c>
      <c r="O35" s="199">
        <v>0</v>
      </c>
      <c r="P35" s="199">
        <v>0</v>
      </c>
      <c r="Q35" s="199">
        <f>SUM(E35:P35)</f>
        <v>1545.0981922124329</v>
      </c>
    </row>
    <row r="36" spans="1:17" x14ac:dyDescent="0.25">
      <c r="A36" s="200">
        <v>8</v>
      </c>
      <c r="B36" s="23" t="s">
        <v>383</v>
      </c>
      <c r="C36" s="23"/>
      <c r="E36" s="202">
        <f t="shared" ref="E36:P36" si="9">SUM(E33:E35)</f>
        <v>-24.04</v>
      </c>
      <c r="F36" s="202">
        <f t="shared" si="9"/>
        <v>0.46</v>
      </c>
      <c r="G36" s="202">
        <f t="shared" si="9"/>
        <v>0</v>
      </c>
      <c r="H36" s="202">
        <f t="shared" si="9"/>
        <v>-32.39</v>
      </c>
      <c r="I36" s="202">
        <f t="shared" si="9"/>
        <v>0</v>
      </c>
      <c r="J36" s="202">
        <f t="shared" si="9"/>
        <v>375.24171789551787</v>
      </c>
      <c r="K36" s="202">
        <f t="shared" si="9"/>
        <v>417.40989492798661</v>
      </c>
      <c r="L36" s="202">
        <f t="shared" si="9"/>
        <v>425.62138529769584</v>
      </c>
      <c r="M36" s="202">
        <f t="shared" si="9"/>
        <v>382.79519409123247</v>
      </c>
      <c r="N36" s="202">
        <f t="shared" si="9"/>
        <v>0</v>
      </c>
      <c r="O36" s="202">
        <f t="shared" si="9"/>
        <v>0</v>
      </c>
      <c r="P36" s="202">
        <f t="shared" si="9"/>
        <v>0</v>
      </c>
      <c r="Q36" s="1">
        <f>SUM(E36:P36)</f>
        <v>1545.0981922124329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11" t="s">
        <v>384</v>
      </c>
      <c r="E38" s="1">
        <f t="shared" ref="E38:Q38" si="10">E30+E36</f>
        <v>-7.1499999999999986</v>
      </c>
      <c r="F38" s="1">
        <f t="shared" si="10"/>
        <v>17.420000000000002</v>
      </c>
      <c r="G38" s="1">
        <f t="shared" si="10"/>
        <v>16.96</v>
      </c>
      <c r="H38" s="1">
        <f t="shared" si="10"/>
        <v>-15.34</v>
      </c>
      <c r="I38" s="1">
        <f t="shared" si="10"/>
        <v>17.14</v>
      </c>
      <c r="J38" s="1">
        <f t="shared" si="10"/>
        <v>391.30171789551787</v>
      </c>
      <c r="K38" s="1">
        <f t="shared" si="10"/>
        <v>431.3598949279866</v>
      </c>
      <c r="L38" s="1">
        <f t="shared" si="10"/>
        <v>437.11138529769585</v>
      </c>
      <c r="M38" s="1">
        <f t="shared" si="10"/>
        <v>391.92519409123247</v>
      </c>
      <c r="N38" s="1">
        <f t="shared" si="10"/>
        <v>8.01</v>
      </c>
      <c r="O38" s="1">
        <f t="shared" si="10"/>
        <v>256.12</v>
      </c>
      <c r="P38" s="1">
        <f t="shared" si="10"/>
        <v>504.24</v>
      </c>
      <c r="Q38" s="1">
        <f t="shared" si="10"/>
        <v>2449.0781922124329</v>
      </c>
    </row>
    <row r="39" spans="1:17" x14ac:dyDescent="0.25">
      <c r="A39" s="200"/>
      <c r="B39" s="23" t="s">
        <v>262</v>
      </c>
      <c r="C39" s="23" t="s">
        <v>160</v>
      </c>
      <c r="E39" s="1">
        <f>(E30*1/13)+E36</f>
        <v>-22.740769230769232</v>
      </c>
      <c r="F39" s="1">
        <f t="shared" ref="F39:P39" si="11">(F30*1/13)+F36</f>
        <v>1.7646153846153847</v>
      </c>
      <c r="G39" s="1">
        <f t="shared" si="11"/>
        <v>1.3046153846153847</v>
      </c>
      <c r="H39" s="1">
        <f t="shared" si="11"/>
        <v>-31.078461538461539</v>
      </c>
      <c r="I39" s="1">
        <f t="shared" si="11"/>
        <v>1.3184615384615386</v>
      </c>
      <c r="J39" s="1">
        <f t="shared" si="11"/>
        <v>376.47710251090245</v>
      </c>
      <c r="K39" s="1">
        <f t="shared" si="11"/>
        <v>418.48297185106355</v>
      </c>
      <c r="L39" s="1">
        <f t="shared" si="11"/>
        <v>426.50523145154199</v>
      </c>
      <c r="M39" s="1">
        <f t="shared" si="11"/>
        <v>383.49750178354014</v>
      </c>
      <c r="N39" s="1">
        <f t="shared" si="11"/>
        <v>0.61615384615384616</v>
      </c>
      <c r="O39" s="1">
        <f t="shared" si="11"/>
        <v>19.701538461538462</v>
      </c>
      <c r="P39" s="1">
        <f t="shared" si="11"/>
        <v>38.787692307692311</v>
      </c>
      <c r="Q39" s="1">
        <f>ROUND(SUM(E39:P39),2)</f>
        <v>1614.64</v>
      </c>
    </row>
    <row r="40" spans="1:17" x14ac:dyDescent="0.25">
      <c r="A40" s="200"/>
      <c r="B40" s="23" t="s">
        <v>264</v>
      </c>
      <c r="C40" s="23" t="s">
        <v>161</v>
      </c>
      <c r="E40" s="1">
        <f>E38-E39</f>
        <v>15.590769230769233</v>
      </c>
      <c r="F40" s="1">
        <f t="shared" ref="F40:P40" si="12">F38-F39</f>
        <v>15.655384615384618</v>
      </c>
      <c r="G40" s="1">
        <f t="shared" si="12"/>
        <v>15.655384615384616</v>
      </c>
      <c r="H40" s="1">
        <f t="shared" si="12"/>
        <v>15.738461538461539</v>
      </c>
      <c r="I40" s="1">
        <f t="shared" si="12"/>
        <v>15.821538461538463</v>
      </c>
      <c r="J40" s="1">
        <f t="shared" si="12"/>
        <v>14.824615384615413</v>
      </c>
      <c r="K40" s="1">
        <f t="shared" si="12"/>
        <v>12.876923076923049</v>
      </c>
      <c r="L40" s="1">
        <f t="shared" si="12"/>
        <v>10.606153846153859</v>
      </c>
      <c r="M40" s="1">
        <f t="shared" si="12"/>
        <v>8.4276923076923254</v>
      </c>
      <c r="N40" s="1">
        <f t="shared" si="12"/>
        <v>7.3938461538461535</v>
      </c>
      <c r="O40" s="1">
        <f t="shared" si="12"/>
        <v>236.41846153846154</v>
      </c>
      <c r="P40" s="1">
        <f t="shared" si="12"/>
        <v>465.45230769230773</v>
      </c>
      <c r="Q40" s="1">
        <f>ROUND(SUM(E40:P40),2)</f>
        <v>834.46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385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386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387</v>
      </c>
      <c r="E45" s="1">
        <v>-22.77</v>
      </c>
      <c r="F45" s="1">
        <v>1.77</v>
      </c>
      <c r="G45" s="1">
        <v>1.31</v>
      </c>
      <c r="H45" s="1">
        <v>-31.12</v>
      </c>
      <c r="I45" s="1">
        <v>1.32</v>
      </c>
      <c r="J45" s="1">
        <v>376.93</v>
      </c>
      <c r="K45" s="1">
        <v>418.99</v>
      </c>
      <c r="L45" s="1">
        <v>427.02</v>
      </c>
      <c r="M45" s="1">
        <v>383.96</v>
      </c>
      <c r="N45" s="1">
        <v>0.62</v>
      </c>
      <c r="O45" s="1">
        <v>19.73</v>
      </c>
      <c r="P45" s="1">
        <v>38.83</v>
      </c>
      <c r="Q45" s="1">
        <f>ROUND(SUM(E45:P45),2)</f>
        <v>1616.59</v>
      </c>
    </row>
    <row r="46" spans="1:17" x14ac:dyDescent="0.25">
      <c r="A46" s="13">
        <v>13</v>
      </c>
      <c r="B46" s="23" t="s">
        <v>388</v>
      </c>
      <c r="E46" s="199">
        <f t="shared" ref="E46:P46" si="13">ROUND(E40*E43,2)</f>
        <v>15.16</v>
      </c>
      <c r="F46" s="199">
        <f t="shared" si="13"/>
        <v>15.22</v>
      </c>
      <c r="G46" s="199">
        <f t="shared" si="13"/>
        <v>15.22</v>
      </c>
      <c r="H46" s="199">
        <f t="shared" si="13"/>
        <v>15.3</v>
      </c>
      <c r="I46" s="199">
        <f t="shared" si="13"/>
        <v>15.38</v>
      </c>
      <c r="J46" s="199">
        <f t="shared" si="13"/>
        <v>14.41</v>
      </c>
      <c r="K46" s="199">
        <f t="shared" si="13"/>
        <v>12.52</v>
      </c>
      <c r="L46" s="199">
        <f t="shared" si="13"/>
        <v>10.31</v>
      </c>
      <c r="M46" s="199">
        <f t="shared" si="13"/>
        <v>8.19</v>
      </c>
      <c r="N46" s="199">
        <f t="shared" si="13"/>
        <v>7.19</v>
      </c>
      <c r="O46" s="199">
        <f t="shared" si="13"/>
        <v>229.88</v>
      </c>
      <c r="P46" s="199">
        <f t="shared" si="13"/>
        <v>452.58</v>
      </c>
      <c r="Q46" s="199">
        <f>SUM(E46:P46)</f>
        <v>811.3599999999999</v>
      </c>
    </row>
    <row r="47" spans="1:17" ht="13" thickBot="1" x14ac:dyDescent="0.3">
      <c r="A47" s="13">
        <v>14</v>
      </c>
      <c r="B47" s="23" t="s">
        <v>291</v>
      </c>
      <c r="E47" s="204">
        <f t="shared" ref="E47:Q47" si="14">E45+E46</f>
        <v>-7.6099999999999994</v>
      </c>
      <c r="F47" s="204">
        <f t="shared" si="14"/>
        <v>16.990000000000002</v>
      </c>
      <c r="G47" s="204">
        <f t="shared" si="14"/>
        <v>16.53</v>
      </c>
      <c r="H47" s="204">
        <f t="shared" si="14"/>
        <v>-15.82</v>
      </c>
      <c r="I47" s="204">
        <f t="shared" si="14"/>
        <v>16.7</v>
      </c>
      <c r="J47" s="204">
        <f t="shared" si="14"/>
        <v>391.34000000000003</v>
      </c>
      <c r="K47" s="204">
        <f t="shared" si="14"/>
        <v>431.51</v>
      </c>
      <c r="L47" s="204">
        <f t="shared" si="14"/>
        <v>437.33</v>
      </c>
      <c r="M47" s="204">
        <f t="shared" si="14"/>
        <v>392.15</v>
      </c>
      <c r="N47" s="204">
        <f t="shared" si="14"/>
        <v>7.8100000000000005</v>
      </c>
      <c r="O47" s="204">
        <f t="shared" si="14"/>
        <v>249.60999999999999</v>
      </c>
      <c r="P47" s="204">
        <f t="shared" si="14"/>
        <v>491.40999999999997</v>
      </c>
      <c r="Q47" s="204">
        <f t="shared" si="14"/>
        <v>2427.9499999999998</v>
      </c>
    </row>
    <row r="48" spans="1:17" ht="13" thickTop="1" x14ac:dyDescent="0.25">
      <c r="A48" s="200"/>
      <c r="B48" s="20"/>
    </row>
    <row r="49" spans="1:17" x14ac:dyDescent="0.25">
      <c r="A49" s="210" t="s">
        <v>76</v>
      </c>
      <c r="B49" s="23"/>
    </row>
    <row r="50" spans="1:17" x14ac:dyDescent="0.25">
      <c r="A50" s="23" t="s">
        <v>168</v>
      </c>
      <c r="B50" s="11" t="s">
        <v>296</v>
      </c>
    </row>
    <row r="51" spans="1:17" x14ac:dyDescent="0.25">
      <c r="A51" s="23" t="s">
        <v>170</v>
      </c>
      <c r="B51" s="11" t="s">
        <v>304</v>
      </c>
    </row>
    <row r="52" spans="1:17" x14ac:dyDescent="0.25">
      <c r="A52" s="23" t="s">
        <v>255</v>
      </c>
      <c r="B52" s="23" t="s">
        <v>306</v>
      </c>
    </row>
    <row r="53" spans="1:17" x14ac:dyDescent="0.25">
      <c r="A53" s="23" t="s">
        <v>295</v>
      </c>
      <c r="B53" s="11" t="s">
        <v>389</v>
      </c>
    </row>
    <row r="54" spans="1:17" x14ac:dyDescent="0.25">
      <c r="A54" s="23" t="s">
        <v>297</v>
      </c>
      <c r="B54" s="11" t="s">
        <v>390</v>
      </c>
    </row>
    <row r="55" spans="1:17" x14ac:dyDescent="0.25">
      <c r="A55" s="11" t="s">
        <v>299</v>
      </c>
      <c r="B55" s="23" t="s">
        <v>308</v>
      </c>
    </row>
    <row r="56" spans="1:17" x14ac:dyDescent="0.25">
      <c r="A56" s="11" t="s">
        <v>301</v>
      </c>
      <c r="B56" s="23" t="s">
        <v>310</v>
      </c>
    </row>
    <row r="57" spans="1:17" x14ac:dyDescent="0.25">
      <c r="B57" s="11" t="s">
        <v>395</v>
      </c>
      <c r="E57" s="1">
        <f t="shared" ref="E57:P57" si="15">E36</f>
        <v>-24.04</v>
      </c>
      <c r="F57" s="1">
        <f t="shared" si="15"/>
        <v>0.46</v>
      </c>
      <c r="G57" s="1">
        <f t="shared" si="15"/>
        <v>0</v>
      </c>
      <c r="H57" s="1">
        <f t="shared" si="15"/>
        <v>-32.39</v>
      </c>
      <c r="I57" s="1">
        <f t="shared" si="15"/>
        <v>0</v>
      </c>
      <c r="J57" s="1">
        <f t="shared" si="15"/>
        <v>375.24171789551787</v>
      </c>
      <c r="K57" s="1">
        <f t="shared" si="15"/>
        <v>417.40989492798661</v>
      </c>
      <c r="L57" s="1">
        <f t="shared" si="15"/>
        <v>425.62138529769584</v>
      </c>
      <c r="M57" s="1">
        <f t="shared" si="15"/>
        <v>382.79519409123247</v>
      </c>
      <c r="N57" s="1">
        <f t="shared" si="15"/>
        <v>0</v>
      </c>
      <c r="O57" s="1">
        <f t="shared" si="15"/>
        <v>0</v>
      </c>
      <c r="P57" s="1">
        <f t="shared" si="15"/>
        <v>0</v>
      </c>
      <c r="Q57" s="1">
        <f>ROUND(SUM(E57:P57),2)</f>
        <v>1545.1</v>
      </c>
    </row>
    <row r="58" spans="1:17" x14ac:dyDescent="0.25">
      <c r="B58" s="23" t="s">
        <v>262</v>
      </c>
      <c r="C58" s="23" t="s">
        <v>160</v>
      </c>
      <c r="E58" s="1">
        <f>E57</f>
        <v>-24.04</v>
      </c>
      <c r="F58" s="1">
        <f t="shared" ref="F58:Q58" si="16">F57</f>
        <v>0.46</v>
      </c>
      <c r="G58" s="1">
        <f t="shared" si="16"/>
        <v>0</v>
      </c>
      <c r="H58" s="1">
        <f t="shared" si="16"/>
        <v>-32.39</v>
      </c>
      <c r="I58" s="1">
        <f t="shared" si="16"/>
        <v>0</v>
      </c>
      <c r="J58" s="1">
        <f t="shared" si="16"/>
        <v>375.24171789551787</v>
      </c>
      <c r="K58" s="1">
        <f t="shared" si="16"/>
        <v>417.40989492798661</v>
      </c>
      <c r="L58" s="1">
        <f t="shared" si="16"/>
        <v>425.62138529769584</v>
      </c>
      <c r="M58" s="1">
        <f t="shared" si="16"/>
        <v>382.79519409123247</v>
      </c>
      <c r="N58" s="1">
        <f t="shared" si="16"/>
        <v>0</v>
      </c>
      <c r="O58" s="1">
        <f t="shared" si="16"/>
        <v>0</v>
      </c>
      <c r="P58" s="1">
        <f t="shared" si="16"/>
        <v>0</v>
      </c>
      <c r="Q58" s="1">
        <f t="shared" si="16"/>
        <v>1545.1</v>
      </c>
    </row>
    <row r="59" spans="1:17" x14ac:dyDescent="0.25">
      <c r="B59" s="23" t="s">
        <v>264</v>
      </c>
      <c r="C59" s="23" t="s">
        <v>161</v>
      </c>
      <c r="E59" s="1">
        <f t="shared" ref="E59:P59" si="17">E57-E58</f>
        <v>0</v>
      </c>
      <c r="F59" s="1">
        <f t="shared" si="17"/>
        <v>0</v>
      </c>
      <c r="G59" s="1">
        <f t="shared" si="17"/>
        <v>0</v>
      </c>
      <c r="H59" s="1">
        <f t="shared" si="17"/>
        <v>0</v>
      </c>
      <c r="I59" s="1">
        <f t="shared" si="17"/>
        <v>0</v>
      </c>
      <c r="J59" s="1">
        <f t="shared" si="17"/>
        <v>0</v>
      </c>
      <c r="K59" s="1">
        <f t="shared" si="17"/>
        <v>0</v>
      </c>
      <c r="L59" s="1">
        <f t="shared" si="17"/>
        <v>0</v>
      </c>
      <c r="M59" s="1">
        <f t="shared" si="17"/>
        <v>0</v>
      </c>
      <c r="N59" s="1">
        <f t="shared" si="17"/>
        <v>0</v>
      </c>
      <c r="O59" s="1">
        <f t="shared" si="17"/>
        <v>0</v>
      </c>
      <c r="P59" s="1">
        <f t="shared" si="17"/>
        <v>0</v>
      </c>
      <c r="Q59" s="1">
        <f>ROUND(SUM(E59:P59),2)</f>
        <v>0</v>
      </c>
    </row>
    <row r="63" spans="1:17" ht="13" x14ac:dyDescent="0.3">
      <c r="Q63" s="226"/>
    </row>
    <row r="64" spans="1:17" x14ac:dyDescent="0.25">
      <c r="Q64" s="16"/>
    </row>
    <row r="65" spans="1:17" ht="13" x14ac:dyDescent="0.3">
      <c r="B65" s="187"/>
      <c r="C65" s="188"/>
      <c r="D65" s="188"/>
      <c r="E65" s="188"/>
      <c r="F65" s="188"/>
      <c r="G65" s="188"/>
      <c r="H65" s="187"/>
      <c r="I65" s="188"/>
    </row>
    <row r="66" spans="1:17" x14ac:dyDescent="0.25">
      <c r="B66" s="188"/>
      <c r="C66" s="188"/>
      <c r="D66" s="188"/>
      <c r="E66" s="188"/>
      <c r="F66" s="188"/>
      <c r="G66" s="188"/>
      <c r="H66" s="188"/>
      <c r="I66" s="188"/>
    </row>
    <row r="67" spans="1:17" x14ac:dyDescent="0.25">
      <c r="B67" s="188"/>
      <c r="C67" s="188"/>
      <c r="D67" s="188"/>
      <c r="E67" s="188"/>
      <c r="F67" s="188"/>
      <c r="G67" s="188"/>
      <c r="H67" s="188"/>
      <c r="I67" s="188"/>
    </row>
    <row r="68" spans="1:17" ht="13" x14ac:dyDescent="0.3">
      <c r="B68" s="186"/>
      <c r="C68" s="188"/>
      <c r="D68" s="188"/>
      <c r="E68" s="188"/>
      <c r="F68" s="188"/>
      <c r="G68" s="188"/>
      <c r="H68" s="186"/>
      <c r="I68" s="188"/>
    </row>
    <row r="69" spans="1:17" x14ac:dyDescent="0.25">
      <c r="B69" s="188"/>
      <c r="C69" s="188"/>
      <c r="D69" s="188"/>
      <c r="E69" s="188"/>
      <c r="F69" s="188"/>
      <c r="G69" s="188"/>
      <c r="H69" s="188"/>
      <c r="I69" s="188"/>
    </row>
    <row r="70" spans="1:17" x14ac:dyDescent="0.25">
      <c r="B70" s="188"/>
      <c r="C70" s="188"/>
      <c r="D70" s="188"/>
      <c r="E70" s="188"/>
      <c r="F70" s="188"/>
      <c r="G70" s="211"/>
      <c r="H70" s="211"/>
      <c r="I70" s="211"/>
      <c r="J70" s="211"/>
    </row>
    <row r="71" spans="1:17" x14ac:dyDescent="0.25">
      <c r="B71" s="188"/>
      <c r="C71" s="188"/>
      <c r="F71" s="188"/>
      <c r="G71" s="188"/>
      <c r="H71" s="188"/>
      <c r="I71" s="23"/>
    </row>
    <row r="72" spans="1:17" x14ac:dyDescent="0.25">
      <c r="B72" s="206"/>
      <c r="C72" s="188"/>
      <c r="D72" s="188"/>
      <c r="E72" s="188"/>
      <c r="F72" s="188"/>
      <c r="G72" s="188"/>
      <c r="H72" s="206"/>
      <c r="I72" s="188"/>
    </row>
    <row r="73" spans="1:17" x14ac:dyDescent="0.25">
      <c r="B73" s="188"/>
      <c r="C73" s="188"/>
      <c r="D73" s="188"/>
      <c r="E73" s="188"/>
      <c r="F73" s="188"/>
      <c r="G73" s="188"/>
      <c r="H73" s="188"/>
      <c r="I73" s="188"/>
    </row>
    <row r="74" spans="1:17" x14ac:dyDescent="0.25">
      <c r="A74" s="206"/>
      <c r="B74" s="206"/>
      <c r="C74" s="188"/>
      <c r="D74" s="188"/>
      <c r="E74" s="188"/>
      <c r="F74" s="188"/>
      <c r="G74" s="188"/>
      <c r="H74" s="188"/>
      <c r="I74" s="188"/>
    </row>
    <row r="75" spans="1:17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13"/>
      <c r="B77" s="23"/>
      <c r="C77" s="13"/>
    </row>
    <row r="78" spans="1:17" x14ac:dyDescent="0.25">
      <c r="A78" s="13"/>
      <c r="B78" s="23"/>
      <c r="C78" s="23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7" x14ac:dyDescent="0.25">
      <c r="A79" s="13"/>
      <c r="B79" s="23"/>
      <c r="C79" s="23"/>
    </row>
    <row r="80" spans="1:17" x14ac:dyDescent="0.25">
      <c r="A80" s="13"/>
      <c r="B80" s="23"/>
      <c r="C80" s="23"/>
    </row>
    <row r="81" spans="1:16" x14ac:dyDescent="0.25">
      <c r="A81" s="13"/>
      <c r="B81" s="11"/>
      <c r="C81" s="25"/>
    </row>
    <row r="82" spans="1:16" x14ac:dyDescent="0.25">
      <c r="B82" s="23"/>
      <c r="C82" s="23"/>
      <c r="D82" s="202"/>
    </row>
    <row r="83" spans="1:16" x14ac:dyDescent="0.25">
      <c r="B83" s="23"/>
      <c r="C83" s="23"/>
    </row>
    <row r="84" spans="1:16" x14ac:dyDescent="0.25">
      <c r="B84" s="23"/>
      <c r="C84" s="23"/>
    </row>
    <row r="86" spans="1:16" x14ac:dyDescent="0.25">
      <c r="A86" s="13"/>
      <c r="B86" s="11"/>
      <c r="C86" s="13"/>
    </row>
    <row r="87" spans="1:16" x14ac:dyDescent="0.25">
      <c r="B87" s="23"/>
    </row>
    <row r="88" spans="1:16" x14ac:dyDescent="0.25">
      <c r="A88" s="13"/>
      <c r="B88" s="23"/>
      <c r="C88" s="23"/>
    </row>
    <row r="89" spans="1:16" x14ac:dyDescent="0.25">
      <c r="B89" s="20"/>
    </row>
    <row r="90" spans="1:16" x14ac:dyDescent="0.25">
      <c r="A90" s="13"/>
      <c r="B90" s="23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x14ac:dyDescent="0.25">
      <c r="B91" s="23"/>
      <c r="C91" s="23"/>
    </row>
    <row r="92" spans="1:16" x14ac:dyDescent="0.25">
      <c r="B92" s="23"/>
      <c r="C92" s="11"/>
    </row>
    <row r="93" spans="1:16" x14ac:dyDescent="0.25">
      <c r="A93" s="13"/>
      <c r="B93" s="16"/>
    </row>
    <row r="94" spans="1:16" x14ac:dyDescent="0.25">
      <c r="A94" s="13"/>
      <c r="B94" s="2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</row>
    <row r="95" spans="1:16" x14ac:dyDescent="0.25">
      <c r="A95" s="13"/>
      <c r="B95" s="23"/>
    </row>
    <row r="96" spans="1:16" x14ac:dyDescent="0.25">
      <c r="A96" s="200"/>
      <c r="B96" s="23"/>
      <c r="C96" s="23"/>
    </row>
    <row r="97" spans="1:16" x14ac:dyDescent="0.25">
      <c r="A97" s="200"/>
      <c r="B97" s="23"/>
      <c r="C97" s="23"/>
    </row>
    <row r="98" spans="1:16" x14ac:dyDescent="0.25">
      <c r="A98" s="200"/>
      <c r="B98" s="23"/>
      <c r="C98" s="23"/>
    </row>
    <row r="99" spans="1:16" x14ac:dyDescent="0.25">
      <c r="A99" s="200"/>
      <c r="B99" s="23"/>
      <c r="C99" s="23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25">
      <c r="A100" s="200"/>
      <c r="B100" s="20"/>
      <c r="C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16" x14ac:dyDescent="0.25">
      <c r="A101" s="13"/>
      <c r="B101" s="11"/>
    </row>
    <row r="102" spans="1:16" x14ac:dyDescent="0.25">
      <c r="A102" s="200"/>
      <c r="B102" s="23"/>
      <c r="C102" s="23"/>
    </row>
    <row r="103" spans="1:16" x14ac:dyDescent="0.25">
      <c r="A103" s="200"/>
      <c r="B103" s="23"/>
      <c r="C103" s="23"/>
    </row>
    <row r="104" spans="1:16" x14ac:dyDescent="0.25">
      <c r="A104" s="200"/>
      <c r="B104" s="20"/>
      <c r="C104" s="202"/>
    </row>
    <row r="105" spans="1:16" x14ac:dyDescent="0.25">
      <c r="A105" s="13"/>
      <c r="B105" s="2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</row>
    <row r="106" spans="1:16" x14ac:dyDescent="0.25">
      <c r="A106" s="13"/>
      <c r="B106" s="2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</row>
    <row r="107" spans="1:16" x14ac:dyDescent="0.25">
      <c r="A107" s="13"/>
      <c r="B107" s="23"/>
      <c r="C107" s="202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</row>
    <row r="108" spans="1:16" x14ac:dyDescent="0.25">
      <c r="A108" s="13"/>
      <c r="B108" s="23"/>
    </row>
    <row r="109" spans="1:16" x14ac:dyDescent="0.25">
      <c r="A109" s="13"/>
      <c r="B109" s="23"/>
    </row>
    <row r="110" spans="1:16" x14ac:dyDescent="0.25">
      <c r="A110" s="13"/>
      <c r="B110" s="23"/>
    </row>
    <row r="111" spans="1:16" x14ac:dyDescent="0.25">
      <c r="A111" s="200"/>
      <c r="B111" s="20"/>
    </row>
    <row r="112" spans="1:16" x14ac:dyDescent="0.25">
      <c r="A112" s="210"/>
      <c r="B112" s="23"/>
    </row>
    <row r="113" spans="1:2" x14ac:dyDescent="0.25">
      <c r="A113" s="23"/>
      <c r="B113" s="11"/>
    </row>
    <row r="114" spans="1:2" x14ac:dyDescent="0.25">
      <c r="A114" s="23"/>
      <c r="B114" s="11"/>
    </row>
    <row r="115" spans="1:2" x14ac:dyDescent="0.25">
      <c r="A115" s="23"/>
      <c r="B115" s="23"/>
    </row>
    <row r="116" spans="1:2" x14ac:dyDescent="0.25">
      <c r="A116" s="23"/>
      <c r="B116" s="11"/>
    </row>
    <row r="117" spans="1:2" x14ac:dyDescent="0.25">
      <c r="A117" s="23"/>
      <c r="B117" s="11"/>
    </row>
    <row r="119" spans="1:2" x14ac:dyDescent="0.25">
      <c r="A119" s="23"/>
      <c r="B119" s="23"/>
    </row>
    <row r="120" spans="1:2" x14ac:dyDescent="0.25">
      <c r="B120" s="23"/>
    </row>
    <row r="121" spans="1:2" x14ac:dyDescent="0.25">
      <c r="B121" s="23"/>
    </row>
    <row r="122" spans="1:2" x14ac:dyDescent="0.25">
      <c r="B122" s="23"/>
    </row>
    <row r="123" spans="1:2" x14ac:dyDescent="0.25">
      <c r="B123" s="23"/>
    </row>
    <row r="124" spans="1:2" x14ac:dyDescent="0.25">
      <c r="B124" s="23"/>
    </row>
    <row r="125" spans="1:2" x14ac:dyDescent="0.25">
      <c r="B125" s="23"/>
    </row>
    <row r="126" spans="1:2" x14ac:dyDescent="0.25">
      <c r="B126" s="23"/>
    </row>
    <row r="127" spans="1:2" x14ac:dyDescent="0.25">
      <c r="B127" s="23"/>
    </row>
    <row r="128" spans="1:2" x14ac:dyDescent="0.25">
      <c r="B128" s="23"/>
    </row>
    <row r="129" spans="1:17" ht="13" x14ac:dyDescent="0.3">
      <c r="Q129" s="226"/>
    </row>
    <row r="130" spans="1:17" x14ac:dyDescent="0.25">
      <c r="Q130" s="16"/>
    </row>
    <row r="131" spans="1:17" ht="13" x14ac:dyDescent="0.3">
      <c r="B131" s="187"/>
      <c r="C131" s="188"/>
      <c r="D131" s="188"/>
      <c r="E131" s="188"/>
      <c r="F131" s="188"/>
      <c r="G131" s="188"/>
      <c r="H131" s="187"/>
      <c r="I131" s="188"/>
    </row>
    <row r="132" spans="1:17" x14ac:dyDescent="0.25">
      <c r="B132" s="188"/>
      <c r="C132" s="188"/>
      <c r="D132" s="188"/>
      <c r="E132" s="188"/>
      <c r="F132" s="188"/>
      <c r="G132" s="188"/>
      <c r="H132" s="188"/>
      <c r="I132" s="188"/>
    </row>
    <row r="133" spans="1:17" x14ac:dyDescent="0.25">
      <c r="B133" s="188"/>
      <c r="C133" s="188"/>
      <c r="D133" s="188"/>
      <c r="E133" s="188"/>
      <c r="F133" s="188"/>
      <c r="G133" s="188"/>
      <c r="H133" s="188"/>
      <c r="I133" s="188"/>
    </row>
    <row r="134" spans="1:17" ht="13" x14ac:dyDescent="0.3">
      <c r="B134" s="186"/>
      <c r="C134" s="188"/>
      <c r="D134" s="188"/>
      <c r="E134" s="188"/>
      <c r="F134" s="188"/>
      <c r="G134" s="188"/>
      <c r="H134" s="186"/>
      <c r="I134" s="188"/>
    </row>
    <row r="135" spans="1:17" x14ac:dyDescent="0.25">
      <c r="B135" s="188"/>
      <c r="C135" s="188"/>
      <c r="D135" s="188"/>
      <c r="E135" s="188"/>
      <c r="F135" s="188"/>
      <c r="G135" s="188"/>
      <c r="H135" s="188"/>
      <c r="I135" s="188"/>
    </row>
    <row r="136" spans="1:17" x14ac:dyDescent="0.25">
      <c r="B136" s="188"/>
      <c r="C136" s="188"/>
      <c r="D136" s="188"/>
      <c r="E136" s="188"/>
      <c r="F136" s="188"/>
      <c r="G136" s="211"/>
      <c r="H136" s="211"/>
      <c r="I136" s="211"/>
      <c r="J136" s="211"/>
    </row>
    <row r="137" spans="1:17" x14ac:dyDescent="0.25">
      <c r="B137" s="188"/>
      <c r="C137" s="188"/>
      <c r="F137" s="188"/>
      <c r="G137" s="188"/>
      <c r="H137" s="188"/>
      <c r="I137" s="23"/>
    </row>
    <row r="138" spans="1:17" x14ac:dyDescent="0.25">
      <c r="B138" s="206"/>
      <c r="C138" s="188"/>
      <c r="D138" s="188"/>
      <c r="E138" s="188"/>
      <c r="F138" s="188"/>
      <c r="G138" s="188"/>
      <c r="H138" s="206"/>
      <c r="I138" s="188"/>
    </row>
    <row r="139" spans="1:17" x14ac:dyDescent="0.25">
      <c r="B139" s="188"/>
      <c r="C139" s="188"/>
      <c r="D139" s="188"/>
      <c r="E139" s="188"/>
      <c r="F139" s="188"/>
      <c r="G139" s="188"/>
      <c r="H139" s="188"/>
      <c r="I139" s="188"/>
    </row>
    <row r="140" spans="1:17" x14ac:dyDescent="0.25">
      <c r="A140" s="206"/>
      <c r="B140" s="206"/>
      <c r="C140" s="188"/>
      <c r="D140" s="188"/>
      <c r="E140" s="188"/>
      <c r="F140" s="188"/>
      <c r="G140" s="188"/>
      <c r="H140" s="188"/>
      <c r="I140" s="188"/>
    </row>
    <row r="141" spans="1:17" x14ac:dyDescent="0.2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5">
      <c r="A143" s="13"/>
      <c r="B143" s="23"/>
      <c r="C143" s="13"/>
    </row>
    <row r="144" spans="1:17" x14ac:dyDescent="0.25">
      <c r="A144" s="13"/>
      <c r="B144" s="23"/>
      <c r="C144" s="23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</row>
    <row r="145" spans="1:16" x14ac:dyDescent="0.25">
      <c r="A145" s="13"/>
      <c r="B145" s="23"/>
      <c r="C145" s="23"/>
    </row>
    <row r="146" spans="1:16" x14ac:dyDescent="0.25">
      <c r="A146" s="13"/>
      <c r="B146" s="23"/>
      <c r="C146" s="23"/>
    </row>
    <row r="147" spans="1:16" x14ac:dyDescent="0.25">
      <c r="A147" s="13"/>
      <c r="B147" s="11"/>
      <c r="C147" s="25"/>
    </row>
    <row r="148" spans="1:16" x14ac:dyDescent="0.25">
      <c r="B148" s="23"/>
      <c r="C148" s="23"/>
      <c r="D148" s="202"/>
    </row>
    <row r="149" spans="1:16" x14ac:dyDescent="0.25">
      <c r="B149" s="23"/>
      <c r="C149" s="23"/>
    </row>
    <row r="150" spans="1:16" x14ac:dyDescent="0.25">
      <c r="B150" s="23"/>
      <c r="C150" s="23"/>
    </row>
    <row r="152" spans="1:16" x14ac:dyDescent="0.25">
      <c r="A152" s="13"/>
      <c r="B152" s="11"/>
      <c r="C152" s="13"/>
    </row>
    <row r="153" spans="1:16" x14ac:dyDescent="0.25">
      <c r="B153" s="23"/>
    </row>
    <row r="154" spans="1:16" x14ac:dyDescent="0.25">
      <c r="A154" s="13"/>
      <c r="B154" s="23"/>
      <c r="C154" s="23"/>
    </row>
    <row r="155" spans="1:16" x14ac:dyDescent="0.25">
      <c r="B155" s="20"/>
    </row>
    <row r="156" spans="1:16" x14ac:dyDescent="0.25">
      <c r="A156" s="13"/>
      <c r="B156" s="23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</row>
    <row r="157" spans="1:16" x14ac:dyDescent="0.25">
      <c r="B157" s="23"/>
      <c r="C157" s="23"/>
    </row>
    <row r="158" spans="1:16" x14ac:dyDescent="0.25">
      <c r="B158" s="23"/>
      <c r="C158" s="11"/>
    </row>
    <row r="159" spans="1:16" x14ac:dyDescent="0.25">
      <c r="A159" s="13"/>
      <c r="B159" s="16"/>
    </row>
    <row r="160" spans="1:16" x14ac:dyDescent="0.25">
      <c r="A160" s="13"/>
      <c r="B160" s="20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</row>
    <row r="161" spans="1:16" x14ac:dyDescent="0.25">
      <c r="A161" s="13"/>
      <c r="B161" s="23"/>
    </row>
    <row r="162" spans="1:16" x14ac:dyDescent="0.25">
      <c r="A162" s="200"/>
      <c r="B162" s="23"/>
      <c r="C162" s="23"/>
    </row>
    <row r="163" spans="1:16" x14ac:dyDescent="0.25">
      <c r="A163" s="200"/>
      <c r="B163" s="23"/>
      <c r="C163" s="23"/>
    </row>
    <row r="164" spans="1:16" x14ac:dyDescent="0.25">
      <c r="A164" s="200"/>
      <c r="B164" s="23"/>
      <c r="C164" s="23"/>
    </row>
    <row r="165" spans="1:16" x14ac:dyDescent="0.25">
      <c r="A165" s="200"/>
      <c r="B165" s="23"/>
      <c r="C165" s="23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</row>
    <row r="166" spans="1:16" x14ac:dyDescent="0.25">
      <c r="A166" s="200"/>
      <c r="B166" s="20"/>
      <c r="C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</row>
    <row r="167" spans="1:16" x14ac:dyDescent="0.25">
      <c r="A167" s="13"/>
      <c r="B167" s="11"/>
    </row>
    <row r="168" spans="1:16" x14ac:dyDescent="0.25">
      <c r="A168" s="200"/>
      <c r="B168" s="23"/>
      <c r="C168" s="23"/>
    </row>
    <row r="169" spans="1:16" x14ac:dyDescent="0.25">
      <c r="A169" s="200"/>
      <c r="B169" s="23"/>
      <c r="C169" s="23"/>
    </row>
    <row r="170" spans="1:16" x14ac:dyDescent="0.25">
      <c r="A170" s="200"/>
      <c r="B170" s="20"/>
      <c r="C170" s="202"/>
    </row>
    <row r="171" spans="1:16" x14ac:dyDescent="0.25">
      <c r="A171" s="13"/>
      <c r="B171" s="2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</row>
    <row r="172" spans="1:16" x14ac:dyDescent="0.25">
      <c r="A172" s="13"/>
      <c r="B172" s="2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</row>
    <row r="173" spans="1:16" x14ac:dyDescent="0.25">
      <c r="A173" s="13"/>
      <c r="B173" s="23"/>
      <c r="C173" s="202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</row>
    <row r="174" spans="1:16" x14ac:dyDescent="0.25">
      <c r="A174" s="13"/>
      <c r="B174" s="23"/>
    </row>
    <row r="175" spans="1:16" x14ac:dyDescent="0.25">
      <c r="A175" s="13"/>
      <c r="B175" s="23"/>
    </row>
    <row r="176" spans="1:16" x14ac:dyDescent="0.25">
      <c r="A176" s="13"/>
      <c r="B176" s="23"/>
    </row>
    <row r="177" spans="1:2" x14ac:dyDescent="0.25">
      <c r="A177" s="200"/>
      <c r="B177" s="20"/>
    </row>
    <row r="178" spans="1:2" x14ac:dyDescent="0.25">
      <c r="A178" s="210"/>
      <c r="B178" s="23"/>
    </row>
    <row r="179" spans="1:2" x14ac:dyDescent="0.25">
      <c r="A179" s="23"/>
      <c r="B179" s="11"/>
    </row>
    <row r="180" spans="1:2" x14ac:dyDescent="0.25">
      <c r="A180" s="23"/>
      <c r="B180" s="11"/>
    </row>
    <row r="181" spans="1:2" x14ac:dyDescent="0.25">
      <c r="A181" s="23"/>
      <c r="B181" s="23"/>
    </row>
    <row r="182" spans="1:2" x14ac:dyDescent="0.25">
      <c r="A182" s="23"/>
      <c r="B182" s="11"/>
    </row>
    <row r="183" spans="1:2" x14ac:dyDescent="0.25">
      <c r="A183" s="23"/>
      <c r="B183" s="11"/>
    </row>
    <row r="185" spans="1:2" x14ac:dyDescent="0.25">
      <c r="A185" s="23"/>
      <c r="B185" s="23"/>
    </row>
    <row r="186" spans="1:2" x14ac:dyDescent="0.25">
      <c r="B186" s="23"/>
    </row>
    <row r="187" spans="1:2" x14ac:dyDescent="0.25">
      <c r="B187" s="23"/>
    </row>
  </sheetData>
  <mergeCells count="6">
    <mergeCell ref="A7:Q7"/>
    <mergeCell ref="A8:Q8"/>
    <mergeCell ref="A9:Q9"/>
    <mergeCell ref="A10:Q10"/>
    <mergeCell ref="G70:J70"/>
    <mergeCell ref="G136:J136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3" manualBreakCount="3">
    <brk id="61" max="16" man="1"/>
    <brk id="122" max="16" man="1"/>
    <brk id="186" max="1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914D-9FA4-4F44-A218-5D7C9C2137D4}">
  <dimension ref="A1:S59"/>
  <sheetViews>
    <sheetView showGridLines="0" view="pageBreakPreview" zoomScale="80" zoomScaleNormal="100" zoomScaleSheetLayoutView="80" workbookViewId="0">
      <pane ySplit="19" topLeftCell="A20" activePane="bottomLeft" state="frozen"/>
      <selection activeCell="Q28" sqref="Q28"/>
      <selection pane="bottomLeft" activeCell="Q28" sqref="Q28"/>
    </sheetView>
  </sheetViews>
  <sheetFormatPr defaultColWidth="8.58203125" defaultRowHeight="12.5" x14ac:dyDescent="0.25"/>
  <cols>
    <col min="1" max="1" width="4.5" style="27" customWidth="1"/>
    <col min="2" max="2" width="4.25" style="27" customWidth="1"/>
    <col min="3" max="3" width="38.08203125" style="27" customWidth="1"/>
    <col min="4" max="4" width="13.83203125" style="27" bestFit="1" customWidth="1"/>
    <col min="5" max="17" width="12.08203125" style="27" customWidth="1"/>
    <col min="18" max="16384" width="8.58203125" style="27"/>
  </cols>
  <sheetData>
    <row r="1" spans="1:19" ht="13" x14ac:dyDescent="0.3">
      <c r="Q1" s="255"/>
    </row>
    <row r="2" spans="1:19" ht="13" thickBot="1" x14ac:dyDescent="0.3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S2" s="27">
        <v>35</v>
      </c>
    </row>
    <row r="3" spans="1:19" ht="13" hidden="1" x14ac:dyDescent="0.3">
      <c r="A3" s="38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9" hidden="1" x14ac:dyDescent="0.2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9" hidden="1" x14ac:dyDescent="0.25">
      <c r="A5" s="34" t="s">
        <v>396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9" ht="20.25" customHeight="1" x14ac:dyDescent="0.3">
      <c r="A6" s="38" t="s">
        <v>397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9" hidden="1" x14ac:dyDescent="0.25">
      <c r="A7" s="34" t="s">
        <v>412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9" x14ac:dyDescent="0.25">
      <c r="A8" s="258" t="s">
        <v>413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</row>
    <row r="9" spans="1:19" hidden="1" x14ac:dyDescent="0.25">
      <c r="A9" s="259" t="s">
        <v>414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</row>
    <row r="10" spans="1:19" hidden="1" x14ac:dyDescent="0.25">
      <c r="A10" s="258">
        <f>'42-8_Project 1'!$H$69</f>
        <v>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</row>
    <row r="11" spans="1:19" ht="13" thickBot="1" x14ac:dyDescent="0.3">
      <c r="A11" s="260"/>
      <c r="B11" s="260"/>
      <c r="C11" s="261"/>
      <c r="D11" s="262"/>
      <c r="E11" s="262"/>
      <c r="F11" s="262"/>
      <c r="G11" s="262"/>
      <c r="H11" s="262"/>
      <c r="I11" s="262"/>
      <c r="J11" s="256"/>
      <c r="K11" s="256"/>
      <c r="L11" s="256"/>
      <c r="M11" s="256"/>
      <c r="N11" s="256"/>
      <c r="O11" s="256"/>
      <c r="P11" s="256"/>
      <c r="Q11" s="256"/>
    </row>
    <row r="12" spans="1:19" x14ac:dyDescent="0.25">
      <c r="A12" s="42"/>
      <c r="B12" s="263"/>
      <c r="C12" s="264"/>
      <c r="D12" s="45" t="s">
        <v>257</v>
      </c>
      <c r="E12" s="45" t="str">
        <f>'42-8_Project 1'!E12</f>
        <v xml:space="preserve">Actual </v>
      </c>
      <c r="F12" s="45" t="str">
        <f>'42-8_Project 1'!F12</f>
        <v xml:space="preserve">Actual </v>
      </c>
      <c r="G12" s="45" t="str">
        <f>'42-8_Project 1'!G12</f>
        <v xml:space="preserve">Actual </v>
      </c>
      <c r="H12" s="45" t="str">
        <f>'42-8_Project 1'!H12</f>
        <v xml:space="preserve">Actual </v>
      </c>
      <c r="I12" s="45" t="str">
        <f>'42-8_Project 1'!I12</f>
        <v xml:space="preserve">Actual </v>
      </c>
      <c r="J12" s="45" t="str">
        <f>'42-8_Project 1'!J12</f>
        <v>Estimated</v>
      </c>
      <c r="K12" s="45" t="str">
        <f>'42-8_Project 1'!K12</f>
        <v>Estimated</v>
      </c>
      <c r="L12" s="45" t="str">
        <f>'42-8_Project 1'!L12</f>
        <v>Estimated</v>
      </c>
      <c r="M12" s="45" t="str">
        <f>'42-8_Project 1'!M12</f>
        <v>Estimated</v>
      </c>
      <c r="N12" s="45" t="str">
        <f>'42-8_Project 1'!N12</f>
        <v>Estimated</v>
      </c>
      <c r="O12" s="45" t="str">
        <f>'42-8_Project 1'!O12</f>
        <v>Estimated</v>
      </c>
      <c r="P12" s="45" t="str">
        <f>'42-8_Project 1'!P12</f>
        <v>Estimated</v>
      </c>
      <c r="Q12" s="78" t="s">
        <v>415</v>
      </c>
    </row>
    <row r="13" spans="1:19" ht="13" thickBot="1" x14ac:dyDescent="0.3">
      <c r="A13" s="83"/>
      <c r="B13" s="85"/>
      <c r="C13" s="84"/>
      <c r="D13" s="84" t="s">
        <v>260</v>
      </c>
      <c r="E13" s="84" t="s">
        <v>15</v>
      </c>
      <c r="F13" s="84" t="s">
        <v>16</v>
      </c>
      <c r="G13" s="84" t="s">
        <v>17</v>
      </c>
      <c r="H13" s="84" t="s">
        <v>18</v>
      </c>
      <c r="I13" s="84" t="s">
        <v>19</v>
      </c>
      <c r="J13" s="84" t="s">
        <v>20</v>
      </c>
      <c r="K13" s="84" t="s">
        <v>21</v>
      </c>
      <c r="L13" s="84" t="s">
        <v>22</v>
      </c>
      <c r="M13" s="84" t="s">
        <v>23</v>
      </c>
      <c r="N13" s="84" t="s">
        <v>24</v>
      </c>
      <c r="O13" s="84" t="s">
        <v>25</v>
      </c>
      <c r="P13" s="84" t="s">
        <v>26</v>
      </c>
      <c r="Q13" s="84" t="s">
        <v>117</v>
      </c>
    </row>
    <row r="14" spans="1:19" hidden="1" x14ac:dyDescent="0.25">
      <c r="B14" s="15"/>
      <c r="C14" s="43"/>
    </row>
    <row r="15" spans="1:19" hidden="1" x14ac:dyDescent="0.25">
      <c r="A15" s="43"/>
      <c r="B15" s="15"/>
      <c r="C15" s="15"/>
    </row>
    <row r="16" spans="1:19" hidden="1" x14ac:dyDescent="0.25">
      <c r="A16" s="43"/>
      <c r="B16" s="15"/>
      <c r="C16" s="15"/>
    </row>
    <row r="17" spans="1:19" hidden="1" x14ac:dyDescent="0.25">
      <c r="A17" s="43"/>
      <c r="B17" s="15"/>
      <c r="C17" s="15"/>
    </row>
    <row r="18" spans="1:19" hidden="1" x14ac:dyDescent="0.25">
      <c r="A18" s="43"/>
      <c r="B18" s="15"/>
      <c r="C18" s="15"/>
    </row>
    <row r="19" spans="1:19" hidden="1" x14ac:dyDescent="0.25">
      <c r="A19" s="43"/>
      <c r="B19" s="15"/>
      <c r="C19" s="15"/>
    </row>
    <row r="20" spans="1:19" ht="24.75" customHeight="1" x14ac:dyDescent="0.25">
      <c r="A20" s="43">
        <v>1</v>
      </c>
      <c r="B20" s="15" t="s">
        <v>416</v>
      </c>
      <c r="C20" s="43"/>
      <c r="D20" s="27">
        <v>18498355.100000001</v>
      </c>
      <c r="E20" s="27">
        <f>D20+E16-E17</f>
        <v>18498355.100000001</v>
      </c>
      <c r="F20" s="27">
        <f>E23</f>
        <v>18379775.895722225</v>
      </c>
      <c r="G20" s="27">
        <f t="shared" ref="G20:P20" si="0">F23</f>
        <v>18261196.691444449</v>
      </c>
      <c r="H20" s="27">
        <f t="shared" si="0"/>
        <v>18142617.487166673</v>
      </c>
      <c r="I20" s="27">
        <f t="shared" si="0"/>
        <v>18024038.282888897</v>
      </c>
      <c r="J20" s="27">
        <f t="shared" si="0"/>
        <v>17905459.078611121</v>
      </c>
      <c r="K20" s="27">
        <f t="shared" si="0"/>
        <v>17786879.874333344</v>
      </c>
      <c r="L20" s="27">
        <f t="shared" si="0"/>
        <v>17668300.670055568</v>
      </c>
      <c r="M20" s="27">
        <f t="shared" si="0"/>
        <v>17549721.465777792</v>
      </c>
      <c r="N20" s="27">
        <f t="shared" si="0"/>
        <v>17431142.261500016</v>
      </c>
      <c r="O20" s="27">
        <f t="shared" si="0"/>
        <v>17312563.05722224</v>
      </c>
      <c r="P20" s="27">
        <f t="shared" si="0"/>
        <v>17193983.852944463</v>
      </c>
    </row>
    <row r="21" spans="1:19" x14ac:dyDescent="0.25">
      <c r="A21" s="43">
        <v>2</v>
      </c>
      <c r="B21" s="15" t="s">
        <v>417</v>
      </c>
      <c r="C21" s="43"/>
      <c r="D21" s="27">
        <v>0</v>
      </c>
      <c r="E21" s="27">
        <f>D21-E32-E33</f>
        <v>-118579.20427777777</v>
      </c>
      <c r="F21" s="27">
        <f>F32-F33</f>
        <v>-118579.20427777777</v>
      </c>
      <c r="G21" s="27">
        <f t="shared" ref="G21:P21" si="1">G32-G33</f>
        <v>-118579.20427777777</v>
      </c>
      <c r="H21" s="27">
        <f t="shared" si="1"/>
        <v>-118579.20427777777</v>
      </c>
      <c r="I21" s="27">
        <f t="shared" si="1"/>
        <v>-118579.20427777777</v>
      </c>
      <c r="J21" s="27">
        <f t="shared" si="1"/>
        <v>-118579.20427777777</v>
      </c>
      <c r="K21" s="27">
        <f t="shared" si="1"/>
        <v>-118579.20427777777</v>
      </c>
      <c r="L21" s="27">
        <f t="shared" si="1"/>
        <v>-118579.20427777777</v>
      </c>
      <c r="M21" s="27">
        <f t="shared" si="1"/>
        <v>-118579.20427777777</v>
      </c>
      <c r="N21" s="27">
        <f t="shared" si="1"/>
        <v>-118579.20427777777</v>
      </c>
      <c r="O21" s="27">
        <f t="shared" si="1"/>
        <v>-118579.20427777777</v>
      </c>
      <c r="P21" s="27">
        <f t="shared" si="1"/>
        <v>-118579.20427777777</v>
      </c>
    </row>
    <row r="22" spans="1:19" hidden="1" x14ac:dyDescent="0.25">
      <c r="A22" s="43"/>
      <c r="B22" s="15"/>
      <c r="C22" s="43"/>
    </row>
    <row r="23" spans="1:19" x14ac:dyDescent="0.25">
      <c r="A23" s="43">
        <v>3</v>
      </c>
      <c r="B23" s="15" t="s">
        <v>418</v>
      </c>
      <c r="C23" s="43"/>
      <c r="D23" s="265">
        <f t="shared" ref="D23:P23" si="2">SUM(D20:D22)</f>
        <v>18498355.100000001</v>
      </c>
      <c r="E23" s="265">
        <f t="shared" si="2"/>
        <v>18379775.895722225</v>
      </c>
      <c r="F23" s="265">
        <f t="shared" si="2"/>
        <v>18261196.691444449</v>
      </c>
      <c r="G23" s="265">
        <f t="shared" si="2"/>
        <v>18142617.487166673</v>
      </c>
      <c r="H23" s="265">
        <f t="shared" si="2"/>
        <v>18024038.282888897</v>
      </c>
      <c r="I23" s="265">
        <f t="shared" si="2"/>
        <v>17905459.078611121</v>
      </c>
      <c r="J23" s="265">
        <f t="shared" si="2"/>
        <v>17786879.874333344</v>
      </c>
      <c r="K23" s="265">
        <f t="shared" si="2"/>
        <v>17668300.670055568</v>
      </c>
      <c r="L23" s="265">
        <f t="shared" si="2"/>
        <v>17549721.465777792</v>
      </c>
      <c r="M23" s="265">
        <f t="shared" si="2"/>
        <v>17431142.261500016</v>
      </c>
      <c r="N23" s="265">
        <f t="shared" si="2"/>
        <v>17312563.05722224</v>
      </c>
      <c r="O23" s="265">
        <f t="shared" si="2"/>
        <v>17193983.852944463</v>
      </c>
      <c r="P23" s="265">
        <f t="shared" si="2"/>
        <v>17075404.648666687</v>
      </c>
    </row>
    <row r="24" spans="1:19" x14ac:dyDescent="0.25">
      <c r="A24" s="43"/>
      <c r="B24" s="15"/>
    </row>
    <row r="25" spans="1:19" x14ac:dyDescent="0.25">
      <c r="A25" s="43">
        <v>4</v>
      </c>
      <c r="B25" s="15" t="s">
        <v>419</v>
      </c>
      <c r="C25" s="15"/>
      <c r="E25" s="27">
        <f>(D23+E23)/2</f>
        <v>18439065.497861113</v>
      </c>
      <c r="F25" s="27">
        <f t="shared" ref="F25:O25" si="3">(E23+F23)/2</f>
        <v>18320486.293583337</v>
      </c>
      <c r="G25" s="27">
        <f t="shared" si="3"/>
        <v>18201907.089305561</v>
      </c>
      <c r="H25" s="27">
        <f t="shared" si="3"/>
        <v>18083327.885027785</v>
      </c>
      <c r="I25" s="27">
        <f t="shared" si="3"/>
        <v>17964748.680750009</v>
      </c>
      <c r="J25" s="27">
        <f t="shared" si="3"/>
        <v>17846169.476472232</v>
      </c>
      <c r="K25" s="27">
        <f t="shared" si="3"/>
        <v>17727590.272194456</v>
      </c>
      <c r="L25" s="27">
        <f t="shared" si="3"/>
        <v>17609011.06791668</v>
      </c>
      <c r="M25" s="27">
        <f t="shared" si="3"/>
        <v>17490431.863638904</v>
      </c>
      <c r="N25" s="27">
        <f t="shared" si="3"/>
        <v>17371852.659361128</v>
      </c>
      <c r="O25" s="27">
        <f t="shared" si="3"/>
        <v>17253273.455083352</v>
      </c>
      <c r="P25" s="27">
        <f>(O23+P23)/2</f>
        <v>17134694.250805575</v>
      </c>
    </row>
    <row r="26" spans="1:19" hidden="1" x14ac:dyDescent="0.25">
      <c r="A26" s="266"/>
      <c r="B26" s="62"/>
    </row>
    <row r="27" spans="1:19" x14ac:dyDescent="0.25">
      <c r="A27" s="43">
        <v>5</v>
      </c>
      <c r="B27" s="15" t="s">
        <v>420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</row>
    <row r="28" spans="1:19" x14ac:dyDescent="0.25">
      <c r="A28" s="266"/>
      <c r="B28" s="15" t="s">
        <v>262</v>
      </c>
      <c r="C28" s="15" t="s">
        <v>278</v>
      </c>
      <c r="E28" s="27">
        <v>84893.457552152555</v>
      </c>
      <c r="F28" s="27">
        <v>84347.518895657675</v>
      </c>
      <c r="G28" s="27">
        <v>83801.580239162795</v>
      </c>
      <c r="H28" s="27">
        <v>83255.641582667915</v>
      </c>
      <c r="I28" s="27">
        <v>82709.702926173035</v>
      </c>
      <c r="J28" s="27">
        <v>82163.764269678155</v>
      </c>
      <c r="K28" s="27">
        <v>84897.429813539246</v>
      </c>
      <c r="L28" s="27">
        <v>84329.554004252976</v>
      </c>
      <c r="M28" s="27">
        <v>83761.678194966706</v>
      </c>
      <c r="N28" s="27">
        <v>83193.802385680436</v>
      </c>
      <c r="O28" s="27">
        <v>82625.926576394166</v>
      </c>
      <c r="P28" s="27">
        <v>82058.050767107896</v>
      </c>
      <c r="Q28" s="27">
        <f>ROUND(SUM(E28:P28),2)</f>
        <v>1002038.11</v>
      </c>
    </row>
    <row r="29" spans="1:19" x14ac:dyDescent="0.25">
      <c r="A29" s="266"/>
      <c r="B29" s="15" t="s">
        <v>264</v>
      </c>
      <c r="C29" s="15" t="s">
        <v>279</v>
      </c>
      <c r="E29" s="27">
        <v>21426.194108514614</v>
      </c>
      <c r="F29" s="27">
        <v>21288.40507314384</v>
      </c>
      <c r="G29" s="27">
        <v>21150.616037773063</v>
      </c>
      <c r="H29" s="27">
        <v>21012.827002402286</v>
      </c>
      <c r="I29" s="27">
        <v>20875.037967031512</v>
      </c>
      <c r="J29" s="27">
        <v>20737.248931660735</v>
      </c>
      <c r="K29" s="27">
        <v>18596.242195531984</v>
      </c>
      <c r="L29" s="27">
        <v>18471.852610244598</v>
      </c>
      <c r="M29" s="27">
        <v>18347.463024957211</v>
      </c>
      <c r="N29" s="27">
        <v>18223.073439669824</v>
      </c>
      <c r="O29" s="27">
        <v>18098.683854382438</v>
      </c>
      <c r="P29" s="27">
        <v>17974.294269095048</v>
      </c>
      <c r="Q29" s="27">
        <f>ROUND(SUM(E29:P29),2)</f>
        <v>236201.94</v>
      </c>
    </row>
    <row r="30" spans="1:19" x14ac:dyDescent="0.25">
      <c r="A30" s="266"/>
      <c r="B30" s="62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</row>
    <row r="31" spans="1:19" x14ac:dyDescent="0.25">
      <c r="A31" s="43">
        <v>6</v>
      </c>
      <c r="B31" s="15" t="s">
        <v>421</v>
      </c>
    </row>
    <row r="32" spans="1:19" hidden="1" x14ac:dyDescent="0.25">
      <c r="A32" s="266"/>
      <c r="B32" s="15"/>
      <c r="C32" s="15"/>
      <c r="S32" s="27" t="e">
        <v>#REF!</v>
      </c>
    </row>
    <row r="33" spans="1:17" x14ac:dyDescent="0.25">
      <c r="A33" s="266"/>
      <c r="B33" s="15" t="s">
        <v>262</v>
      </c>
      <c r="C33" s="15" t="s">
        <v>160</v>
      </c>
      <c r="E33" s="27">
        <f>21344256.77/15/12</f>
        <v>118579.20427777777</v>
      </c>
      <c r="F33" s="27">
        <v>118579.20427777777</v>
      </c>
      <c r="G33" s="27">
        <v>118579.20427777777</v>
      </c>
      <c r="H33" s="27">
        <v>118579.20427777777</v>
      </c>
      <c r="I33" s="27">
        <v>118579.20427777777</v>
      </c>
      <c r="J33" s="27">
        <v>118579.20427777777</v>
      </c>
      <c r="K33" s="27">
        <v>118579.20427777777</v>
      </c>
      <c r="L33" s="27">
        <v>118579.20427777777</v>
      </c>
      <c r="M33" s="27">
        <v>118579.20427777777</v>
      </c>
      <c r="N33" s="27">
        <v>118579.20427777777</v>
      </c>
      <c r="O33" s="27">
        <v>118579.20427777777</v>
      </c>
      <c r="P33" s="27">
        <v>118579.20427777777</v>
      </c>
      <c r="Q33" s="27">
        <f>SUM(E33:P33)</f>
        <v>1422950.4513333335</v>
      </c>
    </row>
    <row r="34" spans="1:17" hidden="1" x14ac:dyDescent="0.25">
      <c r="A34" s="266"/>
      <c r="B34" s="15" t="s">
        <v>264</v>
      </c>
      <c r="C34" s="15" t="s">
        <v>161</v>
      </c>
    </row>
    <row r="35" spans="1:17" hidden="1" x14ac:dyDescent="0.25">
      <c r="A35" s="266"/>
      <c r="B35" s="15"/>
      <c r="C35" s="15"/>
    </row>
    <row r="36" spans="1:17" x14ac:dyDescent="0.25">
      <c r="A36" s="266"/>
      <c r="B36" s="15" t="s">
        <v>264</v>
      </c>
      <c r="C36" s="15" t="s">
        <v>422</v>
      </c>
      <c r="E36" s="268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68">
        <v>0</v>
      </c>
      <c r="O36" s="268">
        <v>0</v>
      </c>
      <c r="P36" s="268">
        <v>0</v>
      </c>
      <c r="Q36" s="241">
        <f>SUM(E36:P36)</f>
        <v>0</v>
      </c>
    </row>
    <row r="37" spans="1:17" x14ac:dyDescent="0.25">
      <c r="A37" s="266"/>
      <c r="B37" s="62"/>
      <c r="C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7" x14ac:dyDescent="0.25">
      <c r="A38" s="43">
        <v>7</v>
      </c>
      <c r="B38" s="15" t="s">
        <v>423</v>
      </c>
      <c r="E38" s="27">
        <f>SUM(E28:E36)</f>
        <v>224898.85593844493</v>
      </c>
      <c r="F38" s="27">
        <f>SUM(F28:F36)</f>
        <v>224215.12824657926</v>
      </c>
      <c r="G38" s="27">
        <f t="shared" ref="G38:P38" si="4">SUM(G28:G36)</f>
        <v>223531.40055471362</v>
      </c>
      <c r="H38" s="27">
        <f t="shared" si="4"/>
        <v>222847.67286284798</v>
      </c>
      <c r="I38" s="27">
        <f t="shared" si="4"/>
        <v>222163.94517098233</v>
      </c>
      <c r="J38" s="27">
        <f t="shared" si="4"/>
        <v>221480.21747911666</v>
      </c>
      <c r="K38" s="27">
        <f t="shared" si="4"/>
        <v>222072.876286849</v>
      </c>
      <c r="L38" s="27">
        <f t="shared" si="4"/>
        <v>221380.61089227535</v>
      </c>
      <c r="M38" s="27">
        <f t="shared" si="4"/>
        <v>220688.34549770167</v>
      </c>
      <c r="N38" s="27">
        <f t="shared" si="4"/>
        <v>219996.08010312804</v>
      </c>
      <c r="O38" s="27">
        <f t="shared" si="4"/>
        <v>219303.81470855436</v>
      </c>
      <c r="P38" s="27">
        <f t="shared" si="4"/>
        <v>218611.54931398071</v>
      </c>
      <c r="Q38" s="27">
        <f>SUM(E38:P38)</f>
        <v>2661190.4970551739</v>
      </c>
    </row>
    <row r="39" spans="1:17" x14ac:dyDescent="0.25">
      <c r="A39" s="266"/>
      <c r="B39" s="15" t="s">
        <v>262</v>
      </c>
      <c r="C39" s="15" t="s">
        <v>160</v>
      </c>
      <c r="E39" s="27">
        <f>E38*1/13</f>
        <v>17299.911995264996</v>
      </c>
      <c r="F39" s="27">
        <f t="shared" ref="F39:P39" si="5">F38*1/13</f>
        <v>17247.317557429174</v>
      </c>
      <c r="G39" s="27">
        <f t="shared" si="5"/>
        <v>17194.723119593356</v>
      </c>
      <c r="H39" s="27">
        <f t="shared" si="5"/>
        <v>17142.128681757538</v>
      </c>
      <c r="I39" s="27">
        <f t="shared" si="5"/>
        <v>17089.534243921717</v>
      </c>
      <c r="J39" s="27">
        <f t="shared" si="5"/>
        <v>17036.939806085898</v>
      </c>
      <c r="K39" s="27">
        <f t="shared" si="5"/>
        <v>17082.528945142232</v>
      </c>
      <c r="L39" s="27">
        <f t="shared" si="5"/>
        <v>17029.277760944256</v>
      </c>
      <c r="M39" s="27">
        <f t="shared" si="5"/>
        <v>16976.026576746281</v>
      </c>
      <c r="N39" s="27">
        <f t="shared" si="5"/>
        <v>16922.775392548312</v>
      </c>
      <c r="O39" s="27">
        <f t="shared" si="5"/>
        <v>16869.524208350336</v>
      </c>
      <c r="P39" s="27">
        <f t="shared" si="5"/>
        <v>16816.27302415236</v>
      </c>
      <c r="Q39" s="27">
        <f>SUM(E39:P39)</f>
        <v>204706.96131193647</v>
      </c>
    </row>
    <row r="40" spans="1:17" x14ac:dyDescent="0.25">
      <c r="A40" s="266"/>
      <c r="B40" s="15" t="s">
        <v>264</v>
      </c>
      <c r="C40" s="15" t="s">
        <v>161</v>
      </c>
      <c r="E40" s="27">
        <f t="shared" ref="E40:P40" si="6">ROUND(E38-E39,2)</f>
        <v>207598.94</v>
      </c>
      <c r="F40" s="27">
        <f t="shared" si="6"/>
        <v>206967.81</v>
      </c>
      <c r="G40" s="27">
        <f t="shared" si="6"/>
        <v>206336.68</v>
      </c>
      <c r="H40" s="27">
        <f t="shared" si="6"/>
        <v>205705.54</v>
      </c>
      <c r="I40" s="27">
        <f t="shared" si="6"/>
        <v>205074.41</v>
      </c>
      <c r="J40" s="27">
        <f t="shared" si="6"/>
        <v>204443.28</v>
      </c>
      <c r="K40" s="27">
        <f t="shared" si="6"/>
        <v>204990.35</v>
      </c>
      <c r="L40" s="27">
        <f t="shared" si="6"/>
        <v>204351.33</v>
      </c>
      <c r="M40" s="27">
        <f t="shared" si="6"/>
        <v>203712.32</v>
      </c>
      <c r="N40" s="27">
        <f t="shared" si="6"/>
        <v>203073.3</v>
      </c>
      <c r="O40" s="27">
        <f t="shared" si="6"/>
        <v>202434.29</v>
      </c>
      <c r="P40" s="27">
        <f t="shared" si="6"/>
        <v>201795.28</v>
      </c>
      <c r="Q40" s="27">
        <f>SUM(E40:P40)</f>
        <v>2456483.5299999998</v>
      </c>
    </row>
    <row r="41" spans="1:17" x14ac:dyDescent="0.25">
      <c r="A41" s="266"/>
      <c r="B41" s="62"/>
      <c r="C41" s="65"/>
    </row>
    <row r="42" spans="1:17" x14ac:dyDescent="0.25">
      <c r="A42" s="43">
        <v>8</v>
      </c>
      <c r="B42" s="15" t="s">
        <v>424</v>
      </c>
      <c r="E42" s="269">
        <v>1</v>
      </c>
      <c r="F42" s="269">
        <v>1</v>
      </c>
      <c r="G42" s="269">
        <v>1</v>
      </c>
      <c r="H42" s="269">
        <v>1</v>
      </c>
      <c r="I42" s="269">
        <v>1</v>
      </c>
      <c r="J42" s="269">
        <v>1</v>
      </c>
      <c r="K42" s="269">
        <v>1</v>
      </c>
      <c r="L42" s="269">
        <v>1</v>
      </c>
      <c r="M42" s="269">
        <v>1</v>
      </c>
      <c r="N42" s="269">
        <v>1</v>
      </c>
      <c r="O42" s="269">
        <v>1</v>
      </c>
      <c r="P42" s="269">
        <v>1</v>
      </c>
    </row>
    <row r="43" spans="1:17" x14ac:dyDescent="0.25">
      <c r="A43" s="43">
        <v>9</v>
      </c>
      <c r="B43" s="15" t="s">
        <v>425</v>
      </c>
      <c r="E43" s="269">
        <v>0.9723427</v>
      </c>
      <c r="F43" s="269">
        <v>0.9723427</v>
      </c>
      <c r="G43" s="269">
        <v>0.9723427</v>
      </c>
      <c r="H43" s="269">
        <v>0.9723427</v>
      </c>
      <c r="I43" s="269">
        <v>0.9723427</v>
      </c>
      <c r="J43" s="269">
        <v>0.9723427</v>
      </c>
      <c r="K43" s="269">
        <v>0.9723427</v>
      </c>
      <c r="L43" s="269">
        <v>0.9723427</v>
      </c>
      <c r="M43" s="269">
        <v>0.9723427</v>
      </c>
      <c r="N43" s="269">
        <v>0.9723427</v>
      </c>
      <c r="O43" s="269">
        <v>0.9723427</v>
      </c>
      <c r="P43" s="269">
        <v>0.9723427</v>
      </c>
    </row>
    <row r="44" spans="1:17" x14ac:dyDescent="0.25">
      <c r="A44" s="43"/>
      <c r="B44" s="15"/>
      <c r="C44" s="65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</row>
    <row r="45" spans="1:17" x14ac:dyDescent="0.25">
      <c r="A45" s="43">
        <v>10</v>
      </c>
      <c r="B45" s="15" t="s">
        <v>426</v>
      </c>
      <c r="E45" s="27">
        <v>17320.671889659316</v>
      </c>
      <c r="F45" s="27">
        <v>17268.014338498091</v>
      </c>
      <c r="G45" s="27">
        <v>17215.35678733687</v>
      </c>
      <c r="H45" s="27">
        <v>17162.699236175649</v>
      </c>
      <c r="I45" s="27">
        <v>17110.041685014425</v>
      </c>
      <c r="J45" s="27">
        <v>17057.384133853204</v>
      </c>
      <c r="K45" s="27">
        <v>17103.027979876406</v>
      </c>
      <c r="L45" s="27">
        <v>17049.712894257391</v>
      </c>
      <c r="M45" s="27">
        <v>16996.39780863838</v>
      </c>
      <c r="N45" s="27">
        <v>16943.082723019372</v>
      </c>
      <c r="O45" s="27">
        <v>16889.767637400357</v>
      </c>
      <c r="P45" s="27">
        <v>16836.452551781345</v>
      </c>
      <c r="Q45" s="27">
        <f>SUM(E45:P45)</f>
        <v>204952.60966551083</v>
      </c>
    </row>
    <row r="46" spans="1:17" x14ac:dyDescent="0.25">
      <c r="A46" s="43">
        <v>11</v>
      </c>
      <c r="B46" s="15" t="s">
        <v>427</v>
      </c>
      <c r="E46" s="241">
        <f>E40*E43</f>
        <v>201857.313836738</v>
      </c>
      <c r="F46" s="241">
        <f t="shared" ref="F46:P46" si="7">F40*F43</f>
        <v>201243.639188487</v>
      </c>
      <c r="G46" s="241">
        <f t="shared" si="7"/>
        <v>200629.96454023599</v>
      </c>
      <c r="H46" s="241">
        <f t="shared" si="7"/>
        <v>200016.28016855801</v>
      </c>
      <c r="I46" s="241">
        <f t="shared" si="7"/>
        <v>199402.605520307</v>
      </c>
      <c r="J46" s="241">
        <f t="shared" si="7"/>
        <v>198788.93087205599</v>
      </c>
      <c r="K46" s="241">
        <f t="shared" si="7"/>
        <v>199320.87039294501</v>
      </c>
      <c r="L46" s="241">
        <f t="shared" si="7"/>
        <v>198699.52396079098</v>
      </c>
      <c r="M46" s="241">
        <f t="shared" si="7"/>
        <v>198078.187252064</v>
      </c>
      <c r="N46" s="241">
        <f t="shared" si="7"/>
        <v>197456.84081990999</v>
      </c>
      <c r="O46" s="241">
        <f t="shared" si="7"/>
        <v>196835.50411118302</v>
      </c>
      <c r="P46" s="241">
        <f t="shared" si="7"/>
        <v>196214.16740245599</v>
      </c>
      <c r="Q46" s="241">
        <f>SUM(E46:P46)</f>
        <v>2388543.8280657311</v>
      </c>
    </row>
    <row r="47" spans="1:17" ht="13" thickBot="1" x14ac:dyDescent="0.3">
      <c r="A47" s="43">
        <v>12</v>
      </c>
      <c r="B47" s="15" t="s">
        <v>428</v>
      </c>
      <c r="E47" s="270">
        <f t="shared" ref="E47:Q47" si="8">E45+E46</f>
        <v>219177.98572639731</v>
      </c>
      <c r="F47" s="270">
        <f t="shared" si="8"/>
        <v>218511.65352698509</v>
      </c>
      <c r="G47" s="270">
        <f t="shared" si="8"/>
        <v>217845.32132757286</v>
      </c>
      <c r="H47" s="270">
        <f t="shared" si="8"/>
        <v>217178.97940473366</v>
      </c>
      <c r="I47" s="270">
        <f t="shared" si="8"/>
        <v>216512.64720532141</v>
      </c>
      <c r="J47" s="270">
        <f t="shared" si="8"/>
        <v>215846.31500590919</v>
      </c>
      <c r="K47" s="270">
        <f t="shared" si="8"/>
        <v>216423.89837282142</v>
      </c>
      <c r="L47" s="270">
        <f t="shared" si="8"/>
        <v>215749.23685504837</v>
      </c>
      <c r="M47" s="270">
        <f t="shared" si="8"/>
        <v>215074.58506070237</v>
      </c>
      <c r="N47" s="270">
        <f t="shared" si="8"/>
        <v>214399.92354292938</v>
      </c>
      <c r="O47" s="270">
        <f t="shared" si="8"/>
        <v>213725.27174858339</v>
      </c>
      <c r="P47" s="270">
        <f t="shared" si="8"/>
        <v>213050.61995423734</v>
      </c>
      <c r="Q47" s="270">
        <f t="shared" si="8"/>
        <v>2593496.4377312418</v>
      </c>
    </row>
    <row r="48" spans="1:17" ht="13" thickTop="1" x14ac:dyDescent="0.25">
      <c r="A48" s="266"/>
      <c r="B48" s="62"/>
    </row>
    <row r="49" spans="1:3" x14ac:dyDescent="0.25">
      <c r="A49" s="15" t="s">
        <v>53</v>
      </c>
      <c r="B49" s="15"/>
    </row>
    <row r="50" spans="1:3" x14ac:dyDescent="0.25">
      <c r="A50" s="58" t="s">
        <v>168</v>
      </c>
      <c r="B50" s="15" t="s">
        <v>429</v>
      </c>
    </row>
    <row r="51" spans="1:3" x14ac:dyDescent="0.25">
      <c r="A51" s="58" t="s">
        <v>170</v>
      </c>
      <c r="B51" s="15" t="s">
        <v>430</v>
      </c>
    </row>
    <row r="52" spans="1:3" x14ac:dyDescent="0.25">
      <c r="A52" s="58" t="s">
        <v>255</v>
      </c>
      <c r="B52" s="15" t="s">
        <v>431</v>
      </c>
    </row>
    <row r="53" spans="1:3" x14ac:dyDescent="0.25">
      <c r="A53" s="58" t="s">
        <v>295</v>
      </c>
      <c r="B53" s="15" t="s">
        <v>296</v>
      </c>
    </row>
    <row r="54" spans="1:3" x14ac:dyDescent="0.25">
      <c r="A54" s="15" t="s">
        <v>297</v>
      </c>
      <c r="B54" s="15" t="s">
        <v>431</v>
      </c>
    </row>
    <row r="55" spans="1:3" x14ac:dyDescent="0.25">
      <c r="A55" s="15" t="s">
        <v>299</v>
      </c>
      <c r="B55" s="15" t="s">
        <v>432</v>
      </c>
    </row>
    <row r="56" spans="1:3" x14ac:dyDescent="0.25">
      <c r="A56" s="15" t="s">
        <v>301</v>
      </c>
      <c r="B56" s="15" t="s">
        <v>433</v>
      </c>
    </row>
    <row r="57" spans="1:3" x14ac:dyDescent="0.25">
      <c r="A57" s="15" t="s">
        <v>303</v>
      </c>
      <c r="B57" s="15" t="s">
        <v>434</v>
      </c>
    </row>
    <row r="58" spans="1:3" x14ac:dyDescent="0.25">
      <c r="A58" s="11" t="s">
        <v>305</v>
      </c>
      <c r="B58" s="23" t="s">
        <v>308</v>
      </c>
      <c r="C58" s="1"/>
    </row>
    <row r="59" spans="1:3" x14ac:dyDescent="0.25">
      <c r="A59" s="11" t="s">
        <v>307</v>
      </c>
      <c r="B59" s="23" t="s">
        <v>310</v>
      </c>
      <c r="C59" s="1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4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colBreaks count="1" manualBreakCount="1">
    <brk id="17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0581-1182-4E11-8DEE-85156E8B6146}">
  <dimension ref="A1:P263"/>
  <sheetViews>
    <sheetView view="pageBreakPreview" zoomScale="90" zoomScaleNormal="100" zoomScaleSheetLayoutView="90" workbookViewId="0">
      <selection activeCell="Q28" sqref="Q28"/>
    </sheetView>
  </sheetViews>
  <sheetFormatPr defaultColWidth="8.58203125" defaultRowHeight="12.5" x14ac:dyDescent="0.25"/>
  <cols>
    <col min="1" max="1" width="8.58203125" style="43"/>
    <col min="2" max="2" width="42.08203125" style="43" bestFit="1" customWidth="1"/>
    <col min="3" max="3" width="26.25" style="27" customWidth="1"/>
    <col min="4" max="4" width="14.33203125" style="43" customWidth="1"/>
    <col min="5" max="5" width="15.58203125" style="27" customWidth="1"/>
    <col min="6" max="6" width="16" style="27" bestFit="1" customWidth="1"/>
    <col min="7" max="7" width="14.08203125" style="27" customWidth="1"/>
    <col min="8" max="8" width="12" style="27" customWidth="1"/>
    <col min="9" max="9" width="15.83203125" style="27" customWidth="1"/>
    <col min="10" max="10" width="13.83203125" style="275" customWidth="1"/>
    <col min="11" max="11" width="13.5" style="27" bestFit="1" customWidth="1"/>
    <col min="12" max="16384" width="8.58203125" style="27"/>
  </cols>
  <sheetData>
    <row r="1" spans="1:16" ht="14" x14ac:dyDescent="0.3">
      <c r="A1" s="271" t="s">
        <v>435</v>
      </c>
      <c r="B1" s="272"/>
      <c r="F1" s="66"/>
      <c r="H1" s="273"/>
      <c r="I1" s="273"/>
      <c r="J1" s="2" t="s">
        <v>580</v>
      </c>
      <c r="L1" s="43"/>
      <c r="M1" s="43"/>
      <c r="P1" s="59"/>
    </row>
    <row r="2" spans="1:16" ht="14" x14ac:dyDescent="0.3">
      <c r="A2" s="271"/>
      <c r="F2" s="66"/>
      <c r="J2" s="274"/>
      <c r="L2" s="43"/>
      <c r="M2" s="43"/>
      <c r="P2" s="59"/>
    </row>
    <row r="3" spans="1:16" ht="13" thickBot="1" x14ac:dyDescent="0.3">
      <c r="A3" s="15"/>
      <c r="F3" s="66"/>
      <c r="L3" s="43"/>
      <c r="M3" s="43"/>
      <c r="P3" s="59"/>
    </row>
    <row r="4" spans="1:16" ht="26.5" thickBot="1" x14ac:dyDescent="0.35">
      <c r="A4" s="276" t="s">
        <v>436</v>
      </c>
      <c r="B4" s="277" t="s">
        <v>437</v>
      </c>
      <c r="C4" s="278" t="s">
        <v>438</v>
      </c>
      <c r="D4" s="279" t="s">
        <v>439</v>
      </c>
      <c r="E4" s="280" t="s">
        <v>440</v>
      </c>
      <c r="F4" s="277" t="s">
        <v>438</v>
      </c>
      <c r="G4" s="280" t="s">
        <v>441</v>
      </c>
      <c r="H4" s="280" t="s">
        <v>442</v>
      </c>
      <c r="I4" s="276" t="s">
        <v>443</v>
      </c>
      <c r="J4" s="281" t="s">
        <v>444</v>
      </c>
      <c r="K4" s="282"/>
    </row>
    <row r="5" spans="1:16" x14ac:dyDescent="0.25">
      <c r="A5" s="43">
        <v>1</v>
      </c>
      <c r="B5" s="15" t="s">
        <v>445</v>
      </c>
      <c r="C5" s="27" t="s">
        <v>269</v>
      </c>
      <c r="D5" s="43" t="s">
        <v>446</v>
      </c>
      <c r="E5" s="27">
        <v>0</v>
      </c>
      <c r="F5" s="27">
        <v>83953.9</v>
      </c>
      <c r="G5" s="27">
        <v>3997.804122256</v>
      </c>
      <c r="H5" s="27">
        <v>0</v>
      </c>
      <c r="I5" s="27">
        <v>83953.9</v>
      </c>
      <c r="M5" s="283"/>
      <c r="N5" s="283"/>
    </row>
    <row r="6" spans="1:16" x14ac:dyDescent="0.25">
      <c r="A6" s="43">
        <v>2</v>
      </c>
      <c r="B6" s="15" t="s">
        <v>447</v>
      </c>
      <c r="C6" s="27" t="s">
        <v>448</v>
      </c>
      <c r="D6" s="43" t="s">
        <v>449</v>
      </c>
      <c r="E6" s="27">
        <v>0</v>
      </c>
      <c r="F6" s="27">
        <v>33657086.649999991</v>
      </c>
      <c r="G6" s="27">
        <v>-1086224.7826521543</v>
      </c>
      <c r="H6" s="27">
        <v>0</v>
      </c>
      <c r="I6" s="27">
        <v>8538323.359999992</v>
      </c>
      <c r="J6" s="275">
        <v>0.33333332999999998</v>
      </c>
    </row>
    <row r="7" spans="1:16" x14ac:dyDescent="0.25">
      <c r="A7" s="43">
        <v>3</v>
      </c>
      <c r="B7" s="283" t="s">
        <v>450</v>
      </c>
      <c r="C7" s="27" t="s">
        <v>448</v>
      </c>
      <c r="D7" s="43" t="s">
        <v>449</v>
      </c>
      <c r="E7" s="27">
        <v>0</v>
      </c>
      <c r="F7" s="27">
        <v>0</v>
      </c>
      <c r="G7" s="27">
        <v>-1499322.21</v>
      </c>
      <c r="H7" s="27">
        <v>0</v>
      </c>
      <c r="I7" s="27">
        <v>0</v>
      </c>
      <c r="J7" s="275">
        <v>0.33333332999999998</v>
      </c>
    </row>
    <row r="8" spans="1:16" x14ac:dyDescent="0.25">
      <c r="A8" s="43">
        <v>4</v>
      </c>
      <c r="B8" s="283" t="s">
        <v>451</v>
      </c>
      <c r="C8" s="27" t="s">
        <v>452</v>
      </c>
      <c r="D8" s="43" t="s">
        <v>446</v>
      </c>
      <c r="E8" s="27">
        <v>0</v>
      </c>
      <c r="F8" s="27">
        <v>143758.97</v>
      </c>
      <c r="G8" s="27">
        <v>98815.796035697145</v>
      </c>
      <c r="H8" s="27">
        <v>0</v>
      </c>
      <c r="I8" s="27">
        <v>143758.97</v>
      </c>
      <c r="J8" s="275">
        <v>1.190476E-2</v>
      </c>
    </row>
    <row r="9" spans="1:16" x14ac:dyDescent="0.25">
      <c r="A9" s="43">
        <v>4</v>
      </c>
      <c r="B9" s="283" t="s">
        <v>451</v>
      </c>
      <c r="C9" s="27" t="s">
        <v>448</v>
      </c>
      <c r="D9" s="43" t="s">
        <v>449</v>
      </c>
      <c r="E9" s="27">
        <v>-1.1652900866465643E-12</v>
      </c>
      <c r="F9" s="27">
        <v>13384172.650000002</v>
      </c>
      <c r="G9" s="27">
        <v>-3770078.802192111</v>
      </c>
      <c r="H9" s="27">
        <v>0</v>
      </c>
      <c r="I9" s="27">
        <v>13384172.650000002</v>
      </c>
      <c r="J9" s="275">
        <v>0.33333332999999998</v>
      </c>
    </row>
    <row r="10" spans="1:16" x14ac:dyDescent="0.25">
      <c r="A10" s="43">
        <v>5</v>
      </c>
      <c r="B10" s="15" t="s">
        <v>453</v>
      </c>
      <c r="C10" s="27" t="s">
        <v>448</v>
      </c>
      <c r="D10" s="43" t="s">
        <v>449</v>
      </c>
      <c r="E10" s="27">
        <v>2.7755575615628914E-17</v>
      </c>
      <c r="F10" s="27">
        <v>4086636.43</v>
      </c>
      <c r="G10" s="27">
        <v>-548731.11892877601</v>
      </c>
      <c r="H10" s="27">
        <v>0</v>
      </c>
      <c r="I10" s="27">
        <v>4086636.43</v>
      </c>
      <c r="J10" s="275">
        <v>0.33333332999999998</v>
      </c>
    </row>
    <row r="11" spans="1:16" x14ac:dyDescent="0.25">
      <c r="A11" s="43">
        <v>5</v>
      </c>
      <c r="B11" s="15" t="s">
        <v>453</v>
      </c>
      <c r="C11" s="27" t="s">
        <v>452</v>
      </c>
      <c r="D11" s="43" t="s">
        <v>446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5">
        <v>1.190476E-2</v>
      </c>
    </row>
    <row r="12" spans="1:16" x14ac:dyDescent="0.25">
      <c r="A12" s="43">
        <v>5</v>
      </c>
      <c r="B12" s="15" t="s">
        <v>453</v>
      </c>
      <c r="C12" s="27" t="s">
        <v>454</v>
      </c>
      <c r="D12" s="43" t="s">
        <v>449</v>
      </c>
      <c r="E12" s="27">
        <v>0</v>
      </c>
      <c r="F12" s="27">
        <v>67460.66</v>
      </c>
      <c r="G12" s="27">
        <v>21119.188800000004</v>
      </c>
      <c r="H12" s="27">
        <v>0</v>
      </c>
      <c r="I12" s="27">
        <v>67460.66</v>
      </c>
      <c r="J12" s="275">
        <v>0.25</v>
      </c>
    </row>
    <row r="13" spans="1:16" x14ac:dyDescent="0.25">
      <c r="A13" s="43">
        <v>5</v>
      </c>
      <c r="B13" s="15" t="s">
        <v>453</v>
      </c>
      <c r="C13" s="27" t="s">
        <v>455</v>
      </c>
      <c r="D13" s="43" t="s">
        <v>449</v>
      </c>
      <c r="E13" s="27">
        <v>0</v>
      </c>
      <c r="F13" s="27">
        <v>558685.85</v>
      </c>
      <c r="G13" s="27">
        <v>261022.28354999993</v>
      </c>
      <c r="H13" s="27">
        <v>0</v>
      </c>
      <c r="I13" s="27">
        <v>558685.85</v>
      </c>
      <c r="J13" s="275">
        <v>0.25</v>
      </c>
    </row>
    <row r="14" spans="1:16" x14ac:dyDescent="0.25">
      <c r="A14" s="43">
        <v>6</v>
      </c>
      <c r="B14" s="15" t="s">
        <v>456</v>
      </c>
      <c r="C14" s="27" t="s">
        <v>457</v>
      </c>
      <c r="D14" s="43" t="s">
        <v>449</v>
      </c>
      <c r="E14" s="27">
        <v>294900.01</v>
      </c>
      <c r="F14" s="27">
        <f>85153.49+999845.5+549020+1141000.49</f>
        <v>2775019.48</v>
      </c>
      <c r="G14" s="59">
        <f>12061.5604326564-1604438.77+234446.68+171548.98</f>
        <v>-1186381.5495673437</v>
      </c>
      <c r="H14" s="27">
        <v>0</v>
      </c>
      <c r="I14" s="27">
        <v>2775019.48</v>
      </c>
      <c r="J14" s="275">
        <v>0.25833332999999997</v>
      </c>
    </row>
    <row r="15" spans="1:16" x14ac:dyDescent="0.25">
      <c r="A15" s="43">
        <v>6</v>
      </c>
      <c r="B15" s="15" t="s">
        <v>456</v>
      </c>
      <c r="C15" s="27" t="s">
        <v>458</v>
      </c>
      <c r="D15" s="43" t="s">
        <v>449</v>
      </c>
      <c r="E15" s="27">
        <v>0</v>
      </c>
      <c r="F15" s="27">
        <v>339155.88</v>
      </c>
      <c r="G15" s="27">
        <v>44763.794002610368</v>
      </c>
      <c r="H15" s="27">
        <v>0</v>
      </c>
      <c r="I15" s="27">
        <v>339155.88</v>
      </c>
      <c r="J15" s="275">
        <v>0.14166666999999999</v>
      </c>
    </row>
    <row r="16" spans="1:16" x14ac:dyDescent="0.25">
      <c r="A16" s="43">
        <v>6</v>
      </c>
      <c r="B16" s="15" t="s">
        <v>456</v>
      </c>
      <c r="C16" s="27" t="s">
        <v>459</v>
      </c>
      <c r="D16" s="43" t="s">
        <v>449</v>
      </c>
      <c r="E16" s="27">
        <v>0</v>
      </c>
      <c r="F16" s="27">
        <v>131647.84</v>
      </c>
      <c r="G16" s="27">
        <v>82745.414337890077</v>
      </c>
      <c r="H16" s="27">
        <v>0</v>
      </c>
      <c r="I16" s="27">
        <v>608647.84</v>
      </c>
      <c r="J16" s="275">
        <v>0.25833332999999997</v>
      </c>
    </row>
    <row r="17" spans="1:10" x14ac:dyDescent="0.25">
      <c r="A17" s="43">
        <v>7</v>
      </c>
      <c r="B17" s="15" t="s">
        <v>460</v>
      </c>
      <c r="C17" s="27" t="s">
        <v>448</v>
      </c>
      <c r="D17" s="43" t="s">
        <v>449</v>
      </c>
      <c r="E17" s="27">
        <v>0</v>
      </c>
      <c r="F17" s="27">
        <v>149949.59</v>
      </c>
      <c r="G17" s="27">
        <v>98670.360393336712</v>
      </c>
      <c r="H17" s="27">
        <v>0</v>
      </c>
      <c r="I17" s="27">
        <v>149949.59</v>
      </c>
      <c r="J17" s="275">
        <v>0.33333332999999998</v>
      </c>
    </row>
    <row r="18" spans="1:10" x14ac:dyDescent="0.25">
      <c r="A18" s="43">
        <v>7</v>
      </c>
      <c r="B18" s="15" t="s">
        <v>460</v>
      </c>
      <c r="C18" s="27" t="s">
        <v>461</v>
      </c>
      <c r="D18" s="43" t="s">
        <v>449</v>
      </c>
      <c r="E18" s="27">
        <v>0</v>
      </c>
      <c r="F18" s="27">
        <v>0</v>
      </c>
      <c r="G18" s="27">
        <v>-47811.14</v>
      </c>
      <c r="H18" s="27">
        <v>0</v>
      </c>
      <c r="I18" s="27">
        <v>0</v>
      </c>
      <c r="J18" s="275">
        <v>0.39166666999999999</v>
      </c>
    </row>
    <row r="19" spans="1:10" x14ac:dyDescent="0.25">
      <c r="A19" s="43">
        <v>8</v>
      </c>
      <c r="B19" s="27" t="s">
        <v>462</v>
      </c>
      <c r="C19" s="27" t="s">
        <v>448</v>
      </c>
      <c r="D19" s="43" t="s">
        <v>449</v>
      </c>
      <c r="E19" s="27">
        <v>0</v>
      </c>
      <c r="F19" s="27">
        <v>0</v>
      </c>
      <c r="G19" s="27">
        <v>-531926.02</v>
      </c>
      <c r="H19" s="27">
        <v>0</v>
      </c>
      <c r="I19" s="27">
        <v>0</v>
      </c>
      <c r="J19" s="275">
        <v>0.33333332999999998</v>
      </c>
    </row>
    <row r="20" spans="1:10" x14ac:dyDescent="0.25">
      <c r="A20" s="43">
        <v>9</v>
      </c>
      <c r="B20" s="27" t="s">
        <v>463</v>
      </c>
      <c r="C20" s="27" t="s">
        <v>448</v>
      </c>
      <c r="D20" s="43" t="s">
        <v>449</v>
      </c>
      <c r="E20" s="27">
        <v>0</v>
      </c>
      <c r="F20" s="27">
        <v>380697.06</v>
      </c>
      <c r="G20" s="27">
        <v>258868.94335461996</v>
      </c>
      <c r="H20" s="27">
        <v>0</v>
      </c>
      <c r="I20" s="27">
        <v>380697.06</v>
      </c>
      <c r="J20" s="275">
        <v>0.33333332999999998</v>
      </c>
    </row>
    <row r="21" spans="1:10" x14ac:dyDescent="0.25">
      <c r="A21" s="43">
        <v>10</v>
      </c>
      <c r="B21" s="27" t="s">
        <v>464</v>
      </c>
      <c r="C21" s="27" t="s">
        <v>448</v>
      </c>
      <c r="D21" s="43" t="s">
        <v>449</v>
      </c>
      <c r="E21" s="27">
        <v>0</v>
      </c>
      <c r="F21" s="27">
        <v>20967.64</v>
      </c>
      <c r="G21" s="27">
        <v>52562.256713768838</v>
      </c>
      <c r="H21" s="27">
        <v>0</v>
      </c>
      <c r="I21" s="27">
        <v>20967.64</v>
      </c>
      <c r="J21" s="275">
        <v>0.33333332999999998</v>
      </c>
    </row>
    <row r="22" spans="1:10" x14ac:dyDescent="0.25">
      <c r="A22" s="43">
        <v>11</v>
      </c>
      <c r="B22" s="27" t="s">
        <v>465</v>
      </c>
      <c r="C22" s="27" t="s">
        <v>448</v>
      </c>
      <c r="D22" s="43" t="s">
        <v>449</v>
      </c>
      <c r="E22" s="27">
        <v>0</v>
      </c>
      <c r="F22" s="27">
        <v>101495.06</v>
      </c>
      <c r="G22" s="27">
        <v>88134.480706566828</v>
      </c>
      <c r="H22" s="27">
        <v>0</v>
      </c>
      <c r="I22" s="27">
        <v>50747.519999999997</v>
      </c>
      <c r="J22" s="275">
        <v>0.33333332999999998</v>
      </c>
    </row>
    <row r="23" spans="1:10" x14ac:dyDescent="0.25">
      <c r="A23" s="43">
        <v>12</v>
      </c>
      <c r="B23" s="27" t="s">
        <v>466</v>
      </c>
      <c r="C23" s="27" t="s">
        <v>448</v>
      </c>
      <c r="D23" s="43" t="s">
        <v>449</v>
      </c>
      <c r="E23" s="27">
        <v>0</v>
      </c>
      <c r="F23" s="27">
        <v>59542.78</v>
      </c>
      <c r="G23" s="27">
        <v>52023.103602697185</v>
      </c>
      <c r="H23" s="27">
        <v>0</v>
      </c>
      <c r="I23" s="27">
        <v>59542.78</v>
      </c>
      <c r="J23" s="275">
        <v>0.33333332999999998</v>
      </c>
    </row>
    <row r="24" spans="1:10" x14ac:dyDescent="0.25">
      <c r="A24" s="43">
        <v>13</v>
      </c>
      <c r="B24" s="27" t="s">
        <v>467</v>
      </c>
      <c r="C24" s="27" t="s">
        <v>468</v>
      </c>
      <c r="D24" s="43" t="s">
        <v>449</v>
      </c>
      <c r="E24" s="27">
        <v>0</v>
      </c>
      <c r="F24" s="27">
        <v>284621.74</v>
      </c>
      <c r="G24" s="27">
        <v>140870.54566769188</v>
      </c>
      <c r="H24" s="27">
        <v>0</v>
      </c>
      <c r="I24" s="27">
        <v>0</v>
      </c>
      <c r="J24" s="275">
        <v>0.33333332999999998</v>
      </c>
    </row>
    <row r="25" spans="1:10" x14ac:dyDescent="0.25">
      <c r="A25" s="43">
        <v>13</v>
      </c>
      <c r="B25" s="27" t="s">
        <v>467</v>
      </c>
      <c r="C25" s="27" t="s">
        <v>360</v>
      </c>
      <c r="D25" s="43" t="s">
        <v>449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10" x14ac:dyDescent="0.25">
      <c r="A26" s="43">
        <v>14</v>
      </c>
      <c r="B26" s="27" t="s">
        <v>469</v>
      </c>
      <c r="C26" s="27" t="s">
        <v>461</v>
      </c>
      <c r="D26" s="43" t="s">
        <v>449</v>
      </c>
      <c r="E26" s="27">
        <v>0</v>
      </c>
      <c r="F26" s="27">
        <v>2764378.66</v>
      </c>
      <c r="G26" s="27">
        <v>2186795.1874276274</v>
      </c>
      <c r="H26" s="27">
        <v>0</v>
      </c>
      <c r="I26" s="27">
        <v>2764378.66</v>
      </c>
      <c r="J26" s="275">
        <v>0.39166666999999999</v>
      </c>
    </row>
    <row r="27" spans="1:10" x14ac:dyDescent="0.25">
      <c r="A27" s="43">
        <v>15</v>
      </c>
      <c r="B27" s="27" t="s">
        <v>470</v>
      </c>
      <c r="C27" s="27" t="s">
        <v>461</v>
      </c>
      <c r="D27" s="43" t="s">
        <v>449</v>
      </c>
      <c r="E27" s="27">
        <v>464657.67</v>
      </c>
      <c r="F27" s="27">
        <v>178961.88999999998</v>
      </c>
      <c r="G27" s="27">
        <v>-128006.57813973579</v>
      </c>
      <c r="H27" s="27">
        <v>0</v>
      </c>
      <c r="I27" s="27">
        <v>643619.55999999994</v>
      </c>
      <c r="J27" s="275">
        <v>0.39166666999999999</v>
      </c>
    </row>
    <row r="28" spans="1:10" x14ac:dyDescent="0.25">
      <c r="A28" s="43">
        <v>16</v>
      </c>
      <c r="B28" s="27" t="s">
        <v>471</v>
      </c>
      <c r="C28" s="27" t="s">
        <v>472</v>
      </c>
      <c r="D28" s="43" t="s">
        <v>449</v>
      </c>
      <c r="E28" s="27">
        <v>0</v>
      </c>
      <c r="F28" s="27">
        <v>14939561.080000002</v>
      </c>
      <c r="G28" s="27">
        <v>6833020.7424125001</v>
      </c>
      <c r="H28" s="27">
        <v>0</v>
      </c>
      <c r="I28" s="27">
        <v>14939561.080000002</v>
      </c>
      <c r="J28" s="275">
        <v>0.25</v>
      </c>
    </row>
    <row r="29" spans="1:10" x14ac:dyDescent="0.25">
      <c r="A29" s="43">
        <v>16</v>
      </c>
      <c r="B29" s="27" t="s">
        <v>471</v>
      </c>
      <c r="C29" s="27" t="s">
        <v>269</v>
      </c>
      <c r="D29" s="43" t="s">
        <v>449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10" x14ac:dyDescent="0.25">
      <c r="A30" s="43">
        <v>17</v>
      </c>
      <c r="B30" s="27" t="s">
        <v>473</v>
      </c>
      <c r="C30" s="27" t="s">
        <v>461</v>
      </c>
      <c r="D30" s="43" t="s">
        <v>449</v>
      </c>
      <c r="E30" s="27">
        <v>574610.04000000155</v>
      </c>
      <c r="F30" s="27">
        <v>21018243.130000003</v>
      </c>
      <c r="G30" s="27">
        <v>2473935.7727231965</v>
      </c>
      <c r="H30" s="27">
        <v>0</v>
      </c>
      <c r="I30" s="27">
        <v>21590761.170000002</v>
      </c>
      <c r="J30" s="275">
        <v>0.39166666999999999</v>
      </c>
    </row>
    <row r="31" spans="1:10" x14ac:dyDescent="0.25">
      <c r="A31" s="43">
        <v>18</v>
      </c>
      <c r="B31" s="27" t="s">
        <v>474</v>
      </c>
      <c r="C31" s="27" t="s">
        <v>269</v>
      </c>
      <c r="D31" s="43" t="s">
        <v>449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10" x14ac:dyDescent="0.25">
      <c r="A32" s="43">
        <v>19</v>
      </c>
      <c r="B32" s="27" t="s">
        <v>475</v>
      </c>
      <c r="C32" s="27" t="s">
        <v>448</v>
      </c>
      <c r="D32" s="43" t="s">
        <v>449</v>
      </c>
      <c r="E32" s="27">
        <v>443813.4600000002</v>
      </c>
      <c r="F32" s="27">
        <v>118758299.18000004</v>
      </c>
      <c r="G32" s="27">
        <v>37717456.2876091</v>
      </c>
      <c r="H32" s="27">
        <f>197736</f>
        <v>197736</v>
      </c>
      <c r="I32" s="27">
        <v>38486221.460000023</v>
      </c>
      <c r="J32" s="275">
        <v>0.33333332999999998</v>
      </c>
    </row>
    <row r="33" spans="1:10" x14ac:dyDescent="0.25">
      <c r="A33" s="43">
        <v>19</v>
      </c>
      <c r="B33" s="27" t="s">
        <v>475</v>
      </c>
      <c r="C33" s="27" t="s">
        <v>452</v>
      </c>
      <c r="D33" s="43" t="s">
        <v>446</v>
      </c>
      <c r="E33" s="27">
        <v>9.0949470177292824E-13</v>
      </c>
      <c r="F33" s="27">
        <v>825619.53999999992</v>
      </c>
      <c r="G33" s="27">
        <v>538081.55616998405</v>
      </c>
      <c r="H33" s="27">
        <v>0</v>
      </c>
      <c r="I33" s="27">
        <v>825619.53999999992</v>
      </c>
      <c r="J33" s="275">
        <v>1.190476E-2</v>
      </c>
    </row>
    <row r="34" spans="1:10" x14ac:dyDescent="0.25">
      <c r="A34" s="43">
        <v>20</v>
      </c>
      <c r="B34" s="27" t="s">
        <v>476</v>
      </c>
      <c r="C34" s="27" t="s">
        <v>448</v>
      </c>
      <c r="D34" s="43" t="s">
        <v>449</v>
      </c>
      <c r="E34" s="27">
        <v>0</v>
      </c>
      <c r="F34" s="27">
        <v>919835.54</v>
      </c>
      <c r="G34" s="27">
        <v>420001.7396920108</v>
      </c>
      <c r="H34" s="27">
        <v>0</v>
      </c>
      <c r="I34" s="27">
        <v>919835.54</v>
      </c>
      <c r="J34" s="275">
        <v>0.33333332999999998</v>
      </c>
    </row>
    <row r="35" spans="1:10" x14ac:dyDescent="0.25">
      <c r="A35" s="43">
        <v>20</v>
      </c>
      <c r="B35" s="27" t="s">
        <v>476</v>
      </c>
      <c r="C35" s="27" t="s">
        <v>477</v>
      </c>
      <c r="D35" s="43" t="s">
        <v>446</v>
      </c>
      <c r="E35" s="27">
        <v>0</v>
      </c>
      <c r="F35" s="27">
        <v>13194.65</v>
      </c>
      <c r="G35" s="27">
        <v>5654.8791415339983</v>
      </c>
      <c r="H35" s="27">
        <v>0</v>
      </c>
      <c r="I35" s="27">
        <v>13194.65</v>
      </c>
      <c r="J35" s="275">
        <v>1.190476E-2</v>
      </c>
    </row>
    <row r="36" spans="1:10" x14ac:dyDescent="0.25">
      <c r="A36" s="43">
        <v>20</v>
      </c>
      <c r="B36" s="27" t="s">
        <v>476</v>
      </c>
      <c r="C36" s="27" t="s">
        <v>461</v>
      </c>
      <c r="D36" s="43" t="s">
        <v>449</v>
      </c>
      <c r="E36" s="27">
        <v>0</v>
      </c>
      <c r="F36" s="27">
        <v>14894.619999999999</v>
      </c>
      <c r="G36" s="27">
        <v>4925.2547043263094</v>
      </c>
      <c r="H36" s="27">
        <v>0</v>
      </c>
      <c r="I36" s="27">
        <v>14894.619999999999</v>
      </c>
      <c r="J36" s="275">
        <v>0.39166666999999999</v>
      </c>
    </row>
    <row r="37" spans="1:10" x14ac:dyDescent="0.25">
      <c r="A37" s="43">
        <v>21</v>
      </c>
      <c r="B37" s="27" t="s">
        <v>478</v>
      </c>
      <c r="C37" s="27" t="s">
        <v>448</v>
      </c>
      <c r="D37" s="43" t="s">
        <v>449</v>
      </c>
      <c r="E37" s="27">
        <v>0</v>
      </c>
      <c r="F37" s="27">
        <v>0</v>
      </c>
      <c r="G37" s="27">
        <v>33155.497034000007</v>
      </c>
      <c r="H37" s="27">
        <v>0</v>
      </c>
      <c r="I37" s="27">
        <v>0</v>
      </c>
      <c r="J37" s="275">
        <v>0.33333332999999998</v>
      </c>
    </row>
    <row r="38" spans="1:10" x14ac:dyDescent="0.25">
      <c r="A38" s="43">
        <v>22</v>
      </c>
      <c r="B38" s="27" t="s">
        <v>479</v>
      </c>
      <c r="C38" s="27" t="s">
        <v>468</v>
      </c>
      <c r="D38" s="43" t="s">
        <v>449</v>
      </c>
      <c r="E38" s="27">
        <v>0</v>
      </c>
      <c r="F38" s="27">
        <v>13895638.689999999</v>
      </c>
      <c r="G38" s="27">
        <v>5822857.0936567886</v>
      </c>
      <c r="H38" s="27">
        <v>0</v>
      </c>
      <c r="I38" s="27">
        <v>0</v>
      </c>
      <c r="J38" s="275">
        <v>0.33333332999999998</v>
      </c>
    </row>
    <row r="39" spans="1:10" x14ac:dyDescent="0.25">
      <c r="A39" s="43">
        <v>23</v>
      </c>
      <c r="B39" s="27" t="s">
        <v>480</v>
      </c>
      <c r="C39" s="27" t="s">
        <v>269</v>
      </c>
      <c r="D39" s="43" t="s">
        <v>449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10" x14ac:dyDescent="0.25">
      <c r="A40" s="43">
        <v>24</v>
      </c>
      <c r="B40" s="27" t="s">
        <v>481</v>
      </c>
      <c r="C40" s="27" t="s">
        <v>448</v>
      </c>
      <c r="D40" s="43" t="s">
        <v>449</v>
      </c>
      <c r="E40" s="27">
        <v>533263.93000000005</v>
      </c>
      <c r="F40" s="27">
        <v>19748717.050000016</v>
      </c>
      <c r="G40" s="27">
        <v>6413268.466137086</v>
      </c>
      <c r="H40" s="27">
        <v>0</v>
      </c>
      <c r="I40" s="27">
        <v>15156528.470000016</v>
      </c>
      <c r="J40" s="275">
        <v>0.33333332999999998</v>
      </c>
    </row>
    <row r="41" spans="1:10" x14ac:dyDescent="0.25">
      <c r="A41" s="43">
        <v>25</v>
      </c>
      <c r="B41" s="27" t="s">
        <v>482</v>
      </c>
      <c r="C41" s="27" t="s">
        <v>448</v>
      </c>
      <c r="D41" s="43" t="s">
        <v>449</v>
      </c>
      <c r="E41" s="27">
        <v>0</v>
      </c>
      <c r="F41" s="27">
        <v>6153140.1699999999</v>
      </c>
      <c r="G41" s="27">
        <v>2887108.0096664596</v>
      </c>
      <c r="H41" s="27">
        <v>0</v>
      </c>
      <c r="I41" s="27">
        <v>9372326.9299999997</v>
      </c>
      <c r="J41" s="275">
        <v>0.33333332999999998</v>
      </c>
    </row>
    <row r="42" spans="1:10" x14ac:dyDescent="0.25">
      <c r="A42" s="43">
        <v>25</v>
      </c>
      <c r="B42" s="27" t="s">
        <v>482</v>
      </c>
      <c r="C42" s="27" t="s">
        <v>461</v>
      </c>
      <c r="D42" s="43" t="s">
        <v>449</v>
      </c>
      <c r="E42" s="27">
        <v>1055.5999999999999</v>
      </c>
      <c r="F42" s="27">
        <v>3798266.2</v>
      </c>
      <c r="G42" s="27">
        <v>66786.180936551085</v>
      </c>
      <c r="H42" s="27">
        <v>0</v>
      </c>
      <c r="I42" s="27">
        <v>3798266.2</v>
      </c>
      <c r="J42" s="275">
        <v>0.39166666999999999</v>
      </c>
    </row>
    <row r="43" spans="1:10" x14ac:dyDescent="0.25">
      <c r="A43" s="43">
        <v>26</v>
      </c>
      <c r="B43" s="15" t="s">
        <v>483</v>
      </c>
      <c r="C43" s="27" t="s">
        <v>448</v>
      </c>
      <c r="D43" s="43" t="s">
        <v>449</v>
      </c>
      <c r="E43" s="27">
        <v>120206.37999999976</v>
      </c>
      <c r="F43" s="27">
        <v>193354216.53000009</v>
      </c>
      <c r="G43" s="27">
        <v>45908358.331188709</v>
      </c>
      <c r="H43" s="27">
        <v>116428</v>
      </c>
      <c r="I43" s="27">
        <v>193354418.9900001</v>
      </c>
      <c r="J43" s="275">
        <v>0.33333332999999998</v>
      </c>
    </row>
    <row r="44" spans="1:10" x14ac:dyDescent="0.25">
      <c r="A44" s="43">
        <v>26</v>
      </c>
      <c r="B44" s="15" t="s">
        <v>483</v>
      </c>
      <c r="C44" s="27" t="s">
        <v>484</v>
      </c>
      <c r="D44" s="43" t="s">
        <v>449</v>
      </c>
      <c r="E44" s="27">
        <v>5.6843418860808015E-13</v>
      </c>
      <c r="F44" s="27">
        <v>65329.12999999999</v>
      </c>
      <c r="G44" s="27">
        <v>363546.00859783846</v>
      </c>
      <c r="H44" s="27">
        <v>0</v>
      </c>
      <c r="I44" s="27">
        <v>65329.12999999999</v>
      </c>
      <c r="J44" s="275">
        <v>0.33333332999999998</v>
      </c>
    </row>
    <row r="45" spans="1:10" x14ac:dyDescent="0.25">
      <c r="A45" s="43">
        <v>26</v>
      </c>
      <c r="B45" s="15" t="s">
        <v>483</v>
      </c>
      <c r="C45" s="27" t="s">
        <v>485</v>
      </c>
      <c r="D45" s="43" t="s">
        <v>446</v>
      </c>
      <c r="E45" s="27">
        <v>0</v>
      </c>
      <c r="F45" s="27">
        <v>105606.73000000001</v>
      </c>
      <c r="G45" s="27">
        <v>66997.682775034802</v>
      </c>
      <c r="H45" s="27">
        <v>0</v>
      </c>
      <c r="I45" s="27">
        <v>105606.73000000001</v>
      </c>
      <c r="J45" s="275">
        <v>1.190476E-2</v>
      </c>
    </row>
    <row r="46" spans="1:10" x14ac:dyDescent="0.25">
      <c r="A46" s="43">
        <v>26</v>
      </c>
      <c r="B46" s="15" t="s">
        <v>483</v>
      </c>
      <c r="C46" s="27" t="s">
        <v>486</v>
      </c>
      <c r="D46" s="43" t="s">
        <v>449</v>
      </c>
      <c r="E46" s="27">
        <v>1144988.2000000011</v>
      </c>
      <c r="F46" s="27">
        <v>586883361.0699991</v>
      </c>
      <c r="G46" s="27">
        <v>190113574.20767927</v>
      </c>
      <c r="H46" s="27">
        <v>878244</v>
      </c>
      <c r="I46" s="27">
        <v>113226666.50999916</v>
      </c>
      <c r="J46" s="275">
        <v>0.33333332999999998</v>
      </c>
    </row>
    <row r="47" spans="1:10" x14ac:dyDescent="0.25">
      <c r="A47" s="43">
        <v>26</v>
      </c>
      <c r="B47" s="15" t="s">
        <v>483</v>
      </c>
      <c r="C47" s="27" t="s">
        <v>487</v>
      </c>
      <c r="D47" s="43" t="s">
        <v>446</v>
      </c>
      <c r="E47" s="27">
        <v>-1.4551915228366852E-11</v>
      </c>
      <c r="F47" s="27">
        <v>730203.18</v>
      </c>
      <c r="G47" s="27">
        <v>1322726.4417634576</v>
      </c>
      <c r="H47" s="27">
        <v>0</v>
      </c>
      <c r="I47" s="27">
        <v>730203.18</v>
      </c>
      <c r="J47" s="275">
        <v>1.190476E-2</v>
      </c>
    </row>
    <row r="48" spans="1:10" x14ac:dyDescent="0.25">
      <c r="A48" s="43">
        <v>26</v>
      </c>
      <c r="B48" s="15" t="s">
        <v>483</v>
      </c>
      <c r="C48" s="27" t="s">
        <v>488</v>
      </c>
      <c r="D48" s="43" t="s">
        <v>449</v>
      </c>
      <c r="E48" s="27">
        <v>0</v>
      </c>
      <c r="F48" s="27">
        <v>2986186.62</v>
      </c>
      <c r="G48" s="27">
        <v>760786.73033692082</v>
      </c>
      <c r="H48" s="27">
        <v>0</v>
      </c>
      <c r="I48" s="27">
        <v>2986186.62</v>
      </c>
      <c r="J48" s="275">
        <v>0.23333333000000001</v>
      </c>
    </row>
    <row r="49" spans="1:10" x14ac:dyDescent="0.25">
      <c r="A49" s="43">
        <v>26</v>
      </c>
      <c r="B49" s="15" t="s">
        <v>483</v>
      </c>
      <c r="C49" s="27" t="s">
        <v>489</v>
      </c>
      <c r="D49" s="43" t="s">
        <v>449</v>
      </c>
      <c r="E49" s="27">
        <v>0</v>
      </c>
      <c r="F49" s="27">
        <v>176690.12</v>
      </c>
      <c r="G49" s="27">
        <v>41134.257610446068</v>
      </c>
      <c r="H49" s="27">
        <v>0</v>
      </c>
      <c r="I49" s="27">
        <v>176690.12</v>
      </c>
      <c r="J49" s="275">
        <v>0.14166666999999999</v>
      </c>
    </row>
    <row r="50" spans="1:10" x14ac:dyDescent="0.25">
      <c r="A50" s="43">
        <v>26</v>
      </c>
      <c r="B50" s="15" t="s">
        <v>483</v>
      </c>
      <c r="C50" s="27" t="s">
        <v>490</v>
      </c>
      <c r="D50" s="43" t="s">
        <v>449</v>
      </c>
      <c r="E50" s="27">
        <v>0</v>
      </c>
      <c r="F50" s="27">
        <v>565061.6</v>
      </c>
      <c r="G50" s="27">
        <v>149118.81578533753</v>
      </c>
      <c r="H50" s="27">
        <v>0</v>
      </c>
      <c r="I50" s="27">
        <v>565061.6</v>
      </c>
      <c r="J50" s="275">
        <v>0.16666667000000002</v>
      </c>
    </row>
    <row r="51" spans="1:10" x14ac:dyDescent="0.25">
      <c r="A51" s="43">
        <v>26</v>
      </c>
      <c r="B51" s="15" t="s">
        <v>483</v>
      </c>
      <c r="C51" s="27" t="s">
        <v>491</v>
      </c>
      <c r="D51" s="43" t="s">
        <v>449</v>
      </c>
      <c r="E51" s="27">
        <v>0</v>
      </c>
      <c r="F51" s="27">
        <v>502662.16999999993</v>
      </c>
      <c r="G51" s="27">
        <v>223430.75176508538</v>
      </c>
      <c r="H51" s="27">
        <v>0</v>
      </c>
      <c r="I51" s="27">
        <v>502662.16999999993</v>
      </c>
      <c r="J51" s="275">
        <v>0.38333333000000003</v>
      </c>
    </row>
    <row r="52" spans="1:10" x14ac:dyDescent="0.25">
      <c r="A52" s="43">
        <v>26</v>
      </c>
      <c r="B52" s="15" t="s">
        <v>483</v>
      </c>
      <c r="C52" s="27" t="s">
        <v>492</v>
      </c>
      <c r="D52" s="43" t="s">
        <v>449</v>
      </c>
      <c r="E52" s="27">
        <v>0</v>
      </c>
      <c r="F52" s="27">
        <v>576008.52999999991</v>
      </c>
      <c r="G52" s="27">
        <v>174163.62908973373</v>
      </c>
      <c r="H52" s="27">
        <v>0</v>
      </c>
      <c r="I52" s="27">
        <v>576008.52999999991</v>
      </c>
      <c r="J52" s="275">
        <v>0.21666667000000001</v>
      </c>
    </row>
    <row r="53" spans="1:10" x14ac:dyDescent="0.25">
      <c r="A53" s="43">
        <v>26</v>
      </c>
      <c r="B53" s="15" t="s">
        <v>483</v>
      </c>
      <c r="C53" s="27" t="s">
        <v>472</v>
      </c>
      <c r="D53" s="43" t="s">
        <v>449</v>
      </c>
      <c r="E53" s="27">
        <v>0</v>
      </c>
      <c r="F53" s="27">
        <v>13882986.529999999</v>
      </c>
      <c r="G53" s="27">
        <v>2818501.0058999988</v>
      </c>
      <c r="H53" s="27">
        <v>0</v>
      </c>
      <c r="I53" s="27">
        <v>13882986.529999999</v>
      </c>
      <c r="J53" s="275">
        <v>0.25</v>
      </c>
    </row>
    <row r="54" spans="1:10" x14ac:dyDescent="0.25">
      <c r="A54" s="43">
        <v>26</v>
      </c>
      <c r="B54" s="15" t="s">
        <v>483</v>
      </c>
      <c r="C54" s="27" t="s">
        <v>493</v>
      </c>
      <c r="D54" s="43" t="s">
        <v>449</v>
      </c>
      <c r="E54" s="27">
        <v>557533.33000000031</v>
      </c>
      <c r="F54" s="27">
        <v>360297878.25000006</v>
      </c>
      <c r="G54" s="27">
        <v>40929617.807762519</v>
      </c>
      <c r="H54" s="27">
        <v>1259662</v>
      </c>
      <c r="I54" s="27">
        <v>360582167.77000004</v>
      </c>
      <c r="J54" s="275">
        <v>0.25</v>
      </c>
    </row>
    <row r="55" spans="1:10" x14ac:dyDescent="0.25">
      <c r="A55" s="43">
        <v>26</v>
      </c>
      <c r="B55" s="15" t="s">
        <v>483</v>
      </c>
      <c r="C55" s="27" t="s">
        <v>494</v>
      </c>
      <c r="D55" s="43" t="s">
        <v>449</v>
      </c>
      <c r="E55" s="27">
        <v>0</v>
      </c>
      <c r="F55" s="27">
        <v>0</v>
      </c>
      <c r="G55" s="27">
        <v>-16393.41</v>
      </c>
      <c r="H55" s="27">
        <v>0</v>
      </c>
      <c r="I55" s="27">
        <v>0</v>
      </c>
      <c r="J55" s="275">
        <v>0.25</v>
      </c>
    </row>
    <row r="56" spans="1:10" x14ac:dyDescent="0.25">
      <c r="A56" s="43">
        <v>26</v>
      </c>
      <c r="B56" s="15" t="s">
        <v>483</v>
      </c>
      <c r="C56" s="27" t="s">
        <v>495</v>
      </c>
      <c r="D56" s="43" t="s">
        <v>449</v>
      </c>
      <c r="E56" s="27">
        <v>8153.926315789573</v>
      </c>
      <c r="F56" s="27">
        <v>15044457.775789473</v>
      </c>
      <c r="G56" s="27">
        <v>1226356.0633359835</v>
      </c>
      <c r="H56" s="27">
        <v>0</v>
      </c>
      <c r="I56" s="27">
        <v>14674528.115789473</v>
      </c>
      <c r="J56" s="275">
        <v>0.18333333000000002</v>
      </c>
    </row>
    <row r="57" spans="1:10" x14ac:dyDescent="0.25">
      <c r="A57" s="43">
        <v>26</v>
      </c>
      <c r="B57" s="15" t="s">
        <v>483</v>
      </c>
      <c r="C57" s="27" t="s">
        <v>496</v>
      </c>
      <c r="D57" s="43" t="s">
        <v>449</v>
      </c>
      <c r="E57" s="27">
        <v>3.0000000044267949E-2</v>
      </c>
      <c r="F57" s="27">
        <v>72289439.557368428</v>
      </c>
      <c r="G57" s="27">
        <v>11416593.80851531</v>
      </c>
      <c r="H57" s="27">
        <v>0</v>
      </c>
      <c r="I57" s="27">
        <v>72289504.177368432</v>
      </c>
      <c r="J57" s="275">
        <v>0.18333333000000002</v>
      </c>
    </row>
    <row r="58" spans="1:10" x14ac:dyDescent="0.25">
      <c r="A58" s="43">
        <v>26</v>
      </c>
      <c r="B58" s="15" t="s">
        <v>483</v>
      </c>
      <c r="C58" s="27" t="s">
        <v>497</v>
      </c>
      <c r="D58" s="43" t="s">
        <v>446</v>
      </c>
      <c r="E58" s="27">
        <v>0</v>
      </c>
      <c r="F58" s="27">
        <v>20760.766315789475</v>
      </c>
      <c r="G58" s="27">
        <v>-5198.7701648576067</v>
      </c>
      <c r="H58" s="27">
        <v>0</v>
      </c>
      <c r="I58" s="27">
        <v>20760.766315789475</v>
      </c>
      <c r="J58" s="275">
        <v>1.190476E-2</v>
      </c>
    </row>
    <row r="59" spans="1:10" x14ac:dyDescent="0.25">
      <c r="A59" s="43">
        <v>26</v>
      </c>
      <c r="B59" s="15" t="s">
        <v>483</v>
      </c>
      <c r="C59" s="27" t="s">
        <v>498</v>
      </c>
      <c r="D59" s="43" t="s">
        <v>449</v>
      </c>
      <c r="E59" s="27">
        <v>0</v>
      </c>
      <c r="F59" s="27">
        <v>32706.552631578947</v>
      </c>
      <c r="G59" s="27">
        <v>5666.9146030827205</v>
      </c>
      <c r="H59" s="27">
        <v>0</v>
      </c>
      <c r="I59" s="27">
        <v>32706.552631578947</v>
      </c>
      <c r="J59" s="275">
        <v>0.14166666999999999</v>
      </c>
    </row>
    <row r="60" spans="1:10" x14ac:dyDescent="0.25">
      <c r="A60" s="43">
        <v>26</v>
      </c>
      <c r="B60" s="15" t="s">
        <v>483</v>
      </c>
      <c r="C60" s="27" t="s">
        <v>499</v>
      </c>
      <c r="D60" s="43" t="s">
        <v>449</v>
      </c>
      <c r="E60" s="27">
        <v>0</v>
      </c>
      <c r="F60" s="27">
        <v>1599066.055789473</v>
      </c>
      <c r="G60" s="27">
        <v>113824.82264458864</v>
      </c>
      <c r="H60" s="27">
        <v>0</v>
      </c>
      <c r="I60" s="27">
        <v>1599066.055789473</v>
      </c>
      <c r="J60" s="275">
        <v>0.23333333000000001</v>
      </c>
    </row>
    <row r="61" spans="1:10" x14ac:dyDescent="0.25">
      <c r="A61" s="43">
        <v>26</v>
      </c>
      <c r="B61" s="15" t="s">
        <v>483</v>
      </c>
      <c r="C61" s="27" t="s">
        <v>500</v>
      </c>
      <c r="D61" s="43" t="s">
        <v>449</v>
      </c>
      <c r="E61" s="27">
        <v>184495.66999999998</v>
      </c>
      <c r="F61" s="27">
        <v>46154432.270000003</v>
      </c>
      <c r="G61" s="27">
        <v>9744322.4142452199</v>
      </c>
      <c r="H61" s="27">
        <v>0</v>
      </c>
      <c r="I61" s="27">
        <v>46154432.270000003</v>
      </c>
      <c r="J61" s="275">
        <v>0.18333333000000002</v>
      </c>
    </row>
    <row r="62" spans="1:10" x14ac:dyDescent="0.25">
      <c r="A62" s="43">
        <v>26</v>
      </c>
      <c r="B62" s="15" t="s">
        <v>483</v>
      </c>
      <c r="C62" s="27" t="s">
        <v>501</v>
      </c>
      <c r="D62" s="43" t="s">
        <v>449</v>
      </c>
      <c r="E62" s="27">
        <v>0</v>
      </c>
      <c r="F62" s="27">
        <v>47797695.162631586</v>
      </c>
      <c r="G62" s="27">
        <v>8996537.7745537609</v>
      </c>
      <c r="H62" s="27">
        <v>0</v>
      </c>
      <c r="I62" s="27">
        <v>47880627.622631587</v>
      </c>
      <c r="J62" s="275">
        <v>0.18333333000000002</v>
      </c>
    </row>
    <row r="63" spans="1:10" x14ac:dyDescent="0.25">
      <c r="A63" s="43">
        <v>26</v>
      </c>
      <c r="B63" s="15" t="s">
        <v>483</v>
      </c>
      <c r="C63" s="27" t="s">
        <v>502</v>
      </c>
      <c r="D63" s="43" t="s">
        <v>449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10" x14ac:dyDescent="0.25">
      <c r="A64" s="43">
        <v>26</v>
      </c>
      <c r="B64" s="15" t="s">
        <v>483</v>
      </c>
      <c r="C64" s="27" t="s">
        <v>360</v>
      </c>
      <c r="D64" s="43" t="s">
        <v>449</v>
      </c>
      <c r="E64" s="27">
        <v>0</v>
      </c>
      <c r="F64" s="27">
        <v>229741.67</v>
      </c>
      <c r="G64" s="27">
        <v>97226.556045000019</v>
      </c>
      <c r="H64" s="27">
        <v>0</v>
      </c>
      <c r="I64" s="27">
        <v>229741.67</v>
      </c>
      <c r="J64" s="275">
        <v>0.52500000000000002</v>
      </c>
    </row>
    <row r="65" spans="1:10" x14ac:dyDescent="0.25">
      <c r="A65" s="43">
        <v>27</v>
      </c>
      <c r="B65" s="15" t="s">
        <v>503</v>
      </c>
      <c r="C65" s="27" t="s">
        <v>448</v>
      </c>
      <c r="D65" s="43" t="s">
        <v>449</v>
      </c>
      <c r="E65" s="27">
        <v>0</v>
      </c>
      <c r="F65" s="27">
        <v>852460.86</v>
      </c>
      <c r="G65" s="27">
        <v>50033.897790669274</v>
      </c>
      <c r="H65" s="27">
        <v>0</v>
      </c>
      <c r="I65" s="27">
        <v>996765.86</v>
      </c>
      <c r="J65" s="275">
        <v>0.33333332999999998</v>
      </c>
    </row>
    <row r="66" spans="1:10" x14ac:dyDescent="0.25">
      <c r="A66" s="43">
        <v>27</v>
      </c>
      <c r="B66" s="15" t="s">
        <v>503</v>
      </c>
      <c r="C66" s="27" t="s">
        <v>504</v>
      </c>
      <c r="D66" s="43" t="s">
        <v>449</v>
      </c>
      <c r="E66" s="27">
        <v>396464.51</v>
      </c>
      <c r="F66" s="27">
        <v>0</v>
      </c>
      <c r="G66" s="27">
        <v>0</v>
      </c>
      <c r="H66" s="27">
        <v>0</v>
      </c>
      <c r="I66" s="27">
        <v>0</v>
      </c>
      <c r="J66" s="275">
        <v>1.6666670000000001E-2</v>
      </c>
    </row>
    <row r="67" spans="1:10" x14ac:dyDescent="0.25">
      <c r="A67" s="43">
        <v>28</v>
      </c>
      <c r="B67" s="15" t="s">
        <v>505</v>
      </c>
      <c r="C67" s="27" t="s">
        <v>448</v>
      </c>
      <c r="D67" s="43" t="s">
        <v>449</v>
      </c>
      <c r="E67" s="27">
        <v>3.2741809263825417E-11</v>
      </c>
      <c r="F67" s="27">
        <v>790872.18</v>
      </c>
      <c r="G67" s="27">
        <v>68003.079730775193</v>
      </c>
      <c r="H67" s="27">
        <v>0</v>
      </c>
      <c r="I67" s="27">
        <v>675956.94000000006</v>
      </c>
      <c r="J67" s="275">
        <v>0.33333332999999998</v>
      </c>
    </row>
    <row r="68" spans="1:10" x14ac:dyDescent="0.25">
      <c r="A68" s="43">
        <v>28</v>
      </c>
      <c r="B68" s="15" t="s">
        <v>505</v>
      </c>
      <c r="C68" s="27" t="s">
        <v>472</v>
      </c>
      <c r="D68" s="43" t="s">
        <v>449</v>
      </c>
      <c r="E68" s="27">
        <v>6905260.2000000011</v>
      </c>
      <c r="F68" s="27">
        <v>104724.34</v>
      </c>
      <c r="G68" s="27">
        <v>11609.680200000001</v>
      </c>
      <c r="H68" s="27">
        <v>0</v>
      </c>
      <c r="I68" s="27">
        <v>21243088.84</v>
      </c>
      <c r="J68" s="275">
        <v>0.25</v>
      </c>
    </row>
    <row r="69" spans="1:10" x14ac:dyDescent="0.25">
      <c r="A69" s="43">
        <v>28</v>
      </c>
      <c r="B69" s="15" t="s">
        <v>505</v>
      </c>
      <c r="C69" s="27" t="s">
        <v>495</v>
      </c>
      <c r="D69" s="43" t="s">
        <v>449</v>
      </c>
      <c r="E69" s="27">
        <f>12335936.4810526-E70</f>
        <v>12335936.4810526</v>
      </c>
      <c r="F69" s="27">
        <f>16088112.2842105-F70</f>
        <v>16088112.284210499</v>
      </c>
      <c r="G69" s="27">
        <f>-2282055.26013494-G70</f>
        <v>-2282055.26013494</v>
      </c>
      <c r="H69" s="27">
        <v>0</v>
      </c>
      <c r="I69" s="27">
        <v>29280121.714210495</v>
      </c>
      <c r="J69" s="275">
        <v>0.18333333000000002</v>
      </c>
    </row>
    <row r="70" spans="1:10" x14ac:dyDescent="0.25">
      <c r="A70" s="43">
        <v>28</v>
      </c>
      <c r="B70" s="15" t="s">
        <v>505</v>
      </c>
      <c r="C70" s="27" t="s">
        <v>495</v>
      </c>
      <c r="D70" s="43" t="s">
        <v>506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10" x14ac:dyDescent="0.25">
      <c r="A71" s="43">
        <v>28</v>
      </c>
      <c r="B71" s="15" t="s">
        <v>505</v>
      </c>
      <c r="C71" s="27" t="s">
        <v>502</v>
      </c>
      <c r="D71" s="43" t="s">
        <v>449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10" x14ac:dyDescent="0.25">
      <c r="A72" s="43">
        <v>28</v>
      </c>
      <c r="B72" s="15" t="s">
        <v>505</v>
      </c>
      <c r="C72" s="27" t="s">
        <v>507</v>
      </c>
      <c r="D72" s="43" t="s">
        <v>449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10" x14ac:dyDescent="0.25">
      <c r="A73" s="43">
        <v>28</v>
      </c>
      <c r="B73" s="15" t="s">
        <v>505</v>
      </c>
      <c r="C73" s="27" t="s">
        <v>461</v>
      </c>
      <c r="D73" s="43" t="s">
        <v>449</v>
      </c>
      <c r="E73" s="27">
        <v>53723166.790000007</v>
      </c>
      <c r="F73" s="27">
        <v>2601637.89</v>
      </c>
      <c r="G73" s="27">
        <v>13136.583070942575</v>
      </c>
      <c r="H73" s="27">
        <v>0</v>
      </c>
      <c r="I73" s="27">
        <v>2601637.89</v>
      </c>
      <c r="J73" s="275">
        <v>0.39166666999999999</v>
      </c>
    </row>
    <row r="74" spans="1:10" x14ac:dyDescent="0.25">
      <c r="A74" s="43">
        <v>28</v>
      </c>
      <c r="B74" s="15" t="s">
        <v>505</v>
      </c>
      <c r="C74" s="27" t="s">
        <v>508</v>
      </c>
      <c r="D74" s="43" t="s">
        <v>449</v>
      </c>
      <c r="E74" s="27">
        <v>381.18999999997669</v>
      </c>
      <c r="F74" s="27">
        <v>0</v>
      </c>
      <c r="G74" s="27">
        <v>1.2514999996255938E-3</v>
      </c>
      <c r="H74" s="27">
        <v>0</v>
      </c>
      <c r="I74" s="27">
        <v>29453436.009999998</v>
      </c>
      <c r="J74" s="275">
        <v>0.52500000000000002</v>
      </c>
    </row>
    <row r="75" spans="1:10" x14ac:dyDescent="0.25">
      <c r="A75" s="43">
        <v>28</v>
      </c>
      <c r="B75" s="15" t="s">
        <v>505</v>
      </c>
      <c r="C75" s="27" t="s">
        <v>509</v>
      </c>
      <c r="D75" s="43" t="s">
        <v>449</v>
      </c>
      <c r="E75" s="27">
        <v>956.10000000066975</v>
      </c>
      <c r="F75" s="27">
        <v>0</v>
      </c>
      <c r="G75" s="27">
        <v>-1.5100351665751077E-3</v>
      </c>
      <c r="H75" s="27">
        <v>0</v>
      </c>
      <c r="I75" s="27">
        <v>0</v>
      </c>
    </row>
    <row r="76" spans="1:10" x14ac:dyDescent="0.25">
      <c r="A76" s="43">
        <v>28</v>
      </c>
      <c r="B76" s="15" t="s">
        <v>505</v>
      </c>
      <c r="C76" s="27" t="s">
        <v>510</v>
      </c>
      <c r="D76" s="43" t="s">
        <v>449</v>
      </c>
      <c r="E76" s="27">
        <v>0</v>
      </c>
      <c r="F76" s="27">
        <v>0</v>
      </c>
      <c r="G76" s="27">
        <v>0</v>
      </c>
      <c r="H76" s="27">
        <v>32738817.896666616</v>
      </c>
      <c r="I76" s="27">
        <v>0</v>
      </c>
    </row>
    <row r="77" spans="1:10" x14ac:dyDescent="0.25">
      <c r="A77" s="43">
        <v>28</v>
      </c>
      <c r="B77" s="15" t="s">
        <v>505</v>
      </c>
      <c r="C77" s="27" t="s">
        <v>511</v>
      </c>
      <c r="D77" s="43" t="s">
        <v>449</v>
      </c>
      <c r="E77" s="27">
        <v>0</v>
      </c>
      <c r="F77" s="27">
        <v>0</v>
      </c>
      <c r="G77" s="27">
        <v>0</v>
      </c>
      <c r="H77" s="27">
        <v>4394778.6066666646</v>
      </c>
      <c r="I77" s="27">
        <v>0</v>
      </c>
    </row>
    <row r="78" spans="1:10" x14ac:dyDescent="0.25">
      <c r="A78" s="43">
        <v>28</v>
      </c>
      <c r="B78" s="15" t="s">
        <v>505</v>
      </c>
      <c r="C78" s="27" t="s">
        <v>512</v>
      </c>
      <c r="D78" s="43" t="s">
        <v>449</v>
      </c>
      <c r="E78" s="27">
        <v>0</v>
      </c>
      <c r="F78" s="27">
        <v>0</v>
      </c>
      <c r="G78" s="27">
        <v>0</v>
      </c>
      <c r="H78" s="27">
        <v>-305702.32</v>
      </c>
      <c r="I78" s="27">
        <v>0</v>
      </c>
    </row>
    <row r="79" spans="1:10" x14ac:dyDescent="0.25">
      <c r="A79" s="43">
        <v>29</v>
      </c>
      <c r="B79" s="15" t="s">
        <v>513</v>
      </c>
      <c r="C79" s="27" t="s">
        <v>448</v>
      </c>
      <c r="D79" s="43" t="s">
        <v>449</v>
      </c>
      <c r="E79" s="27">
        <v>3.219611244276166E-10</v>
      </c>
      <c r="F79" s="27">
        <v>5657885.3600000003</v>
      </c>
      <c r="G79" s="27">
        <v>410216.23223614105</v>
      </c>
      <c r="H79" s="27">
        <v>0</v>
      </c>
      <c r="I79" s="27">
        <v>5657885.3600000003</v>
      </c>
      <c r="J79" s="275">
        <v>0.33333332999999998</v>
      </c>
    </row>
    <row r="80" spans="1:10" x14ac:dyDescent="0.25">
      <c r="A80" s="43">
        <v>29</v>
      </c>
      <c r="B80" s="15" t="s">
        <v>513</v>
      </c>
      <c r="C80" s="27" t="s">
        <v>495</v>
      </c>
      <c r="D80" s="43" t="s">
        <v>449</v>
      </c>
      <c r="E80" s="27">
        <v>653026.70000000007</v>
      </c>
      <c r="F80" s="27">
        <v>384574.73</v>
      </c>
      <c r="G80" s="27">
        <v>352.52682942375452</v>
      </c>
      <c r="H80" s="27">
        <v>0</v>
      </c>
      <c r="I80" s="27">
        <v>384574.73</v>
      </c>
      <c r="J80" s="275">
        <v>0.18333333000000002</v>
      </c>
    </row>
    <row r="81" spans="1:10" x14ac:dyDescent="0.25">
      <c r="A81" s="43">
        <v>30</v>
      </c>
      <c r="B81" s="27" t="s">
        <v>514</v>
      </c>
      <c r="C81" s="27" t="s">
        <v>461</v>
      </c>
      <c r="D81" s="43" t="s">
        <v>449</v>
      </c>
      <c r="E81" s="27">
        <v>318703.83999999997</v>
      </c>
      <c r="F81" s="27">
        <v>0</v>
      </c>
      <c r="G81" s="205">
        <v>-29427.66</v>
      </c>
      <c r="H81" s="27">
        <v>0</v>
      </c>
      <c r="I81" s="27">
        <v>0</v>
      </c>
      <c r="J81" s="275">
        <v>0.39166666999999999</v>
      </c>
    </row>
    <row r="82" spans="1:10" x14ac:dyDescent="0.25">
      <c r="C82" s="27" t="s">
        <v>27</v>
      </c>
      <c r="E82" s="27">
        <f>SUM(E5:E81)</f>
        <v>78661574.057368398</v>
      </c>
      <c r="F82" s="27">
        <f>SUM(F5:F81)</f>
        <v>1629028360.494736</v>
      </c>
      <c r="G82" s="27">
        <f>SUM(G5:G81)</f>
        <v>370500919.36061496</v>
      </c>
      <c r="H82" s="27">
        <f>SUM(H5:H81)</f>
        <v>39279964.183333278</v>
      </c>
      <c r="I82" s="27">
        <f>SUM(I5:I81)</f>
        <v>1099701749.9447362</v>
      </c>
    </row>
    <row r="83" spans="1:10" x14ac:dyDescent="0.25">
      <c r="I83" s="27">
        <v>0</v>
      </c>
    </row>
    <row r="85" spans="1:10" x14ac:dyDescent="0.25">
      <c r="B85" s="15"/>
      <c r="C85" s="15"/>
      <c r="E85" s="15"/>
      <c r="F85" s="15"/>
      <c r="J85" s="27"/>
    </row>
    <row r="86" spans="1:10" x14ac:dyDescent="0.25">
      <c r="B86" s="15"/>
      <c r="C86" s="15"/>
      <c r="E86" s="15"/>
      <c r="F86" s="15"/>
      <c r="J86" s="27"/>
    </row>
    <row r="87" spans="1:10" x14ac:dyDescent="0.25">
      <c r="B87" s="15"/>
      <c r="C87" s="15"/>
      <c r="E87" s="15"/>
      <c r="F87" s="15"/>
      <c r="J87" s="27"/>
    </row>
    <row r="88" spans="1:10" x14ac:dyDescent="0.25">
      <c r="B88" s="15"/>
      <c r="C88" s="15"/>
      <c r="E88" s="15"/>
      <c r="F88" s="15"/>
      <c r="J88" s="27"/>
    </row>
    <row r="89" spans="1:10" x14ac:dyDescent="0.25">
      <c r="B89" s="15"/>
      <c r="C89" s="15"/>
      <c r="E89" s="15"/>
      <c r="F89" s="15"/>
      <c r="J89" s="27"/>
    </row>
    <row r="90" spans="1:10" x14ac:dyDescent="0.25">
      <c r="B90" s="15"/>
      <c r="C90" s="15"/>
      <c r="E90" s="15"/>
      <c r="F90" s="15"/>
      <c r="J90" s="27"/>
    </row>
    <row r="91" spans="1:10" x14ac:dyDescent="0.25">
      <c r="B91" s="15"/>
      <c r="C91" s="15"/>
      <c r="E91" s="15"/>
      <c r="F91" s="15"/>
    </row>
    <row r="92" spans="1:10" x14ac:dyDescent="0.25">
      <c r="B92" s="15"/>
      <c r="C92" s="15"/>
      <c r="E92" s="15"/>
      <c r="F92" s="15"/>
      <c r="J92" s="27"/>
    </row>
    <row r="93" spans="1:10" x14ac:dyDescent="0.25">
      <c r="B93" s="15"/>
      <c r="C93" s="15"/>
      <c r="E93" s="15"/>
      <c r="F93" s="15"/>
      <c r="J93" s="27"/>
    </row>
    <row r="94" spans="1:10" x14ac:dyDescent="0.25">
      <c r="B94" s="15"/>
      <c r="C94" s="15"/>
      <c r="E94" s="15"/>
      <c r="F94" s="15"/>
      <c r="J94" s="27"/>
    </row>
    <row r="95" spans="1:10" x14ac:dyDescent="0.25">
      <c r="B95" s="15"/>
      <c r="C95" s="15"/>
      <c r="E95" s="15"/>
      <c r="F95" s="15"/>
      <c r="J95" s="27"/>
    </row>
    <row r="96" spans="1:10" x14ac:dyDescent="0.25">
      <c r="B96" s="15"/>
      <c r="C96" s="15"/>
      <c r="E96" s="15"/>
      <c r="F96" s="15"/>
      <c r="J96" s="27"/>
    </row>
    <row r="97" spans="2:10" x14ac:dyDescent="0.25">
      <c r="B97" s="15"/>
      <c r="C97" s="15"/>
      <c r="E97" s="15"/>
      <c r="F97" s="15"/>
      <c r="J97" s="27"/>
    </row>
    <row r="98" spans="2:10" x14ac:dyDescent="0.25">
      <c r="B98" s="15"/>
      <c r="C98" s="15"/>
      <c r="E98" s="15"/>
      <c r="F98" s="15"/>
      <c r="J98" s="27"/>
    </row>
    <row r="99" spans="2:10" x14ac:dyDescent="0.25">
      <c r="B99" s="15"/>
      <c r="C99" s="15"/>
      <c r="E99" s="15"/>
      <c r="F99" s="15"/>
      <c r="J99" s="27"/>
    </row>
    <row r="100" spans="2:10" x14ac:dyDescent="0.25">
      <c r="B100" s="15"/>
      <c r="C100" s="15"/>
      <c r="E100" s="15"/>
      <c r="F100" s="15"/>
      <c r="J100" s="27"/>
    </row>
    <row r="101" spans="2:10" x14ac:dyDescent="0.25">
      <c r="B101" s="15"/>
      <c r="C101" s="15"/>
      <c r="E101" s="15"/>
      <c r="F101" s="15"/>
      <c r="J101" s="27"/>
    </row>
    <row r="102" spans="2:10" x14ac:dyDescent="0.25">
      <c r="B102" s="15"/>
      <c r="C102" s="15"/>
      <c r="E102" s="15"/>
      <c r="F102" s="15"/>
      <c r="J102" s="27"/>
    </row>
    <row r="103" spans="2:10" x14ac:dyDescent="0.25">
      <c r="B103" s="15"/>
      <c r="C103" s="15"/>
      <c r="E103" s="15"/>
      <c r="F103" s="15"/>
      <c r="J103" s="27"/>
    </row>
    <row r="104" spans="2:10" x14ac:dyDescent="0.25">
      <c r="B104" s="15"/>
      <c r="C104" s="15"/>
      <c r="E104" s="15"/>
      <c r="F104" s="15"/>
      <c r="J104" s="27"/>
    </row>
    <row r="105" spans="2:10" x14ac:dyDescent="0.25">
      <c r="B105" s="15"/>
      <c r="C105" s="15"/>
      <c r="E105" s="15"/>
      <c r="F105" s="15"/>
      <c r="J105" s="27"/>
    </row>
    <row r="106" spans="2:10" x14ac:dyDescent="0.25">
      <c r="B106" s="15"/>
      <c r="C106" s="15"/>
      <c r="E106" s="15"/>
      <c r="F106" s="15"/>
      <c r="J106" s="27"/>
    </row>
    <row r="107" spans="2:10" x14ac:dyDescent="0.25">
      <c r="B107" s="15"/>
      <c r="C107" s="15"/>
      <c r="E107" s="15"/>
      <c r="F107" s="15"/>
      <c r="J107" s="27"/>
    </row>
    <row r="108" spans="2:10" x14ac:dyDescent="0.25">
      <c r="B108" s="15"/>
      <c r="C108" s="15"/>
      <c r="E108" s="15"/>
      <c r="F108" s="15"/>
      <c r="J108" s="27"/>
    </row>
    <row r="109" spans="2:10" x14ac:dyDescent="0.25">
      <c r="B109" s="15"/>
      <c r="C109" s="15"/>
      <c r="E109" s="15"/>
      <c r="F109" s="15"/>
      <c r="J109" s="27"/>
    </row>
    <row r="110" spans="2:10" x14ac:dyDescent="0.25">
      <c r="B110" s="15"/>
      <c r="C110" s="15"/>
      <c r="E110" s="15"/>
      <c r="F110" s="15"/>
      <c r="J110" s="27"/>
    </row>
    <row r="111" spans="2:10" x14ac:dyDescent="0.25">
      <c r="B111" s="15"/>
      <c r="C111" s="15"/>
      <c r="E111" s="15"/>
      <c r="F111" s="15"/>
      <c r="J111" s="27"/>
    </row>
    <row r="112" spans="2:10" x14ac:dyDescent="0.25">
      <c r="B112" s="15"/>
      <c r="C112" s="15"/>
      <c r="E112" s="15"/>
      <c r="F112" s="15"/>
      <c r="J112" s="27"/>
    </row>
    <row r="113" spans="2:10" x14ac:dyDescent="0.25">
      <c r="B113" s="15"/>
      <c r="C113" s="15"/>
      <c r="E113" s="15"/>
      <c r="F113" s="15"/>
      <c r="J113" s="27"/>
    </row>
    <row r="114" spans="2:10" x14ac:dyDescent="0.25">
      <c r="B114" s="15"/>
      <c r="C114" s="15"/>
      <c r="E114" s="15"/>
      <c r="F114" s="15"/>
      <c r="J114" s="27"/>
    </row>
    <row r="115" spans="2:10" x14ac:dyDescent="0.25">
      <c r="B115" s="15"/>
      <c r="C115" s="15"/>
      <c r="E115" s="15"/>
      <c r="F115" s="15"/>
      <c r="J115" s="27"/>
    </row>
    <row r="116" spans="2:10" x14ac:dyDescent="0.25">
      <c r="B116" s="15"/>
      <c r="C116" s="15"/>
      <c r="E116" s="15"/>
      <c r="F116" s="15"/>
      <c r="J116" s="27"/>
    </row>
    <row r="117" spans="2:10" x14ac:dyDescent="0.25">
      <c r="B117" s="15"/>
      <c r="C117" s="15"/>
      <c r="E117" s="15"/>
      <c r="F117" s="15"/>
      <c r="J117" s="27"/>
    </row>
    <row r="118" spans="2:10" x14ac:dyDescent="0.25">
      <c r="B118" s="15"/>
      <c r="C118" s="15"/>
      <c r="E118" s="15"/>
      <c r="F118" s="15"/>
      <c r="J118" s="27"/>
    </row>
    <row r="119" spans="2:10" x14ac:dyDescent="0.25">
      <c r="B119" s="15"/>
      <c r="C119" s="15"/>
      <c r="E119" s="15"/>
      <c r="F119" s="15"/>
      <c r="J119" s="27"/>
    </row>
    <row r="120" spans="2:10" x14ac:dyDescent="0.25">
      <c r="B120" s="15"/>
      <c r="C120" s="15"/>
      <c r="E120" s="15"/>
      <c r="F120" s="15"/>
      <c r="J120" s="27"/>
    </row>
    <row r="121" spans="2:10" x14ac:dyDescent="0.25">
      <c r="B121" s="15"/>
      <c r="C121" s="15"/>
      <c r="E121" s="15"/>
      <c r="F121" s="15"/>
      <c r="J121" s="27"/>
    </row>
    <row r="122" spans="2:10" x14ac:dyDescent="0.25">
      <c r="B122" s="15"/>
      <c r="C122" s="15"/>
      <c r="E122" s="15"/>
      <c r="F122" s="15"/>
      <c r="J122" s="27"/>
    </row>
    <row r="123" spans="2:10" x14ac:dyDescent="0.25">
      <c r="B123" s="15"/>
      <c r="C123" s="15"/>
      <c r="E123" s="15"/>
      <c r="F123" s="15"/>
      <c r="J123" s="27"/>
    </row>
    <row r="124" spans="2:10" x14ac:dyDescent="0.25">
      <c r="B124" s="15"/>
      <c r="C124" s="15"/>
      <c r="E124" s="15"/>
      <c r="F124" s="15"/>
      <c r="J124" s="27"/>
    </row>
    <row r="125" spans="2:10" x14ac:dyDescent="0.25">
      <c r="B125" s="15"/>
      <c r="C125" s="15"/>
      <c r="E125" s="15"/>
      <c r="F125" s="15"/>
      <c r="J125" s="27"/>
    </row>
    <row r="126" spans="2:10" x14ac:dyDescent="0.25">
      <c r="B126" s="15"/>
      <c r="C126" s="15"/>
      <c r="E126" s="15"/>
      <c r="F126" s="15"/>
      <c r="J126" s="27"/>
    </row>
    <row r="127" spans="2:10" x14ac:dyDescent="0.25">
      <c r="B127" s="15"/>
      <c r="C127" s="15"/>
      <c r="E127" s="15"/>
      <c r="F127" s="15"/>
      <c r="J127" s="27"/>
    </row>
    <row r="128" spans="2:10" x14ac:dyDescent="0.25">
      <c r="B128" s="15"/>
      <c r="C128" s="15"/>
      <c r="E128" s="15"/>
      <c r="F128" s="15"/>
      <c r="J128" s="27"/>
    </row>
    <row r="129" spans="2:10" x14ac:dyDescent="0.25">
      <c r="B129" s="15"/>
      <c r="C129" s="15"/>
      <c r="E129" s="15"/>
      <c r="F129" s="15"/>
      <c r="J129" s="27"/>
    </row>
    <row r="130" spans="2:10" x14ac:dyDescent="0.25">
      <c r="B130" s="15"/>
      <c r="C130" s="15"/>
      <c r="E130" s="15"/>
      <c r="F130" s="15"/>
      <c r="J130" s="27"/>
    </row>
    <row r="131" spans="2:10" x14ac:dyDescent="0.25">
      <c r="B131" s="15"/>
      <c r="C131" s="15"/>
      <c r="E131" s="15"/>
      <c r="F131" s="15"/>
      <c r="J131" s="27"/>
    </row>
    <row r="132" spans="2:10" x14ac:dyDescent="0.25">
      <c r="B132" s="15"/>
      <c r="C132" s="15"/>
      <c r="E132" s="15"/>
      <c r="F132" s="15"/>
      <c r="J132" s="27"/>
    </row>
    <row r="133" spans="2:10" x14ac:dyDescent="0.25">
      <c r="B133" s="15"/>
      <c r="C133" s="15"/>
      <c r="E133" s="15"/>
      <c r="F133" s="15"/>
      <c r="J133" s="27"/>
    </row>
    <row r="134" spans="2:10" x14ac:dyDescent="0.25">
      <c r="B134" s="15"/>
      <c r="C134" s="15"/>
      <c r="E134" s="15"/>
      <c r="F134" s="15"/>
      <c r="J134" s="27"/>
    </row>
    <row r="135" spans="2:10" x14ac:dyDescent="0.25">
      <c r="B135" s="15"/>
      <c r="C135" s="15"/>
      <c r="E135" s="15"/>
      <c r="F135" s="15"/>
      <c r="J135" s="27"/>
    </row>
    <row r="136" spans="2:10" x14ac:dyDescent="0.25">
      <c r="B136" s="15"/>
      <c r="C136" s="15"/>
      <c r="E136" s="15"/>
      <c r="F136" s="15"/>
      <c r="J136" s="27"/>
    </row>
    <row r="137" spans="2:10" x14ac:dyDescent="0.25">
      <c r="B137" s="15"/>
      <c r="C137" s="15"/>
      <c r="E137" s="15"/>
      <c r="F137" s="15"/>
      <c r="J137" s="27"/>
    </row>
    <row r="138" spans="2:10" x14ac:dyDescent="0.25">
      <c r="B138" s="15"/>
      <c r="C138" s="15"/>
      <c r="E138" s="15"/>
      <c r="F138" s="15"/>
      <c r="J138" s="27"/>
    </row>
    <row r="139" spans="2:10" x14ac:dyDescent="0.25">
      <c r="B139" s="15"/>
      <c r="C139" s="15"/>
      <c r="E139" s="15"/>
      <c r="F139" s="15"/>
      <c r="J139" s="27"/>
    </row>
    <row r="140" spans="2:10" x14ac:dyDescent="0.25">
      <c r="B140" s="15"/>
      <c r="C140" s="15"/>
      <c r="E140" s="15"/>
      <c r="F140" s="15"/>
      <c r="J140" s="27"/>
    </row>
    <row r="141" spans="2:10" x14ac:dyDescent="0.25">
      <c r="B141" s="15"/>
      <c r="C141" s="15"/>
      <c r="E141" s="15"/>
      <c r="F141" s="15"/>
      <c r="J141" s="27"/>
    </row>
    <row r="142" spans="2:10" x14ac:dyDescent="0.25">
      <c r="B142" s="15"/>
      <c r="C142" s="15"/>
      <c r="E142" s="15"/>
      <c r="F142" s="15"/>
      <c r="J142" s="27"/>
    </row>
    <row r="143" spans="2:10" x14ac:dyDescent="0.25">
      <c r="B143" s="15"/>
      <c r="C143" s="15"/>
      <c r="E143" s="15"/>
      <c r="F143" s="15"/>
      <c r="J143" s="27"/>
    </row>
    <row r="144" spans="2:10" x14ac:dyDescent="0.25">
      <c r="B144" s="15"/>
      <c r="C144" s="15"/>
      <c r="E144" s="15"/>
      <c r="F144" s="15"/>
      <c r="J144" s="27"/>
    </row>
    <row r="145" spans="2:10" x14ac:dyDescent="0.25">
      <c r="B145" s="15"/>
      <c r="C145" s="15"/>
      <c r="E145" s="15"/>
      <c r="F145" s="15"/>
      <c r="J145" s="27"/>
    </row>
    <row r="146" spans="2:10" x14ac:dyDescent="0.25">
      <c r="B146" s="15"/>
      <c r="C146" s="15"/>
      <c r="E146" s="15"/>
      <c r="F146" s="15"/>
      <c r="J146" s="27"/>
    </row>
    <row r="147" spans="2:10" x14ac:dyDescent="0.25">
      <c r="B147" s="15"/>
      <c r="C147" s="15"/>
      <c r="E147" s="15"/>
      <c r="F147" s="15"/>
      <c r="J147" s="27"/>
    </row>
    <row r="148" spans="2:10" x14ac:dyDescent="0.25">
      <c r="B148" s="15"/>
      <c r="C148" s="15"/>
      <c r="E148" s="15"/>
      <c r="F148" s="15"/>
      <c r="J148" s="27"/>
    </row>
    <row r="149" spans="2:10" x14ac:dyDescent="0.25">
      <c r="B149" s="15"/>
      <c r="C149" s="15"/>
      <c r="E149" s="15"/>
      <c r="F149" s="15"/>
      <c r="J149" s="27"/>
    </row>
    <row r="150" spans="2:10" x14ac:dyDescent="0.25">
      <c r="B150" s="15"/>
      <c r="C150" s="15"/>
      <c r="E150" s="15"/>
      <c r="F150" s="15"/>
      <c r="J150" s="27"/>
    </row>
    <row r="151" spans="2:10" x14ac:dyDescent="0.25">
      <c r="B151" s="15"/>
      <c r="C151" s="15"/>
      <c r="E151" s="15"/>
      <c r="F151" s="15"/>
      <c r="J151" s="27"/>
    </row>
    <row r="152" spans="2:10" x14ac:dyDescent="0.25">
      <c r="B152" s="15"/>
      <c r="C152" s="15"/>
      <c r="E152" s="15"/>
      <c r="F152" s="15"/>
      <c r="J152" s="27"/>
    </row>
    <row r="153" spans="2:10" x14ac:dyDescent="0.25">
      <c r="B153" s="15"/>
      <c r="C153" s="15"/>
      <c r="E153" s="15"/>
      <c r="F153" s="15"/>
      <c r="J153" s="27"/>
    </row>
    <row r="154" spans="2:10" x14ac:dyDescent="0.25">
      <c r="B154" s="15"/>
      <c r="C154" s="15"/>
      <c r="E154" s="15"/>
      <c r="F154" s="15"/>
      <c r="J154" s="27"/>
    </row>
    <row r="155" spans="2:10" x14ac:dyDescent="0.25">
      <c r="B155" s="15"/>
      <c r="C155" s="15"/>
      <c r="E155" s="15"/>
      <c r="F155" s="15"/>
      <c r="J155" s="27"/>
    </row>
    <row r="156" spans="2:10" x14ac:dyDescent="0.25">
      <c r="B156" s="15"/>
      <c r="C156" s="15"/>
      <c r="E156" s="15"/>
      <c r="F156" s="15"/>
      <c r="J156" s="27"/>
    </row>
    <row r="157" spans="2:10" x14ac:dyDescent="0.25">
      <c r="B157" s="15"/>
      <c r="C157" s="15"/>
      <c r="E157" s="15"/>
      <c r="F157" s="15"/>
      <c r="J157" s="27"/>
    </row>
    <row r="158" spans="2:10" x14ac:dyDescent="0.25">
      <c r="B158" s="15"/>
      <c r="C158" s="15"/>
      <c r="E158" s="15"/>
      <c r="F158" s="15"/>
      <c r="J158" s="27"/>
    </row>
    <row r="159" spans="2:10" x14ac:dyDescent="0.25">
      <c r="B159" s="15"/>
      <c r="C159" s="15"/>
      <c r="E159" s="15"/>
      <c r="F159" s="15"/>
      <c r="J159" s="27"/>
    </row>
    <row r="160" spans="2:10" x14ac:dyDescent="0.25">
      <c r="B160" s="15"/>
      <c r="C160" s="15"/>
      <c r="E160" s="15"/>
      <c r="F160" s="15"/>
      <c r="J160" s="27"/>
    </row>
    <row r="161" spans="2:10" x14ac:dyDescent="0.25">
      <c r="B161" s="15"/>
      <c r="C161" s="15"/>
      <c r="E161" s="15"/>
      <c r="F161" s="15"/>
      <c r="J161" s="27"/>
    </row>
    <row r="162" spans="2:10" x14ac:dyDescent="0.25">
      <c r="B162" s="15"/>
      <c r="C162" s="15"/>
      <c r="E162" s="15"/>
      <c r="F162" s="15"/>
      <c r="J162" s="27"/>
    </row>
    <row r="163" spans="2:10" x14ac:dyDescent="0.25">
      <c r="B163" s="15"/>
      <c r="C163" s="15"/>
      <c r="E163" s="15"/>
      <c r="F163" s="15"/>
      <c r="J163" s="27"/>
    </row>
    <row r="164" spans="2:10" x14ac:dyDescent="0.25">
      <c r="B164" s="15"/>
      <c r="C164" s="15"/>
      <c r="E164" s="15"/>
      <c r="F164" s="15"/>
      <c r="J164" s="27"/>
    </row>
    <row r="165" spans="2:10" x14ac:dyDescent="0.25">
      <c r="B165" s="15"/>
      <c r="C165" s="15"/>
      <c r="E165" s="15"/>
      <c r="F165" s="15"/>
      <c r="J165" s="27"/>
    </row>
    <row r="166" spans="2:10" x14ac:dyDescent="0.25">
      <c r="B166" s="15"/>
      <c r="C166" s="15"/>
      <c r="E166" s="15"/>
      <c r="F166" s="15"/>
      <c r="J166" s="27"/>
    </row>
    <row r="167" spans="2:10" x14ac:dyDescent="0.25">
      <c r="B167" s="15"/>
      <c r="C167" s="15"/>
      <c r="E167" s="15"/>
      <c r="F167" s="15"/>
      <c r="J167" s="27"/>
    </row>
    <row r="168" spans="2:10" x14ac:dyDescent="0.25">
      <c r="B168" s="15"/>
      <c r="C168" s="15"/>
      <c r="E168" s="15"/>
      <c r="F168" s="15"/>
      <c r="J168" s="27"/>
    </row>
    <row r="169" spans="2:10" x14ac:dyDescent="0.25">
      <c r="B169" s="15"/>
      <c r="C169" s="15"/>
      <c r="E169" s="15"/>
      <c r="F169" s="15"/>
      <c r="J169" s="27"/>
    </row>
    <row r="170" spans="2:10" x14ac:dyDescent="0.25">
      <c r="B170" s="15"/>
      <c r="C170" s="15"/>
      <c r="E170" s="15"/>
      <c r="F170" s="15"/>
      <c r="J170" s="27"/>
    </row>
    <row r="171" spans="2:10" x14ac:dyDescent="0.25">
      <c r="B171" s="15"/>
      <c r="C171" s="15"/>
      <c r="E171" s="15"/>
      <c r="F171" s="15"/>
      <c r="J171" s="27"/>
    </row>
    <row r="172" spans="2:10" x14ac:dyDescent="0.25">
      <c r="B172" s="15"/>
      <c r="C172" s="15"/>
      <c r="E172" s="15"/>
      <c r="F172" s="15"/>
      <c r="J172" s="27"/>
    </row>
    <row r="173" spans="2:10" x14ac:dyDescent="0.25">
      <c r="B173" s="15"/>
      <c r="C173" s="15"/>
      <c r="E173" s="15"/>
      <c r="F173" s="15"/>
      <c r="J173" s="27"/>
    </row>
    <row r="174" spans="2:10" x14ac:dyDescent="0.25">
      <c r="B174" s="15"/>
      <c r="C174" s="15"/>
      <c r="E174" s="15"/>
      <c r="F174" s="15"/>
      <c r="J174" s="27"/>
    </row>
    <row r="175" spans="2:10" x14ac:dyDescent="0.25">
      <c r="B175" s="15"/>
      <c r="C175" s="15"/>
      <c r="E175" s="15"/>
      <c r="F175" s="15"/>
      <c r="J175" s="27"/>
    </row>
    <row r="176" spans="2:10" x14ac:dyDescent="0.25">
      <c r="B176" s="15"/>
      <c r="C176" s="15"/>
      <c r="E176" s="15"/>
      <c r="F176" s="15"/>
      <c r="J176" s="27"/>
    </row>
    <row r="177" spans="2:10" x14ac:dyDescent="0.25">
      <c r="B177" s="15"/>
      <c r="C177" s="15"/>
      <c r="E177" s="15"/>
      <c r="F177" s="15"/>
      <c r="J177" s="27"/>
    </row>
    <row r="178" spans="2:10" x14ac:dyDescent="0.25">
      <c r="B178" s="15"/>
      <c r="C178" s="15"/>
      <c r="E178" s="15"/>
      <c r="F178" s="15"/>
      <c r="J178" s="27"/>
    </row>
    <row r="179" spans="2:10" x14ac:dyDescent="0.25">
      <c r="B179" s="15"/>
      <c r="C179" s="15"/>
      <c r="E179" s="15"/>
      <c r="F179" s="15"/>
      <c r="J179" s="27"/>
    </row>
    <row r="180" spans="2:10" x14ac:dyDescent="0.25">
      <c r="B180" s="15"/>
      <c r="C180" s="15"/>
      <c r="E180" s="15"/>
      <c r="F180" s="15"/>
      <c r="J180" s="27"/>
    </row>
    <row r="181" spans="2:10" x14ac:dyDescent="0.25">
      <c r="B181" s="15"/>
      <c r="C181" s="15"/>
      <c r="E181" s="15"/>
      <c r="F181" s="15"/>
      <c r="J181" s="27"/>
    </row>
    <row r="182" spans="2:10" x14ac:dyDescent="0.25">
      <c r="B182" s="15"/>
      <c r="C182" s="15"/>
      <c r="E182" s="15"/>
      <c r="F182" s="15"/>
      <c r="J182" s="27"/>
    </row>
    <row r="183" spans="2:10" x14ac:dyDescent="0.25">
      <c r="B183" s="15"/>
      <c r="C183" s="15"/>
      <c r="E183" s="15"/>
      <c r="F183" s="15"/>
      <c r="J183" s="27"/>
    </row>
    <row r="184" spans="2:10" x14ac:dyDescent="0.25">
      <c r="B184" s="15"/>
      <c r="C184" s="15"/>
      <c r="E184" s="15"/>
      <c r="F184" s="15"/>
      <c r="J184" s="27"/>
    </row>
    <row r="185" spans="2:10" x14ac:dyDescent="0.25">
      <c r="B185" s="15"/>
      <c r="C185" s="15"/>
      <c r="E185" s="15"/>
      <c r="F185" s="15"/>
      <c r="J185" s="27"/>
    </row>
    <row r="186" spans="2:10" x14ac:dyDescent="0.25">
      <c r="B186" s="15"/>
      <c r="C186" s="15"/>
      <c r="E186" s="15"/>
      <c r="F186" s="15"/>
      <c r="J186" s="27"/>
    </row>
    <row r="187" spans="2:10" x14ac:dyDescent="0.25">
      <c r="B187" s="15"/>
      <c r="C187" s="15"/>
      <c r="E187" s="15"/>
      <c r="F187" s="15"/>
      <c r="J187" s="27"/>
    </row>
    <row r="188" spans="2:10" x14ac:dyDescent="0.25">
      <c r="B188" s="15"/>
      <c r="C188" s="15"/>
      <c r="E188" s="15"/>
      <c r="F188" s="15"/>
      <c r="J188" s="27"/>
    </row>
    <row r="189" spans="2:10" x14ac:dyDescent="0.25">
      <c r="B189" s="15"/>
      <c r="C189" s="15"/>
      <c r="E189" s="15"/>
      <c r="F189" s="15"/>
      <c r="J189" s="27"/>
    </row>
    <row r="190" spans="2:10" x14ac:dyDescent="0.25">
      <c r="B190" s="15"/>
      <c r="C190" s="15"/>
      <c r="E190" s="15"/>
      <c r="F190" s="15"/>
      <c r="J190" s="27"/>
    </row>
    <row r="191" spans="2:10" x14ac:dyDescent="0.25">
      <c r="B191" s="15"/>
      <c r="C191" s="15"/>
      <c r="E191" s="15"/>
      <c r="F191" s="15"/>
      <c r="J191" s="27"/>
    </row>
    <row r="192" spans="2:10" x14ac:dyDescent="0.25">
      <c r="B192" s="15"/>
      <c r="C192" s="15"/>
      <c r="E192" s="15"/>
      <c r="F192" s="15"/>
      <c r="J192" s="27"/>
    </row>
    <row r="193" spans="2:10" x14ac:dyDescent="0.25">
      <c r="B193" s="15"/>
      <c r="C193" s="15"/>
      <c r="E193" s="15"/>
      <c r="F193" s="15"/>
      <c r="J193" s="27"/>
    </row>
    <row r="194" spans="2:10" x14ac:dyDescent="0.25">
      <c r="B194" s="15"/>
      <c r="C194" s="15"/>
      <c r="E194" s="15"/>
      <c r="F194" s="15"/>
      <c r="J194" s="27"/>
    </row>
    <row r="195" spans="2:10" x14ac:dyDescent="0.25">
      <c r="B195" s="15"/>
      <c r="C195" s="15"/>
      <c r="E195" s="15"/>
      <c r="F195" s="15"/>
      <c r="J195" s="27"/>
    </row>
    <row r="196" spans="2:10" x14ac:dyDescent="0.25">
      <c r="B196" s="15"/>
      <c r="C196" s="15"/>
      <c r="E196" s="15"/>
      <c r="F196" s="15"/>
      <c r="J196" s="27"/>
    </row>
    <row r="197" spans="2:10" x14ac:dyDescent="0.25">
      <c r="B197" s="15"/>
      <c r="C197" s="15"/>
      <c r="E197" s="15"/>
      <c r="F197" s="15"/>
      <c r="J197" s="27"/>
    </row>
    <row r="198" spans="2:10" x14ac:dyDescent="0.25">
      <c r="B198" s="15"/>
      <c r="C198" s="15"/>
      <c r="E198" s="15"/>
      <c r="F198" s="15"/>
      <c r="J198" s="27"/>
    </row>
    <row r="199" spans="2:10" x14ac:dyDescent="0.25">
      <c r="B199" s="15"/>
      <c r="C199" s="15"/>
      <c r="E199" s="15"/>
      <c r="F199" s="15"/>
      <c r="J199" s="27"/>
    </row>
    <row r="200" spans="2:10" x14ac:dyDescent="0.25">
      <c r="B200" s="15"/>
      <c r="C200" s="15"/>
      <c r="E200" s="15"/>
      <c r="F200" s="15"/>
      <c r="J200" s="27"/>
    </row>
    <row r="201" spans="2:10" x14ac:dyDescent="0.25">
      <c r="B201" s="15"/>
      <c r="C201" s="15"/>
      <c r="E201" s="15"/>
      <c r="F201" s="15"/>
      <c r="J201" s="27"/>
    </row>
    <row r="202" spans="2:10" x14ac:dyDescent="0.25">
      <c r="B202" s="15"/>
      <c r="C202" s="15"/>
      <c r="E202" s="15"/>
      <c r="F202" s="15"/>
      <c r="J202" s="27"/>
    </row>
    <row r="203" spans="2:10" x14ac:dyDescent="0.25">
      <c r="B203" s="15"/>
      <c r="C203" s="15"/>
      <c r="E203" s="15"/>
      <c r="F203" s="15"/>
      <c r="J203" s="27"/>
    </row>
    <row r="204" spans="2:10" x14ac:dyDescent="0.25">
      <c r="B204" s="15"/>
      <c r="C204" s="15"/>
      <c r="E204" s="15"/>
      <c r="F204" s="15"/>
      <c r="J204" s="27"/>
    </row>
    <row r="205" spans="2:10" x14ac:dyDescent="0.25">
      <c r="B205" s="15"/>
      <c r="C205" s="15"/>
      <c r="E205" s="15"/>
      <c r="F205" s="15"/>
      <c r="J205" s="27"/>
    </row>
    <row r="206" spans="2:10" x14ac:dyDescent="0.25">
      <c r="B206" s="15"/>
      <c r="C206" s="15"/>
      <c r="E206" s="15"/>
      <c r="F206" s="15"/>
      <c r="J206" s="27"/>
    </row>
    <row r="207" spans="2:10" x14ac:dyDescent="0.25">
      <c r="B207" s="15"/>
      <c r="C207" s="15"/>
      <c r="E207" s="15"/>
      <c r="F207" s="15"/>
      <c r="J207" s="27"/>
    </row>
    <row r="208" spans="2:10" x14ac:dyDescent="0.25">
      <c r="B208" s="15"/>
      <c r="C208" s="15"/>
      <c r="E208" s="15"/>
      <c r="F208" s="15"/>
      <c r="J208" s="27"/>
    </row>
    <row r="209" spans="2:10" x14ac:dyDescent="0.25">
      <c r="B209" s="15"/>
      <c r="C209" s="15"/>
      <c r="E209" s="15"/>
      <c r="F209" s="15"/>
      <c r="J209" s="27"/>
    </row>
    <row r="210" spans="2:10" x14ac:dyDescent="0.25">
      <c r="B210" s="15"/>
      <c r="C210" s="15"/>
      <c r="E210" s="15"/>
      <c r="F210" s="15"/>
      <c r="J210" s="27"/>
    </row>
    <row r="211" spans="2:10" x14ac:dyDescent="0.25">
      <c r="B211" s="15"/>
      <c r="C211" s="15"/>
      <c r="E211" s="15"/>
      <c r="F211" s="15"/>
      <c r="J211" s="27"/>
    </row>
    <row r="212" spans="2:10" x14ac:dyDescent="0.25">
      <c r="B212" s="15"/>
      <c r="C212" s="15"/>
      <c r="E212" s="15"/>
      <c r="F212" s="15"/>
      <c r="J212" s="27"/>
    </row>
    <row r="213" spans="2:10" x14ac:dyDescent="0.25">
      <c r="B213" s="15"/>
      <c r="C213" s="15"/>
      <c r="E213" s="15"/>
      <c r="F213" s="15"/>
      <c r="J213" s="27"/>
    </row>
    <row r="214" spans="2:10" x14ac:dyDescent="0.25">
      <c r="B214" s="15"/>
      <c r="C214" s="15"/>
      <c r="E214" s="15"/>
      <c r="F214" s="15"/>
      <c r="J214" s="27"/>
    </row>
    <row r="215" spans="2:10" x14ac:dyDescent="0.25">
      <c r="B215" s="15"/>
      <c r="C215" s="15"/>
      <c r="E215" s="15"/>
      <c r="F215" s="15"/>
      <c r="J215" s="27"/>
    </row>
    <row r="216" spans="2:10" x14ac:dyDescent="0.25">
      <c r="B216" s="15"/>
      <c r="C216" s="15"/>
      <c r="E216" s="15"/>
      <c r="F216" s="15"/>
      <c r="J216" s="27"/>
    </row>
    <row r="217" spans="2:10" x14ac:dyDescent="0.25">
      <c r="B217" s="15"/>
      <c r="C217" s="15"/>
      <c r="E217" s="15"/>
      <c r="F217" s="15"/>
      <c r="J217" s="27"/>
    </row>
    <row r="218" spans="2:10" x14ac:dyDescent="0.25">
      <c r="B218" s="15"/>
      <c r="C218" s="15"/>
      <c r="E218" s="15"/>
      <c r="F218" s="15"/>
      <c r="J218" s="27"/>
    </row>
    <row r="219" spans="2:10" x14ac:dyDescent="0.25">
      <c r="B219" s="15"/>
      <c r="C219" s="15"/>
      <c r="E219" s="15"/>
      <c r="F219" s="15"/>
      <c r="J219" s="27"/>
    </row>
    <row r="220" spans="2:10" x14ac:dyDescent="0.25">
      <c r="B220" s="15"/>
      <c r="C220" s="15"/>
      <c r="E220" s="15"/>
      <c r="F220" s="15"/>
      <c r="J220" s="27"/>
    </row>
    <row r="221" spans="2:10" x14ac:dyDescent="0.25">
      <c r="B221" s="15"/>
      <c r="C221" s="15"/>
      <c r="E221" s="15"/>
      <c r="F221" s="15"/>
      <c r="J221" s="27"/>
    </row>
    <row r="222" spans="2:10" x14ac:dyDescent="0.25">
      <c r="B222" s="15"/>
      <c r="C222" s="15"/>
      <c r="E222" s="15"/>
      <c r="F222" s="15"/>
      <c r="J222" s="27"/>
    </row>
    <row r="223" spans="2:10" x14ac:dyDescent="0.25">
      <c r="B223" s="15"/>
      <c r="C223" s="15"/>
      <c r="E223" s="15"/>
      <c r="F223" s="15"/>
      <c r="J223" s="27"/>
    </row>
    <row r="224" spans="2:10" x14ac:dyDescent="0.25">
      <c r="B224" s="15"/>
      <c r="C224" s="15"/>
      <c r="E224" s="15"/>
      <c r="F224" s="15"/>
      <c r="J224" s="27"/>
    </row>
    <row r="225" spans="2:10" x14ac:dyDescent="0.25">
      <c r="B225" s="15"/>
      <c r="C225" s="15"/>
      <c r="E225" s="15"/>
      <c r="F225" s="15"/>
      <c r="J225" s="27"/>
    </row>
    <row r="226" spans="2:10" x14ac:dyDescent="0.25">
      <c r="B226" s="15"/>
      <c r="C226" s="15"/>
      <c r="E226" s="15"/>
      <c r="F226" s="15"/>
      <c r="J226" s="27"/>
    </row>
    <row r="227" spans="2:10" x14ac:dyDescent="0.25">
      <c r="B227" s="15"/>
      <c r="C227" s="15"/>
      <c r="E227" s="15"/>
      <c r="F227" s="15"/>
      <c r="J227" s="27"/>
    </row>
    <row r="228" spans="2:10" x14ac:dyDescent="0.25">
      <c r="B228" s="15"/>
      <c r="C228" s="15"/>
      <c r="E228" s="15"/>
      <c r="F228" s="15"/>
      <c r="J228" s="27"/>
    </row>
    <row r="229" spans="2:10" x14ac:dyDescent="0.25">
      <c r="B229" s="15"/>
      <c r="C229" s="15"/>
      <c r="E229" s="15"/>
      <c r="F229" s="15"/>
      <c r="J229" s="27"/>
    </row>
    <row r="230" spans="2:10" x14ac:dyDescent="0.25">
      <c r="B230" s="15"/>
      <c r="C230" s="15"/>
      <c r="E230" s="15"/>
      <c r="F230" s="15"/>
      <c r="J230" s="27"/>
    </row>
    <row r="231" spans="2:10" x14ac:dyDescent="0.25">
      <c r="B231" s="15"/>
      <c r="C231" s="15"/>
      <c r="E231" s="15"/>
      <c r="F231" s="15"/>
      <c r="J231" s="27"/>
    </row>
    <row r="233" spans="2:10" x14ac:dyDescent="0.25">
      <c r="C233" s="15"/>
      <c r="J233" s="27"/>
    </row>
    <row r="234" spans="2:10" x14ac:dyDescent="0.25">
      <c r="B234" s="15"/>
      <c r="J234" s="27"/>
    </row>
    <row r="235" spans="2:10" x14ac:dyDescent="0.25">
      <c r="B235" s="15"/>
      <c r="J235" s="27"/>
    </row>
    <row r="236" spans="2:10" x14ac:dyDescent="0.25">
      <c r="B236" s="15"/>
    </row>
    <row r="237" spans="2:10" x14ac:dyDescent="0.25">
      <c r="B237" s="15"/>
    </row>
    <row r="238" spans="2:10" x14ac:dyDescent="0.25">
      <c r="B238" s="15"/>
    </row>
    <row r="239" spans="2:10" x14ac:dyDescent="0.25">
      <c r="B239" s="15"/>
    </row>
    <row r="240" spans="2:10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  <row r="255" spans="2:2" x14ac:dyDescent="0.25">
      <c r="B255" s="15"/>
    </row>
    <row r="256" spans="2:2" x14ac:dyDescent="0.25">
      <c r="B256" s="15"/>
    </row>
    <row r="257" spans="2:2" x14ac:dyDescent="0.25">
      <c r="B257" s="15"/>
    </row>
    <row r="258" spans="2:2" x14ac:dyDescent="0.25">
      <c r="B258" s="15"/>
    </row>
    <row r="259" spans="2:2" x14ac:dyDescent="0.25">
      <c r="B259" s="15"/>
    </row>
    <row r="260" spans="2:2" x14ac:dyDescent="0.25">
      <c r="B260" s="15"/>
    </row>
    <row r="261" spans="2:2" x14ac:dyDescent="0.25">
      <c r="B261" s="15"/>
    </row>
    <row r="262" spans="2:2" x14ac:dyDescent="0.25">
      <c r="B262" s="15"/>
    </row>
    <row r="263" spans="2:2" x14ac:dyDescent="0.25">
      <c r="B263" s="15"/>
    </row>
  </sheetData>
  <pageMargins left="0.5" right="0.5" top="1" bottom="0.75" header="0.55000000000000004" footer="0.3"/>
  <pageSetup scale="49" orientation="portrait" r:id="rId1"/>
  <headerFooter alignWithMargins="0">
    <oddHeader xml:space="preserve">&amp;C&amp;"Arial,Regular"&amp;8GULF POWER COMPANY
 ENVIRONMENTAL COST RECOVERY CLAUSE
</oddHeader>
  </headerFooter>
  <colBreaks count="1" manualBreakCount="1">
    <brk id="10" max="86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3F96-5F1A-4F65-8455-1AD31AF3F735}">
  <sheetPr transitionEvaluation="1"/>
  <dimension ref="A1:W95"/>
  <sheetViews>
    <sheetView showGridLines="0" defaultGridColor="0" view="pageBreakPreview" colorId="8" zoomScale="80" zoomScaleNormal="90" zoomScaleSheetLayoutView="80" workbookViewId="0">
      <selection activeCell="P52" sqref="P52"/>
    </sheetView>
  </sheetViews>
  <sheetFormatPr defaultColWidth="10.83203125" defaultRowHeight="12.5" x14ac:dyDescent="0.25"/>
  <cols>
    <col min="1" max="1" width="4.58203125" style="284" customWidth="1"/>
    <col min="2" max="2" width="18.75" style="284" customWidth="1"/>
    <col min="3" max="3" width="12.08203125" style="284" customWidth="1"/>
    <col min="4" max="4" width="9.5" style="284" customWidth="1"/>
    <col min="5" max="5" width="7.58203125" style="284" customWidth="1"/>
    <col min="6" max="6" width="9.5" style="284" customWidth="1"/>
    <col min="7" max="7" width="10.75" style="284" customWidth="1"/>
    <col min="8" max="8" width="11" style="284" customWidth="1"/>
    <col min="9" max="9" width="16" style="284" hidden="1" customWidth="1"/>
    <col min="10" max="10" width="17.33203125" style="284" hidden="1" customWidth="1"/>
    <col min="11" max="11" width="30.33203125" style="284" hidden="1" customWidth="1"/>
    <col min="12" max="12" width="10.08203125" style="284" hidden="1" customWidth="1"/>
    <col min="13" max="13" width="12.5" style="284" customWidth="1"/>
    <col min="14" max="14" width="11.25" style="284" customWidth="1"/>
    <col min="15" max="16" width="10.83203125" style="284"/>
    <col min="17" max="17" width="5.5" style="284" customWidth="1"/>
    <col min="18" max="16384" width="10.83203125" style="284"/>
  </cols>
  <sheetData>
    <row r="1" spans="1:14" ht="13" x14ac:dyDescent="0.3">
      <c r="H1" s="285" t="s">
        <v>573</v>
      </c>
      <c r="K1" s="286"/>
    </row>
    <row r="2" spans="1:14" ht="13" thickBot="1" x14ac:dyDescent="0.3">
      <c r="B2" s="287"/>
      <c r="H2" s="288" t="s">
        <v>515</v>
      </c>
    </row>
    <row r="3" spans="1:14" ht="13.5" hidden="1" thickBot="1" x14ac:dyDescent="0.35">
      <c r="A3" s="289" t="s">
        <v>9</v>
      </c>
      <c r="B3" s="290"/>
      <c r="C3" s="290"/>
      <c r="D3" s="290"/>
      <c r="E3" s="290"/>
      <c r="F3" s="290"/>
      <c r="G3" s="290"/>
      <c r="H3" s="290"/>
    </row>
    <row r="4" spans="1:14" ht="13" hidden="1" thickBot="1" x14ac:dyDescent="0.3">
      <c r="A4" s="290" t="s">
        <v>10</v>
      </c>
      <c r="B4" s="290"/>
      <c r="C4" s="290"/>
      <c r="D4" s="290"/>
      <c r="E4" s="290"/>
      <c r="F4" s="290"/>
      <c r="G4" s="290"/>
      <c r="H4" s="290"/>
    </row>
    <row r="5" spans="1:14" ht="13" hidden="1" thickBot="1" x14ac:dyDescent="0.3">
      <c r="A5" s="291" t="s">
        <v>396</v>
      </c>
      <c r="B5" s="290"/>
      <c r="C5" s="290"/>
      <c r="D5" s="290"/>
      <c r="E5" s="290"/>
      <c r="F5" s="290"/>
      <c r="G5" s="290"/>
      <c r="H5" s="292"/>
    </row>
    <row r="6" spans="1:14" ht="13" x14ac:dyDescent="0.3">
      <c r="A6" s="293" t="s">
        <v>516</v>
      </c>
      <c r="B6" s="294"/>
      <c r="C6" s="294"/>
      <c r="D6" s="294"/>
      <c r="E6" s="294"/>
      <c r="F6" s="294"/>
      <c r="G6" s="294"/>
      <c r="H6" s="295"/>
    </row>
    <row r="7" spans="1:14" ht="13" hidden="1" x14ac:dyDescent="0.3">
      <c r="A7" s="296"/>
      <c r="B7" s="297"/>
      <c r="C7" s="297"/>
      <c r="D7" s="297"/>
      <c r="E7" s="297"/>
      <c r="F7" s="297"/>
      <c r="G7" s="297"/>
      <c r="H7" s="298"/>
    </row>
    <row r="8" spans="1:14" ht="13.5" thickBot="1" x14ac:dyDescent="0.35">
      <c r="A8" s="299" t="s">
        <v>517</v>
      </c>
      <c r="B8" s="300"/>
      <c r="C8" s="300"/>
      <c r="D8" s="300"/>
      <c r="E8" s="300"/>
      <c r="F8" s="300"/>
      <c r="G8" s="300"/>
      <c r="H8" s="301"/>
    </row>
    <row r="9" spans="1:14" hidden="1" x14ac:dyDescent="0.25"/>
    <row r="10" spans="1:14" x14ac:dyDescent="0.25">
      <c r="C10" s="302" t="s">
        <v>518</v>
      </c>
      <c r="D10" s="303" t="s">
        <v>80</v>
      </c>
      <c r="E10" s="303" t="s">
        <v>81</v>
      </c>
      <c r="F10" s="303" t="s">
        <v>82</v>
      </c>
      <c r="G10" s="303" t="s">
        <v>83</v>
      </c>
      <c r="H10" s="303" t="s">
        <v>519</v>
      </c>
    </row>
    <row r="11" spans="1:14" x14ac:dyDescent="0.25">
      <c r="H11" s="304" t="s">
        <v>520</v>
      </c>
      <c r="L11" s="302"/>
      <c r="M11" s="302"/>
      <c r="N11" s="302"/>
    </row>
    <row r="12" spans="1:14" x14ac:dyDescent="0.25">
      <c r="C12" s="304" t="s">
        <v>521</v>
      </c>
      <c r="G12" s="304" t="s">
        <v>522</v>
      </c>
      <c r="H12" s="304" t="s">
        <v>522</v>
      </c>
      <c r="M12" s="302"/>
      <c r="N12" s="302"/>
    </row>
    <row r="13" spans="1:14" x14ac:dyDescent="0.25">
      <c r="C13" s="304" t="s">
        <v>523</v>
      </c>
      <c r="E13" s="302" t="s">
        <v>524</v>
      </c>
      <c r="F13" s="302" t="s">
        <v>525</v>
      </c>
      <c r="G13" s="304" t="s">
        <v>526</v>
      </c>
      <c r="H13" s="304" t="s">
        <v>526</v>
      </c>
    </row>
    <row r="14" spans="1:14" x14ac:dyDescent="0.25">
      <c r="A14" s="305" t="s">
        <v>126</v>
      </c>
      <c r="B14" s="305" t="s">
        <v>527</v>
      </c>
      <c r="C14" s="306" t="s">
        <v>528</v>
      </c>
      <c r="D14" s="307" t="s">
        <v>529</v>
      </c>
      <c r="E14" s="307" t="s">
        <v>530</v>
      </c>
      <c r="F14" s="307" t="s">
        <v>531</v>
      </c>
      <c r="G14" s="308" t="s">
        <v>532</v>
      </c>
      <c r="H14" s="308" t="s">
        <v>532</v>
      </c>
      <c r="L14" s="309"/>
      <c r="M14" s="310"/>
      <c r="N14" s="309"/>
    </row>
    <row r="15" spans="1:14" x14ac:dyDescent="0.25">
      <c r="C15" s="304" t="s">
        <v>533</v>
      </c>
      <c r="D15" s="302" t="s">
        <v>534</v>
      </c>
      <c r="E15" s="302" t="s">
        <v>534</v>
      </c>
      <c r="F15" s="302" t="s">
        <v>534</v>
      </c>
      <c r="G15" s="302" t="s">
        <v>534</v>
      </c>
      <c r="H15" s="302" t="s">
        <v>534</v>
      </c>
    </row>
    <row r="16" spans="1:14" x14ac:dyDescent="0.25">
      <c r="I16" s="307" t="s">
        <v>535</v>
      </c>
      <c r="J16" s="284" t="s">
        <v>536</v>
      </c>
      <c r="K16" s="284" t="s">
        <v>537</v>
      </c>
      <c r="L16" s="310">
        <v>69000</v>
      </c>
    </row>
    <row r="17" spans="1:23" x14ac:dyDescent="0.25">
      <c r="A17" s="311" t="s">
        <v>538</v>
      </c>
      <c r="B17" s="284" t="s">
        <v>539</v>
      </c>
      <c r="C17" s="310">
        <f>J17</f>
        <v>894848.12208133121</v>
      </c>
      <c r="D17" s="284">
        <f>ROUND(C17/$C$25*100,4)-0.0001</f>
        <v>34.541599999999995</v>
      </c>
      <c r="E17" s="312">
        <v>3.9138442799999997</v>
      </c>
      <c r="F17" s="284">
        <f>ROUND(D17*E17/100,4)</f>
        <v>1.3519000000000001</v>
      </c>
      <c r="G17" s="284">
        <f>F17</f>
        <v>1.3519000000000001</v>
      </c>
      <c r="I17" s="313">
        <v>825848.12208133121</v>
      </c>
      <c r="J17" s="313">
        <f>I17+L16</f>
        <v>894848.12208133121</v>
      </c>
      <c r="K17" s="314"/>
      <c r="L17" s="310"/>
      <c r="N17" s="310"/>
    </row>
    <row r="18" spans="1:23" x14ac:dyDescent="0.25">
      <c r="A18" s="311" t="s">
        <v>540</v>
      </c>
      <c r="B18" s="284" t="s">
        <v>541</v>
      </c>
      <c r="C18" s="310">
        <v>20975.651999999998</v>
      </c>
      <c r="D18" s="284">
        <f t="shared" ref="D18:D23" si="0">ROUND(C18/$C$25*100,4)</f>
        <v>0.80969999999999998</v>
      </c>
      <c r="E18" s="312">
        <v>2.96</v>
      </c>
      <c r="F18" s="284">
        <f>ROUND(D18*E18/100,4)</f>
        <v>2.4E-2</v>
      </c>
      <c r="G18" s="284">
        <f>F18</f>
        <v>2.4E-2</v>
      </c>
      <c r="I18" s="313">
        <v>20975.651999999998</v>
      </c>
      <c r="J18" s="313">
        <f>I18</f>
        <v>20975.651999999998</v>
      </c>
      <c r="K18" s="314"/>
      <c r="L18" s="310"/>
      <c r="N18" s="310"/>
    </row>
    <row r="19" spans="1:23" x14ac:dyDescent="0.25">
      <c r="A19" s="311" t="s">
        <v>542</v>
      </c>
      <c r="B19" s="284" t="s">
        <v>543</v>
      </c>
      <c r="C19" s="310">
        <v>0</v>
      </c>
      <c r="D19" s="284">
        <f t="shared" si="0"/>
        <v>0</v>
      </c>
      <c r="E19" s="312">
        <v>0</v>
      </c>
      <c r="F19" s="284">
        <f>ROUND(D19*E19/100,4)</f>
        <v>0</v>
      </c>
      <c r="G19" s="284">
        <f>ROUND(F19/(1-$C$49/100),4)</f>
        <v>0</v>
      </c>
      <c r="I19" s="313">
        <v>0</v>
      </c>
      <c r="J19" s="313">
        <f>I19</f>
        <v>0</v>
      </c>
      <c r="K19" s="314"/>
      <c r="L19" s="310"/>
      <c r="M19" s="315"/>
      <c r="N19" s="316"/>
      <c r="O19" s="315"/>
      <c r="P19" s="315"/>
      <c r="Q19" s="315"/>
      <c r="R19" s="315"/>
      <c r="S19" s="315"/>
      <c r="T19" s="315"/>
      <c r="U19" s="315"/>
      <c r="V19" s="315"/>
      <c r="W19" s="315"/>
    </row>
    <row r="20" spans="1:23" x14ac:dyDescent="0.25">
      <c r="A20" s="311" t="s">
        <v>544</v>
      </c>
      <c r="B20" s="284" t="s">
        <v>545</v>
      </c>
      <c r="C20" s="310">
        <f>J20</f>
        <v>1053681.463</v>
      </c>
      <c r="D20" s="284">
        <f t="shared" si="0"/>
        <v>40.672800000000002</v>
      </c>
      <c r="E20" s="312">
        <v>10.25</v>
      </c>
      <c r="F20" s="284">
        <f>ROUND(D20*E20/100,4)</f>
        <v>4.1689999999999996</v>
      </c>
      <c r="G20" s="284">
        <f>ROUND(F20/(1-$C$49/100),4)</f>
        <v>5.5233999999999996</v>
      </c>
      <c r="I20" s="313">
        <v>1122681.463</v>
      </c>
      <c r="J20" s="313">
        <f>I20-L16</f>
        <v>1053681.463</v>
      </c>
      <c r="K20" s="317" t="s">
        <v>546</v>
      </c>
      <c r="L20" s="318">
        <f>C20/(C17+C18+C19+C20)</f>
        <v>0.53499805086148544</v>
      </c>
      <c r="M20" s="315"/>
      <c r="N20" s="316"/>
      <c r="O20" s="315"/>
      <c r="P20" s="315"/>
      <c r="Q20" s="315"/>
      <c r="R20" s="315"/>
      <c r="S20" s="315"/>
      <c r="T20" s="315"/>
      <c r="U20" s="315"/>
      <c r="V20" s="315"/>
      <c r="W20" s="315"/>
    </row>
    <row r="21" spans="1:23" x14ac:dyDescent="0.25">
      <c r="A21" s="311" t="s">
        <v>547</v>
      </c>
      <c r="B21" s="284" t="s">
        <v>548</v>
      </c>
      <c r="C21" s="310">
        <v>22119.038</v>
      </c>
      <c r="D21" s="284">
        <f t="shared" si="0"/>
        <v>0.8538</v>
      </c>
      <c r="E21" s="312">
        <v>2.08</v>
      </c>
      <c r="F21" s="284">
        <f>ROUND(D21*E21/100,4)</f>
        <v>1.78E-2</v>
      </c>
      <c r="G21" s="284">
        <f>F21</f>
        <v>1.78E-2</v>
      </c>
      <c r="I21" s="310">
        <f>SUM(I17:I20)</f>
        <v>1969505.2370813312</v>
      </c>
      <c r="J21" s="310">
        <f>SUM(J17:J20)</f>
        <v>1969505.2370813312</v>
      </c>
      <c r="K21" s="314"/>
      <c r="L21" s="310"/>
      <c r="M21" s="315"/>
      <c r="N21" s="316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23" x14ac:dyDescent="0.25">
      <c r="A22" s="311" t="s">
        <v>549</v>
      </c>
      <c r="B22" s="284" t="s">
        <v>550</v>
      </c>
      <c r="C22" s="310">
        <v>598398.54799999995</v>
      </c>
      <c r="D22" s="284">
        <f t="shared" si="0"/>
        <v>23.098600000000001</v>
      </c>
      <c r="E22" s="312"/>
      <c r="I22" s="319">
        <f>I20/I21</f>
        <v>0.5700322303604205</v>
      </c>
      <c r="J22" s="319">
        <f>J20/J21</f>
        <v>0.53499805086148544</v>
      </c>
      <c r="K22" s="314"/>
      <c r="L22" s="310"/>
      <c r="M22" s="315"/>
      <c r="N22" s="316"/>
      <c r="O22" s="315"/>
      <c r="P22" s="315"/>
      <c r="Q22" s="315"/>
      <c r="R22" s="315"/>
      <c r="S22" s="315"/>
      <c r="T22" s="315"/>
      <c r="U22" s="315"/>
      <c r="V22" s="315"/>
      <c r="W22" s="315"/>
    </row>
    <row r="23" spans="1:23" x14ac:dyDescent="0.25">
      <c r="A23" s="311" t="s">
        <v>551</v>
      </c>
      <c r="B23" s="320" t="s">
        <v>552</v>
      </c>
      <c r="C23" s="321">
        <v>607.69399999999996</v>
      </c>
      <c r="D23" s="305">
        <f t="shared" si="0"/>
        <v>2.35E-2</v>
      </c>
      <c r="E23" s="312">
        <f>F31</f>
        <v>7.3402000000000003</v>
      </c>
      <c r="F23" s="305">
        <f>ROUND(D23*E23/100,4)</f>
        <v>1.6999999999999999E-3</v>
      </c>
      <c r="G23" s="305">
        <f>G31</f>
        <v>2.0999999999999999E-3</v>
      </c>
      <c r="J23" s="322"/>
      <c r="K23" s="314"/>
      <c r="L23" s="310"/>
      <c r="M23" s="315"/>
      <c r="N23" s="316"/>
      <c r="O23" s="315"/>
      <c r="P23" s="315"/>
      <c r="Q23" s="315"/>
      <c r="R23" s="315"/>
      <c r="S23" s="315"/>
      <c r="T23" s="315"/>
      <c r="U23" s="315"/>
      <c r="V23" s="315"/>
      <c r="W23" s="315"/>
    </row>
    <row r="24" spans="1:23" x14ac:dyDescent="0.25">
      <c r="A24" s="323"/>
      <c r="C24" s="310"/>
      <c r="J24" s="304"/>
      <c r="K24" s="314"/>
      <c r="L24" s="310"/>
      <c r="M24" s="324"/>
      <c r="N24" s="324"/>
      <c r="O24" s="315"/>
      <c r="P24" s="315"/>
      <c r="Q24" s="315"/>
      <c r="R24" s="315"/>
      <c r="S24" s="315"/>
      <c r="T24" s="315"/>
      <c r="U24" s="315"/>
      <c r="V24" s="315"/>
      <c r="W24" s="315"/>
    </row>
    <row r="25" spans="1:23" x14ac:dyDescent="0.25">
      <c r="A25" s="311">
        <v>8</v>
      </c>
      <c r="B25" s="284" t="s">
        <v>117</v>
      </c>
      <c r="C25" s="325">
        <f>SUM(C17:C23)</f>
        <v>2590630.5170813315</v>
      </c>
      <c r="D25" s="326">
        <f>ROUND(SUM(D17:D23),4)</f>
        <v>100</v>
      </c>
      <c r="E25" s="326"/>
      <c r="F25" s="326">
        <f>ROUND(SUM(F17:F23),4)</f>
        <v>5.5644</v>
      </c>
      <c r="G25" s="326">
        <f>ROUND(SUM(G17:G23),4)</f>
        <v>6.9192</v>
      </c>
      <c r="H25" s="326">
        <f>ROUND(G25/12,4)</f>
        <v>0.5766</v>
      </c>
      <c r="J25" s="304"/>
      <c r="K25" s="314"/>
      <c r="L25" s="310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</row>
    <row r="26" spans="1:23" x14ac:dyDescent="0.25">
      <c r="A26" s="323"/>
      <c r="K26" s="314"/>
      <c r="L26" s="310"/>
      <c r="M26" s="315"/>
      <c r="N26" s="316"/>
      <c r="O26" s="315"/>
      <c r="P26" s="315"/>
      <c r="Q26" s="315"/>
      <c r="R26" s="315"/>
      <c r="S26" s="315"/>
      <c r="T26" s="315"/>
      <c r="U26" s="315"/>
      <c r="V26" s="315"/>
      <c r="W26" s="315"/>
    </row>
    <row r="27" spans="1:23" x14ac:dyDescent="0.25">
      <c r="A27" s="323"/>
      <c r="B27" s="305" t="s">
        <v>553</v>
      </c>
      <c r="K27" s="314"/>
      <c r="L27" s="310"/>
      <c r="M27" s="315"/>
      <c r="N27" s="316"/>
      <c r="O27" s="315"/>
      <c r="P27" s="315"/>
      <c r="Q27" s="315"/>
      <c r="R27" s="315"/>
      <c r="S27" s="315"/>
      <c r="T27" s="315"/>
      <c r="U27" s="315"/>
      <c r="V27" s="315"/>
      <c r="W27" s="315"/>
    </row>
    <row r="28" spans="1:23" x14ac:dyDescent="0.25">
      <c r="A28" s="311">
        <v>9</v>
      </c>
      <c r="B28" s="284" t="s">
        <v>554</v>
      </c>
      <c r="C28" s="310">
        <f>C17</f>
        <v>894848.12208133121</v>
      </c>
      <c r="D28" s="284">
        <f>ROUND(C28/$C$31*100,4)</f>
        <v>45.924300000000002</v>
      </c>
      <c r="E28" s="312">
        <f>E17</f>
        <v>3.9138442799999997</v>
      </c>
      <c r="F28" s="284">
        <f>ROUND(D28*E28/100,4)</f>
        <v>1.7974000000000001</v>
      </c>
      <c r="G28" s="284">
        <f>ROUND(+F28*$D$23/100,4)</f>
        <v>4.0000000000000002E-4</v>
      </c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</row>
    <row r="29" spans="1:23" x14ac:dyDescent="0.25">
      <c r="A29" s="311">
        <v>10</v>
      </c>
      <c r="B29" s="284" t="s">
        <v>555</v>
      </c>
      <c r="C29" s="310">
        <f>C19</f>
        <v>0</v>
      </c>
      <c r="D29" s="284">
        <f>ROUND(C29/$C$31*100,4)</f>
        <v>0</v>
      </c>
      <c r="E29" s="312">
        <f>E19</f>
        <v>0</v>
      </c>
      <c r="F29" s="284">
        <f>ROUND(D29*E29/100,4)</f>
        <v>0</v>
      </c>
      <c r="G29" s="284">
        <f>ROUND(+F29*$D$23/(1-C49/100)/100,4)</f>
        <v>0</v>
      </c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</row>
    <row r="30" spans="1:23" x14ac:dyDescent="0.25">
      <c r="A30" s="311">
        <v>11</v>
      </c>
      <c r="B30" s="284" t="s">
        <v>556</v>
      </c>
      <c r="C30" s="321">
        <f>C20</f>
        <v>1053681.463</v>
      </c>
      <c r="D30" s="305">
        <f>ROUND(C30/$C$31*100,4)</f>
        <v>54.075699999999998</v>
      </c>
      <c r="E30" s="312">
        <f>E20</f>
        <v>10.25</v>
      </c>
      <c r="F30" s="305">
        <f>ROUND(D30*E30/100,4)</f>
        <v>5.5427999999999997</v>
      </c>
      <c r="G30" s="305">
        <f>ROUND(+F30*$D$23/(1-C49/100)/100,4)</f>
        <v>1.6999999999999999E-3</v>
      </c>
      <c r="H30" s="30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</row>
    <row r="31" spans="1:23" x14ac:dyDescent="0.25">
      <c r="A31" s="311">
        <v>12</v>
      </c>
      <c r="C31" s="325">
        <f>SUM(C28:C30)</f>
        <v>1948529.5850813312</v>
      </c>
      <c r="D31" s="326">
        <f>ROUND(SUM(D28:D30),4)</f>
        <v>100</v>
      </c>
      <c r="F31" s="326">
        <f>ROUND(SUM(F28:F30),4)</f>
        <v>7.3402000000000003</v>
      </c>
      <c r="G31" s="326">
        <f>ROUND(SUM(G28:G30),4)</f>
        <v>2.0999999999999999E-3</v>
      </c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</row>
    <row r="32" spans="1:23" x14ac:dyDescent="0.25">
      <c r="A32" s="311"/>
      <c r="C32" s="325"/>
      <c r="D32" s="326"/>
      <c r="F32" s="326"/>
      <c r="G32" s="326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</row>
    <row r="33" spans="1:23" x14ac:dyDescent="0.25">
      <c r="A33" s="323"/>
      <c r="B33" s="305" t="s">
        <v>557</v>
      </c>
      <c r="C33" s="310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</row>
    <row r="34" spans="1:23" x14ac:dyDescent="0.25">
      <c r="A34" s="311">
        <f>+A31+1</f>
        <v>13</v>
      </c>
      <c r="B34" s="284" t="s">
        <v>558</v>
      </c>
      <c r="C34" s="310"/>
      <c r="G34" s="284">
        <f>ROUND(G17+G18+G21+G28,4)</f>
        <v>1.3940999999999999</v>
      </c>
      <c r="H34" s="284">
        <f>ROUND(G34/12,4)</f>
        <v>0.1162</v>
      </c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x14ac:dyDescent="0.25">
      <c r="A35" s="311">
        <v>14</v>
      </c>
      <c r="B35" s="284" t="s">
        <v>559</v>
      </c>
      <c r="C35" s="310"/>
      <c r="G35" s="305">
        <f>ROUND(G19+G20+G29+G30,4)</f>
        <v>5.5251000000000001</v>
      </c>
      <c r="H35" s="284">
        <f>ROUND(G35/12,4)</f>
        <v>0.46039999999999998</v>
      </c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</row>
    <row r="36" spans="1:23" x14ac:dyDescent="0.25">
      <c r="A36" s="311">
        <v>15</v>
      </c>
      <c r="B36" s="284" t="s">
        <v>560</v>
      </c>
      <c r="C36" s="310"/>
      <c r="G36" s="326">
        <f>ROUND(G34+G35,4)</f>
        <v>6.9192</v>
      </c>
      <c r="H36" s="326">
        <f>ROUND(H34+H35,4)</f>
        <v>0.5766</v>
      </c>
      <c r="I36" s="327">
        <f>$H$36 / 100</f>
        <v>5.7660000000000003E-3</v>
      </c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</row>
    <row r="37" spans="1:23" x14ac:dyDescent="0.25">
      <c r="A37" s="323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</row>
    <row r="38" spans="1:23" x14ac:dyDescent="0.25">
      <c r="A38" s="305" t="s">
        <v>561</v>
      </c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</row>
    <row r="39" spans="1:23" x14ac:dyDescent="0.25">
      <c r="A39" s="284" t="s">
        <v>79</v>
      </c>
      <c r="B39" s="328" t="s">
        <v>562</v>
      </c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</row>
    <row r="40" spans="1:23" x14ac:dyDescent="0.25">
      <c r="B40" s="328" t="s">
        <v>563</v>
      </c>
    </row>
    <row r="41" spans="1:23" x14ac:dyDescent="0.25">
      <c r="B41" s="328" t="s">
        <v>564</v>
      </c>
    </row>
    <row r="42" spans="1:23" x14ac:dyDescent="0.25">
      <c r="A42" s="284" t="s">
        <v>80</v>
      </c>
      <c r="B42" s="284" t="s">
        <v>565</v>
      </c>
    </row>
    <row r="43" spans="1:23" x14ac:dyDescent="0.25">
      <c r="A43" s="284" t="s">
        <v>81</v>
      </c>
      <c r="B43" s="328" t="s">
        <v>562</v>
      </c>
    </row>
    <row r="44" spans="1:23" x14ac:dyDescent="0.25">
      <c r="A44" s="284" t="s">
        <v>82</v>
      </c>
      <c r="B44" s="284" t="s">
        <v>566</v>
      </c>
    </row>
    <row r="45" spans="1:23" x14ac:dyDescent="0.25">
      <c r="A45" s="284" t="s">
        <v>83</v>
      </c>
      <c r="B45" s="284" t="s">
        <v>567</v>
      </c>
    </row>
    <row r="46" spans="1:23" x14ac:dyDescent="0.25">
      <c r="B46" s="284" t="s">
        <v>568</v>
      </c>
    </row>
    <row r="47" spans="1:23" x14ac:dyDescent="0.25">
      <c r="A47" s="284" t="s">
        <v>519</v>
      </c>
      <c r="B47" s="284" t="s">
        <v>569</v>
      </c>
    </row>
    <row r="49" spans="2:7" x14ac:dyDescent="0.25">
      <c r="B49" s="284" t="s">
        <v>570</v>
      </c>
      <c r="C49" s="329">
        <f>ROUND(95.542*0.21+4.458,4)</f>
        <v>24.521799999999999</v>
      </c>
      <c r="E49" s="284" t="s">
        <v>571</v>
      </c>
    </row>
    <row r="50" spans="2:7" x14ac:dyDescent="0.25">
      <c r="G50" s="284">
        <v>100</v>
      </c>
    </row>
    <row r="51" spans="2:7" x14ac:dyDescent="0.25">
      <c r="E51" s="284" t="s">
        <v>572</v>
      </c>
      <c r="G51" s="330">
        <v>7.1999999999999995E-2</v>
      </c>
    </row>
    <row r="52" spans="2:7" x14ac:dyDescent="0.25">
      <c r="G52" s="284">
        <f>G50-G51</f>
        <v>99.927999999999997</v>
      </c>
    </row>
    <row r="54" spans="2:7" x14ac:dyDescent="0.25">
      <c r="G54" s="331">
        <f>100/G52</f>
        <v>1.0007205187735169</v>
      </c>
    </row>
    <row r="67" spans="2:7" x14ac:dyDescent="0.25">
      <c r="B67" s="305"/>
    </row>
    <row r="70" spans="2:7" x14ac:dyDescent="0.25">
      <c r="B70" s="290"/>
      <c r="C70" s="290"/>
      <c r="D70" s="290"/>
      <c r="E70" s="290"/>
    </row>
    <row r="74" spans="2:7" x14ac:dyDescent="0.25">
      <c r="C74" s="305"/>
      <c r="D74" s="305"/>
      <c r="E74" s="305"/>
      <c r="F74" s="305"/>
      <c r="G74" s="305"/>
    </row>
    <row r="77" spans="2:7" x14ac:dyDescent="0.25">
      <c r="C77" s="310"/>
      <c r="E77" s="312"/>
    </row>
    <row r="78" spans="2:7" x14ac:dyDescent="0.25">
      <c r="C78" s="310"/>
      <c r="E78" s="312"/>
    </row>
    <row r="79" spans="2:7" x14ac:dyDescent="0.25">
      <c r="C79" s="310"/>
      <c r="E79" s="312"/>
    </row>
    <row r="80" spans="2:7" x14ac:dyDescent="0.25">
      <c r="C80" s="310"/>
      <c r="E80" s="312"/>
    </row>
    <row r="81" spans="2:8" x14ac:dyDescent="0.25">
      <c r="C81" s="310"/>
      <c r="E81" s="312"/>
    </row>
    <row r="82" spans="2:8" x14ac:dyDescent="0.25">
      <c r="C82" s="310"/>
      <c r="E82" s="312"/>
    </row>
    <row r="83" spans="2:8" x14ac:dyDescent="0.25">
      <c r="C83" s="310"/>
      <c r="E83" s="312"/>
    </row>
    <row r="84" spans="2:8" x14ac:dyDescent="0.25">
      <c r="C84" s="321"/>
      <c r="D84" s="305"/>
      <c r="E84" s="312"/>
      <c r="F84" s="305"/>
      <c r="G84" s="305"/>
    </row>
    <row r="85" spans="2:8" x14ac:dyDescent="0.25">
      <c r="C85" s="310"/>
    </row>
    <row r="86" spans="2:8" x14ac:dyDescent="0.25">
      <c r="C86" s="325"/>
      <c r="D86" s="326"/>
      <c r="E86" s="326"/>
      <c r="F86" s="326"/>
      <c r="G86" s="326"/>
      <c r="H86" s="326"/>
    </row>
    <row r="90" spans="2:8" x14ac:dyDescent="0.25">
      <c r="B90" s="305"/>
    </row>
    <row r="91" spans="2:8" x14ac:dyDescent="0.25">
      <c r="C91" s="310"/>
      <c r="E91" s="312"/>
    </row>
    <row r="92" spans="2:8" x14ac:dyDescent="0.25">
      <c r="C92" s="310"/>
      <c r="E92" s="312"/>
    </row>
    <row r="93" spans="2:8" x14ac:dyDescent="0.25">
      <c r="C93" s="321"/>
      <c r="D93" s="305"/>
      <c r="E93" s="312"/>
      <c r="F93" s="305"/>
      <c r="G93" s="305"/>
    </row>
    <row r="94" spans="2:8" x14ac:dyDescent="0.25">
      <c r="C94" s="325"/>
      <c r="D94" s="326"/>
      <c r="F94" s="326"/>
      <c r="G94" s="326"/>
    </row>
    <row r="95" spans="2:8" x14ac:dyDescent="0.25">
      <c r="C95" s="310"/>
    </row>
  </sheetData>
  <mergeCells count="2">
    <mergeCell ref="A8:H8"/>
    <mergeCell ref="M24:N24"/>
  </mergeCells>
  <pageMargins left="0.5" right="0.5" top="1" bottom="0.75" header="0.55000000000000004" footer="0.3"/>
  <pageSetup scale="9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C830-C1FC-4C81-A2F0-80D079D591A6}">
  <sheetPr transitionEvaluation="1"/>
  <dimension ref="A1:N93"/>
  <sheetViews>
    <sheetView showGridLines="0" defaultGridColor="0" view="pageBreakPreview" colorId="8" zoomScale="80" zoomScaleNormal="90" zoomScaleSheetLayoutView="80" workbookViewId="0">
      <selection activeCell="Q28" sqref="Q28"/>
    </sheetView>
  </sheetViews>
  <sheetFormatPr defaultColWidth="11.33203125" defaultRowHeight="12.5" x14ac:dyDescent="0.25"/>
  <cols>
    <col min="1" max="1" width="4.83203125" style="284" customWidth="1"/>
    <col min="2" max="2" width="21.58203125" style="284" customWidth="1"/>
    <col min="3" max="3" width="13.25" style="284" customWidth="1"/>
    <col min="4" max="4" width="11.33203125" style="284"/>
    <col min="5" max="5" width="9.08203125" style="284" customWidth="1"/>
    <col min="6" max="8" width="11.08203125" style="284" customWidth="1"/>
    <col min="9" max="9" width="12.75" style="284" customWidth="1"/>
    <col min="10" max="10" width="8.58203125" style="284" customWidth="1"/>
    <col min="11" max="11" width="31.75" style="284" customWidth="1"/>
    <col min="12" max="12" width="10.58203125" style="284" customWidth="1"/>
    <col min="13" max="13" width="13.08203125" style="284" customWidth="1"/>
    <col min="14" max="14" width="11.83203125" style="284" customWidth="1"/>
    <col min="15" max="16384" width="11.33203125" style="284"/>
  </cols>
  <sheetData>
    <row r="1" spans="1:14" ht="13" x14ac:dyDescent="0.3">
      <c r="H1" s="332" t="s">
        <v>573</v>
      </c>
      <c r="K1" s="328"/>
    </row>
    <row r="2" spans="1:14" ht="13" thickBot="1" x14ac:dyDescent="0.3">
      <c r="A2" s="333"/>
      <c r="B2" s="333"/>
      <c r="C2" s="333"/>
      <c r="D2" s="333"/>
      <c r="E2" s="333"/>
      <c r="F2" s="333"/>
      <c r="G2" s="333"/>
      <c r="H2" s="333" t="s">
        <v>574</v>
      </c>
    </row>
    <row r="3" spans="1:14" ht="13" hidden="1" x14ac:dyDescent="0.3">
      <c r="A3" s="289" t="s">
        <v>9</v>
      </c>
      <c r="B3" s="290"/>
      <c r="C3" s="290"/>
      <c r="D3" s="290"/>
      <c r="E3" s="290"/>
      <c r="F3" s="290"/>
      <c r="G3" s="290"/>
      <c r="H3" s="290"/>
    </row>
    <row r="4" spans="1:14" hidden="1" x14ac:dyDescent="0.25">
      <c r="A4" s="290" t="s">
        <v>10</v>
      </c>
      <c r="B4" s="290"/>
      <c r="C4" s="290"/>
      <c r="D4" s="290"/>
      <c r="E4" s="290"/>
      <c r="F4" s="290"/>
      <c r="G4" s="290"/>
      <c r="H4" s="290"/>
    </row>
    <row r="5" spans="1:14" ht="13" x14ac:dyDescent="0.3">
      <c r="A5" s="334" t="s">
        <v>575</v>
      </c>
      <c r="B5" s="290"/>
      <c r="C5" s="290"/>
      <c r="D5" s="290"/>
      <c r="E5" s="290"/>
      <c r="F5" s="290"/>
      <c r="G5" s="290"/>
      <c r="H5" s="292"/>
    </row>
    <row r="6" spans="1:14" ht="13.5" thickBot="1" x14ac:dyDescent="0.35">
      <c r="A6" s="335" t="s">
        <v>517</v>
      </c>
      <c r="B6" s="336"/>
      <c r="C6" s="336"/>
      <c r="D6" s="336"/>
      <c r="E6" s="336"/>
      <c r="F6" s="336"/>
      <c r="G6" s="336"/>
      <c r="H6" s="337"/>
    </row>
    <row r="7" spans="1:14" ht="13" x14ac:dyDescent="0.3">
      <c r="A7" s="334"/>
      <c r="B7" s="290"/>
      <c r="C7" s="290"/>
      <c r="D7" s="290"/>
      <c r="E7" s="290"/>
      <c r="F7" s="290"/>
      <c r="G7" s="290"/>
      <c r="H7" s="292"/>
    </row>
    <row r="8" spans="1:14" ht="13" x14ac:dyDescent="0.3">
      <c r="A8" s="334"/>
      <c r="B8" s="290"/>
      <c r="C8" s="290"/>
      <c r="D8" s="290"/>
      <c r="E8" s="290"/>
      <c r="F8" s="290"/>
      <c r="G8" s="290"/>
      <c r="H8" s="292"/>
    </row>
    <row r="10" spans="1:14" x14ac:dyDescent="0.25">
      <c r="C10" s="302" t="s">
        <v>518</v>
      </c>
      <c r="D10" s="303" t="s">
        <v>80</v>
      </c>
      <c r="E10" s="303" t="s">
        <v>81</v>
      </c>
      <c r="F10" s="303" t="s">
        <v>82</v>
      </c>
      <c r="G10" s="303" t="s">
        <v>83</v>
      </c>
      <c r="H10" s="303" t="s">
        <v>519</v>
      </c>
    </row>
    <row r="11" spans="1:14" x14ac:dyDescent="0.25">
      <c r="H11" s="304" t="s">
        <v>520</v>
      </c>
      <c r="L11" s="302"/>
      <c r="M11" s="302"/>
      <c r="N11" s="302"/>
    </row>
    <row r="12" spans="1:14" x14ac:dyDescent="0.25">
      <c r="C12" s="304" t="s">
        <v>521</v>
      </c>
      <c r="G12" s="304" t="s">
        <v>522</v>
      </c>
      <c r="H12" s="304" t="s">
        <v>522</v>
      </c>
      <c r="M12" s="302"/>
      <c r="N12" s="302"/>
    </row>
    <row r="13" spans="1:14" x14ac:dyDescent="0.25">
      <c r="C13" s="304" t="s">
        <v>523</v>
      </c>
      <c r="E13" s="302" t="s">
        <v>524</v>
      </c>
      <c r="F13" s="302" t="s">
        <v>525</v>
      </c>
      <c r="G13" s="304" t="s">
        <v>526</v>
      </c>
      <c r="H13" s="304" t="s">
        <v>526</v>
      </c>
    </row>
    <row r="14" spans="1:14" x14ac:dyDescent="0.25">
      <c r="A14" s="305" t="s">
        <v>126</v>
      </c>
      <c r="B14" s="305" t="s">
        <v>527</v>
      </c>
      <c r="C14" s="306" t="s">
        <v>528</v>
      </c>
      <c r="D14" s="307" t="s">
        <v>529</v>
      </c>
      <c r="E14" s="307" t="s">
        <v>530</v>
      </c>
      <c r="F14" s="307" t="s">
        <v>531</v>
      </c>
      <c r="G14" s="308" t="s">
        <v>532</v>
      </c>
      <c r="H14" s="308" t="s">
        <v>532</v>
      </c>
      <c r="L14" s="309"/>
      <c r="M14" s="310"/>
      <c r="N14" s="309"/>
    </row>
    <row r="15" spans="1:14" x14ac:dyDescent="0.25">
      <c r="C15" s="304" t="s">
        <v>533</v>
      </c>
      <c r="D15" s="304" t="s">
        <v>534</v>
      </c>
      <c r="E15" s="304" t="s">
        <v>534</v>
      </c>
      <c r="F15" s="304" t="s">
        <v>534</v>
      </c>
      <c r="G15" s="304" t="s">
        <v>534</v>
      </c>
      <c r="H15" s="304" t="s">
        <v>534</v>
      </c>
    </row>
    <row r="16" spans="1:14" x14ac:dyDescent="0.25">
      <c r="I16" s="305"/>
      <c r="J16" s="305"/>
      <c r="K16" s="310"/>
    </row>
    <row r="17" spans="1:14" x14ac:dyDescent="0.25">
      <c r="A17" s="311" t="s">
        <v>538</v>
      </c>
      <c r="B17" s="284" t="s">
        <v>576</v>
      </c>
      <c r="C17" s="310">
        <v>877077.2449745984</v>
      </c>
      <c r="D17" s="284">
        <f>ROUND(C17/$C$25*100,4)+0.0001</f>
        <v>31.640899999999998</v>
      </c>
      <c r="E17" s="312">
        <v>3.7648571399999997</v>
      </c>
      <c r="F17" s="284">
        <f>ROUND(D17*E17/100,4)</f>
        <v>1.1912</v>
      </c>
      <c r="G17" s="284">
        <f>F17</f>
        <v>1.1912</v>
      </c>
      <c r="I17" s="310"/>
      <c r="J17" s="310"/>
      <c r="K17" s="338"/>
      <c r="L17" s="310"/>
      <c r="N17" s="310"/>
    </row>
    <row r="18" spans="1:14" x14ac:dyDescent="0.25">
      <c r="A18" s="311" t="s">
        <v>540</v>
      </c>
      <c r="B18" s="284" t="s">
        <v>541</v>
      </c>
      <c r="C18" s="310">
        <v>141485.12400000001</v>
      </c>
      <c r="D18" s="284">
        <f t="shared" ref="D18:D23" si="0">ROUND(C18/$C$25*100,4)</f>
        <v>5.1040999999999999</v>
      </c>
      <c r="E18" s="312">
        <v>0.91999999999999993</v>
      </c>
      <c r="F18" s="284">
        <f>ROUND(D18*E18/100,4)</f>
        <v>4.7E-2</v>
      </c>
      <c r="G18" s="284">
        <f>F18</f>
        <v>4.7E-2</v>
      </c>
      <c r="I18" s="310"/>
      <c r="J18" s="310"/>
      <c r="K18" s="338"/>
      <c r="L18" s="310"/>
      <c r="N18" s="310"/>
    </row>
    <row r="19" spans="1:14" x14ac:dyDescent="0.25">
      <c r="A19" s="311" t="s">
        <v>542</v>
      </c>
      <c r="B19" s="284" t="s">
        <v>543</v>
      </c>
      <c r="C19" s="310">
        <v>0</v>
      </c>
      <c r="D19" s="284">
        <f t="shared" si="0"/>
        <v>0</v>
      </c>
      <c r="E19" s="312">
        <v>0</v>
      </c>
      <c r="F19" s="284">
        <f>ROUND(D19*E19/100,4)</f>
        <v>0</v>
      </c>
      <c r="G19" s="284">
        <f>ROUND(F19/(1-$C$48/100),4)</f>
        <v>0</v>
      </c>
      <c r="I19" s="310"/>
      <c r="J19" s="322"/>
      <c r="K19" s="338"/>
      <c r="L19" s="310"/>
      <c r="N19" s="310"/>
    </row>
    <row r="20" spans="1:14" x14ac:dyDescent="0.25">
      <c r="A20" s="311" t="s">
        <v>544</v>
      </c>
      <c r="B20" s="284" t="s">
        <v>545</v>
      </c>
      <c r="C20" s="310">
        <v>1171866.5930000001</v>
      </c>
      <c r="D20" s="284">
        <f t="shared" si="0"/>
        <v>42.275399999999998</v>
      </c>
      <c r="E20" s="312">
        <v>10.25</v>
      </c>
      <c r="F20" s="284">
        <f>ROUND(D20*E20/100,4)</f>
        <v>4.3331999999999997</v>
      </c>
      <c r="G20" s="284">
        <f>ROUND(F20/(1-$C$48/100),4)</f>
        <v>5.7409999999999997</v>
      </c>
      <c r="I20" s="321"/>
      <c r="J20" s="321"/>
      <c r="K20" s="328" t="s">
        <v>546</v>
      </c>
      <c r="L20" s="309">
        <f>C20/(C17+C18+C19+C20)</f>
        <v>0.53499410998638441</v>
      </c>
      <c r="N20" s="310"/>
    </row>
    <row r="21" spans="1:14" x14ac:dyDescent="0.25">
      <c r="A21" s="311" t="s">
        <v>547</v>
      </c>
      <c r="B21" s="284" t="s">
        <v>548</v>
      </c>
      <c r="C21" s="310">
        <v>20014.912</v>
      </c>
      <c r="D21" s="284">
        <f t="shared" si="0"/>
        <v>0.72199999999999998</v>
      </c>
      <c r="E21" s="312">
        <v>2.69</v>
      </c>
      <c r="F21" s="284">
        <f>ROUND(D21*E21/100,4)</f>
        <v>1.9400000000000001E-2</v>
      </c>
      <c r="G21" s="284">
        <f>F21</f>
        <v>1.9400000000000001E-2</v>
      </c>
      <c r="I21" s="310"/>
      <c r="J21" s="310"/>
      <c r="K21" s="338"/>
      <c r="L21" s="310"/>
      <c r="N21" s="310"/>
    </row>
    <row r="22" spans="1:14" x14ac:dyDescent="0.25">
      <c r="A22" s="311" t="s">
        <v>549</v>
      </c>
      <c r="B22" s="284" t="s">
        <v>550</v>
      </c>
      <c r="C22" s="310">
        <v>558907.429</v>
      </c>
      <c r="D22" s="284">
        <f t="shared" si="0"/>
        <v>20.162700000000001</v>
      </c>
      <c r="E22" s="312"/>
      <c r="I22" s="309"/>
      <c r="J22" s="339"/>
      <c r="K22" s="338"/>
      <c r="L22" s="310"/>
      <c r="N22" s="310"/>
    </row>
    <row r="23" spans="1:14" x14ac:dyDescent="0.25">
      <c r="A23" s="311" t="s">
        <v>551</v>
      </c>
      <c r="B23" s="320" t="s">
        <v>552</v>
      </c>
      <c r="C23" s="321">
        <v>2631.6750000000002</v>
      </c>
      <c r="D23" s="284">
        <f t="shared" si="0"/>
        <v>9.4899999999999998E-2</v>
      </c>
      <c r="E23" s="312">
        <f>F31</f>
        <v>7.4740000000000002</v>
      </c>
      <c r="F23" s="305">
        <f>ROUND(D23*E23/100,4)</f>
        <v>7.1000000000000004E-3</v>
      </c>
      <c r="G23" s="305">
        <f>G31</f>
        <v>7.1000000000000004E-3</v>
      </c>
      <c r="I23" s="310"/>
      <c r="J23" s="322"/>
      <c r="K23" s="338"/>
      <c r="L23" s="310"/>
      <c r="N23" s="310"/>
    </row>
    <row r="24" spans="1:14" x14ac:dyDescent="0.25">
      <c r="A24" s="323"/>
      <c r="C24" s="310"/>
      <c r="J24" s="304"/>
      <c r="K24" s="338"/>
      <c r="L24" s="310"/>
      <c r="N24" s="310"/>
    </row>
    <row r="25" spans="1:14" x14ac:dyDescent="0.25">
      <c r="A25" s="311">
        <v>8</v>
      </c>
      <c r="B25" s="284" t="s">
        <v>117</v>
      </c>
      <c r="C25" s="325">
        <f>SUM(C17:C23)</f>
        <v>2771982.9779745983</v>
      </c>
      <c r="D25" s="326">
        <f>ROUND(SUM(D17:D23),4)</f>
        <v>100</v>
      </c>
      <c r="E25" s="326"/>
      <c r="F25" s="326">
        <f>ROUND(SUM(F17:F23),4)</f>
        <v>5.5979000000000001</v>
      </c>
      <c r="G25" s="326">
        <f>ROUND(SUM(G17:G23),4)</f>
        <v>7.0057</v>
      </c>
      <c r="H25" s="326">
        <f>ROUND(G25/12,4)</f>
        <v>0.58379999999999999</v>
      </c>
      <c r="J25" s="304"/>
      <c r="K25" s="338"/>
      <c r="L25" s="310"/>
      <c r="N25" s="310"/>
    </row>
    <row r="26" spans="1:14" x14ac:dyDescent="0.25">
      <c r="A26" s="323"/>
      <c r="K26" s="338"/>
      <c r="L26" s="310"/>
      <c r="N26" s="310"/>
    </row>
    <row r="27" spans="1:14" x14ac:dyDescent="0.25">
      <c r="A27" s="323"/>
      <c r="B27" s="305" t="s">
        <v>553</v>
      </c>
      <c r="K27" s="338"/>
      <c r="L27" s="310"/>
      <c r="N27" s="310"/>
    </row>
    <row r="28" spans="1:14" x14ac:dyDescent="0.25">
      <c r="A28" s="311">
        <v>9</v>
      </c>
      <c r="B28" s="284" t="s">
        <v>554</v>
      </c>
      <c r="C28" s="310">
        <f>C17</f>
        <v>877077.2449745984</v>
      </c>
      <c r="D28" s="284">
        <f>ROUND(C28/$C$31*100,4)</f>
        <v>42.8063</v>
      </c>
      <c r="E28" s="312">
        <f>E17</f>
        <v>3.7648571399999997</v>
      </c>
      <c r="F28" s="284">
        <f>ROUND(D28*E28/100,4)</f>
        <v>1.6115999999999999</v>
      </c>
      <c r="G28" s="284">
        <f>ROUND(+F28*$D$23/100,4)</f>
        <v>1.5E-3</v>
      </c>
    </row>
    <row r="29" spans="1:14" x14ac:dyDescent="0.25">
      <c r="A29" s="311">
        <v>10</v>
      </c>
      <c r="B29" s="284" t="s">
        <v>555</v>
      </c>
      <c r="C29" s="310">
        <f>C19</f>
        <v>0</v>
      </c>
      <c r="D29" s="284">
        <f>ROUND(C29/$C$31*100,4)</f>
        <v>0</v>
      </c>
      <c r="E29" s="312">
        <f>E19</f>
        <v>0</v>
      </c>
      <c r="F29" s="284">
        <f>ROUND(D29*E29/100,4)</f>
        <v>0</v>
      </c>
      <c r="G29" s="284">
        <f>ROUND(+F29*$D$23/100,4)</f>
        <v>0</v>
      </c>
    </row>
    <row r="30" spans="1:14" x14ac:dyDescent="0.25">
      <c r="A30" s="311">
        <v>11</v>
      </c>
      <c r="B30" s="284" t="s">
        <v>556</v>
      </c>
      <c r="C30" s="321">
        <f>C20</f>
        <v>1171866.5930000001</v>
      </c>
      <c r="D30" s="284">
        <f>ROUND(C30/$C$31*100,4)</f>
        <v>57.1937</v>
      </c>
      <c r="E30" s="312">
        <f>E20</f>
        <v>10.25</v>
      </c>
      <c r="F30" s="284">
        <f>ROUND(D30*E30/100,4)</f>
        <v>5.8624000000000001</v>
      </c>
      <c r="G30" s="284">
        <f>ROUND(+F30*$D$23/100,4)</f>
        <v>5.5999999999999999E-3</v>
      </c>
      <c r="H30" s="305"/>
    </row>
    <row r="31" spans="1:14" x14ac:dyDescent="0.25">
      <c r="A31" s="311">
        <v>12</v>
      </c>
      <c r="C31" s="325">
        <f>SUM(C28:C30)</f>
        <v>2048943.8379745986</v>
      </c>
      <c r="D31" s="326">
        <f>ROUND(SUM(D28:D30),4)</f>
        <v>100</v>
      </c>
      <c r="F31" s="326">
        <f>ROUND(SUM(F28:F30),4)</f>
        <v>7.4740000000000002</v>
      </c>
      <c r="G31" s="326">
        <f>ROUND(SUM(G28:G30),4)</f>
        <v>7.1000000000000004E-3</v>
      </c>
    </row>
    <row r="32" spans="1:14" x14ac:dyDescent="0.25">
      <c r="A32" s="323"/>
      <c r="C32" s="310"/>
    </row>
    <row r="33" spans="1:11" x14ac:dyDescent="0.25">
      <c r="A33" s="323"/>
      <c r="B33" s="305" t="s">
        <v>557</v>
      </c>
      <c r="C33" s="310"/>
    </row>
    <row r="34" spans="1:11" x14ac:dyDescent="0.25">
      <c r="A34" s="311">
        <f>+A31+1</f>
        <v>13</v>
      </c>
      <c r="B34" s="284" t="s">
        <v>558</v>
      </c>
      <c r="C34" s="310"/>
      <c r="G34" s="284">
        <f>ROUND(G17+G18+G21+G28,4)</f>
        <v>1.2591000000000001</v>
      </c>
      <c r="H34" s="284">
        <f>ROUND(G34/12,4)</f>
        <v>0.10489999999999999</v>
      </c>
    </row>
    <row r="35" spans="1:11" x14ac:dyDescent="0.25">
      <c r="A35" s="311">
        <v>14</v>
      </c>
      <c r="B35" s="284" t="s">
        <v>559</v>
      </c>
      <c r="C35" s="310"/>
      <c r="G35" s="305">
        <f>ROUND(G19+G20+G29+G30,4)</f>
        <v>5.7465999999999999</v>
      </c>
      <c r="H35" s="305">
        <f>ROUND(G35/12,4)</f>
        <v>0.47889999999999999</v>
      </c>
    </row>
    <row r="36" spans="1:11" x14ac:dyDescent="0.25">
      <c r="A36" s="311">
        <v>15</v>
      </c>
      <c r="B36" s="284" t="s">
        <v>560</v>
      </c>
      <c r="C36" s="310"/>
      <c r="G36" s="326">
        <f>ROUND(G34+G35,4)</f>
        <v>7.0057</v>
      </c>
      <c r="H36" s="326">
        <f>ROUND(H34+H35,4)</f>
        <v>0.58379999999999999</v>
      </c>
      <c r="I36" s="327"/>
    </row>
    <row r="37" spans="1:11" x14ac:dyDescent="0.25">
      <c r="A37" s="323"/>
    </row>
    <row r="38" spans="1:11" x14ac:dyDescent="0.25">
      <c r="A38" s="305" t="s">
        <v>561</v>
      </c>
    </row>
    <row r="39" spans="1:11" x14ac:dyDescent="0.25">
      <c r="A39" s="284" t="s">
        <v>79</v>
      </c>
      <c r="B39" s="328" t="s">
        <v>577</v>
      </c>
    </row>
    <row r="40" spans="1:11" x14ac:dyDescent="0.25">
      <c r="B40" s="284" t="s">
        <v>563</v>
      </c>
    </row>
    <row r="41" spans="1:11" x14ac:dyDescent="0.25">
      <c r="B41" s="328" t="s">
        <v>564</v>
      </c>
    </row>
    <row r="42" spans="1:11" x14ac:dyDescent="0.25">
      <c r="A42" s="284" t="s">
        <v>80</v>
      </c>
      <c r="B42" s="284" t="s">
        <v>565</v>
      </c>
    </row>
    <row r="43" spans="1:11" x14ac:dyDescent="0.25">
      <c r="A43" s="284" t="s">
        <v>81</v>
      </c>
      <c r="B43" s="284" t="s">
        <v>577</v>
      </c>
    </row>
    <row r="44" spans="1:11" x14ac:dyDescent="0.25">
      <c r="A44" s="284" t="s">
        <v>82</v>
      </c>
      <c r="B44" s="284" t="s">
        <v>566</v>
      </c>
    </row>
    <row r="45" spans="1:11" x14ac:dyDescent="0.25">
      <c r="A45" s="284" t="s">
        <v>83</v>
      </c>
      <c r="B45" s="284" t="s">
        <v>567</v>
      </c>
      <c r="K45" s="340"/>
    </row>
    <row r="46" spans="1:11" x14ac:dyDescent="0.25">
      <c r="B46" s="284" t="s">
        <v>568</v>
      </c>
      <c r="K46" s="340"/>
    </row>
    <row r="47" spans="1:11" x14ac:dyDescent="0.25">
      <c r="A47" s="284" t="s">
        <v>519</v>
      </c>
      <c r="B47" s="284" t="s">
        <v>569</v>
      </c>
    </row>
    <row r="48" spans="1:11" x14ac:dyDescent="0.25">
      <c r="C48" s="341">
        <v>24.521799999999999</v>
      </c>
      <c r="E48" s="284" t="s">
        <v>571</v>
      </c>
    </row>
    <row r="49" spans="5:13" x14ac:dyDescent="0.25">
      <c r="G49" s="284">
        <v>100</v>
      </c>
      <c r="M49" s="342"/>
    </row>
    <row r="50" spans="5:13" x14ac:dyDescent="0.25">
      <c r="E50" s="284" t="s">
        <v>572</v>
      </c>
      <c r="G50" s="330">
        <v>7.1999999999999995E-2</v>
      </c>
    </row>
    <row r="51" spans="5:13" x14ac:dyDescent="0.25">
      <c r="G51" s="284">
        <f>G49-G50</f>
        <v>99.927999999999997</v>
      </c>
    </row>
    <row r="53" spans="5:13" x14ac:dyDescent="0.25">
      <c r="G53" s="331">
        <f>100/G51</f>
        <v>1.0007205187735169</v>
      </c>
    </row>
    <row r="65" spans="2:7" x14ac:dyDescent="0.25">
      <c r="B65" s="305"/>
    </row>
    <row r="68" spans="2:7" x14ac:dyDescent="0.25">
      <c r="B68" s="290"/>
      <c r="C68" s="290"/>
      <c r="D68" s="290"/>
      <c r="E68" s="290"/>
    </row>
    <row r="72" spans="2:7" x14ac:dyDescent="0.25">
      <c r="C72" s="305"/>
      <c r="D72" s="305"/>
      <c r="E72" s="305"/>
      <c r="F72" s="305"/>
      <c r="G72" s="305"/>
    </row>
    <row r="75" spans="2:7" x14ac:dyDescent="0.25">
      <c r="C75" s="310"/>
      <c r="E75" s="312"/>
    </row>
    <row r="76" spans="2:7" x14ac:dyDescent="0.25">
      <c r="C76" s="310"/>
      <c r="E76" s="312"/>
    </row>
    <row r="77" spans="2:7" x14ac:dyDescent="0.25">
      <c r="C77" s="310"/>
      <c r="E77" s="312"/>
    </row>
    <row r="78" spans="2:7" x14ac:dyDescent="0.25">
      <c r="C78" s="310"/>
      <c r="E78" s="312"/>
    </row>
    <row r="79" spans="2:7" x14ac:dyDescent="0.25">
      <c r="C79" s="310"/>
      <c r="E79" s="312"/>
    </row>
    <row r="80" spans="2:7" x14ac:dyDescent="0.25">
      <c r="C80" s="310"/>
      <c r="E80" s="312"/>
    </row>
    <row r="81" spans="2:8" x14ac:dyDescent="0.25">
      <c r="C81" s="310"/>
      <c r="E81" s="312"/>
    </row>
    <row r="82" spans="2:8" x14ac:dyDescent="0.25">
      <c r="C82" s="321"/>
      <c r="D82" s="305"/>
      <c r="E82" s="312"/>
      <c r="F82" s="305"/>
      <c r="G82" s="305"/>
    </row>
    <row r="83" spans="2:8" x14ac:dyDescent="0.25">
      <c r="C83" s="310"/>
    </row>
    <row r="84" spans="2:8" x14ac:dyDescent="0.25">
      <c r="C84" s="325"/>
      <c r="D84" s="326"/>
      <c r="E84" s="326"/>
      <c r="F84" s="326"/>
      <c r="G84" s="326"/>
      <c r="H84" s="326"/>
    </row>
    <row r="88" spans="2:8" x14ac:dyDescent="0.25">
      <c r="B88" s="305"/>
    </row>
    <row r="89" spans="2:8" x14ac:dyDescent="0.25">
      <c r="C89" s="310"/>
      <c r="E89" s="312"/>
    </row>
    <row r="90" spans="2:8" x14ac:dyDescent="0.25">
      <c r="C90" s="310"/>
      <c r="E90" s="312"/>
    </row>
    <row r="91" spans="2:8" x14ac:dyDescent="0.25">
      <c r="C91" s="321"/>
      <c r="D91" s="305"/>
      <c r="E91" s="312"/>
      <c r="F91" s="305"/>
      <c r="G91" s="305"/>
    </row>
    <row r="92" spans="2:8" x14ac:dyDescent="0.25">
      <c r="C92" s="325"/>
      <c r="D92" s="326"/>
      <c r="F92" s="326"/>
      <c r="G92" s="326"/>
    </row>
    <row r="93" spans="2:8" x14ac:dyDescent="0.25">
      <c r="C93" s="310"/>
    </row>
  </sheetData>
  <printOptions horizontalCentered="1"/>
  <pageMargins left="1" right="1" top="1" bottom="0.5" header="0.5" footer="0.5"/>
  <pageSetup scale="70" orientation="portrait" r:id="rId1"/>
  <headerFooter alignWithMargins="0">
    <oddHeader xml:space="preserve">&amp;R&amp;"Arial,Regular"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8095-02B6-444E-8C6B-446A517E9B03}">
  <sheetPr transitionEvaluation="1" transitionEntry="1"/>
  <dimension ref="A1:X56"/>
  <sheetViews>
    <sheetView showGridLines="0" defaultGridColor="0" view="pageBreakPreview" topLeftCell="B1" colorId="8" zoomScale="80" zoomScaleNormal="100" zoomScaleSheetLayoutView="80" workbookViewId="0">
      <selection activeCell="Q28" sqref="Q28"/>
    </sheetView>
  </sheetViews>
  <sheetFormatPr defaultColWidth="9.58203125" defaultRowHeight="10" x14ac:dyDescent="0.2"/>
  <cols>
    <col min="1" max="1" width="3.58203125" style="89" customWidth="1"/>
    <col min="2" max="2" width="5.33203125" style="87" customWidth="1"/>
    <col min="3" max="3" width="31.08203125" style="89" bestFit="1" customWidth="1"/>
    <col min="4" max="4" width="2.83203125" style="89" customWidth="1"/>
    <col min="5" max="5" width="9.5" style="89" bestFit="1" customWidth="1"/>
    <col min="6" max="6" width="9.25" style="89" bestFit="1" customWidth="1"/>
    <col min="7" max="7" width="9.5" style="89" bestFit="1" customWidth="1"/>
    <col min="8" max="8" width="8.83203125" style="89" bestFit="1" customWidth="1"/>
    <col min="9" max="9" width="8.08203125" style="89" bestFit="1" customWidth="1"/>
    <col min="10" max="12" width="9.33203125" style="89" bestFit="1" customWidth="1"/>
    <col min="13" max="13" width="9.83203125" style="89" bestFit="1" customWidth="1"/>
    <col min="14" max="14" width="9.33203125" style="89" bestFit="1" customWidth="1"/>
    <col min="15" max="15" width="9.5" style="89" bestFit="1" customWidth="1"/>
    <col min="16" max="16" width="9.33203125" style="89" bestFit="1" customWidth="1"/>
    <col min="17" max="17" width="11.33203125" style="89" customWidth="1"/>
    <col min="18" max="18" width="8.75" style="89" bestFit="1" customWidth="1"/>
    <col min="19" max="19" width="9.25" style="89" bestFit="1" customWidth="1"/>
    <col min="20" max="20" width="14.08203125" style="89" bestFit="1" customWidth="1"/>
    <col min="21" max="21" width="13" style="89" customWidth="1"/>
    <col min="22" max="22" width="14.83203125" style="89" customWidth="1"/>
    <col min="23" max="23" width="10.58203125" style="89" customWidth="1"/>
    <col min="24" max="24" width="10.58203125" style="89" bestFit="1" customWidth="1"/>
    <col min="25" max="25" width="12.58203125" style="89" customWidth="1"/>
    <col min="26" max="16384" width="9.58203125" style="89"/>
  </cols>
  <sheetData>
    <row r="1" spans="1:24" s="92" customFormat="1" ht="10.5" thickBo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20"/>
      <c r="Q1" s="120"/>
      <c r="R1" s="120"/>
      <c r="S1" s="120"/>
    </row>
    <row r="2" spans="1:24" s="92" customFormat="1" ht="15" customHeight="1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24" s="92" customFormat="1" ht="15" customHeight="1" x14ac:dyDescent="0.2">
      <c r="A3" s="94" t="s">
        <v>122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4" s="92" customFormat="1" ht="10.5" thickBot="1" x14ac:dyDescent="0.25"/>
    <row r="5" spans="1:24" ht="15.65" customHeight="1" x14ac:dyDescent="0.25">
      <c r="A5" s="121"/>
      <c r="B5" s="122" t="s">
        <v>123</v>
      </c>
      <c r="C5" s="123"/>
      <c r="D5" s="124"/>
      <c r="E5" s="125" t="s">
        <v>400</v>
      </c>
      <c r="F5" s="126" t="s">
        <v>400</v>
      </c>
      <c r="G5" s="126" t="s">
        <v>400</v>
      </c>
      <c r="H5" s="126" t="s">
        <v>400</v>
      </c>
      <c r="I5" s="126" t="s">
        <v>400</v>
      </c>
      <c r="J5" s="127" t="s">
        <v>401</v>
      </c>
      <c r="K5" s="126" t="s">
        <v>401</v>
      </c>
      <c r="L5" s="126" t="s">
        <v>401</v>
      </c>
      <c r="M5" s="126" t="s">
        <v>401</v>
      </c>
      <c r="N5" s="126" t="s">
        <v>401</v>
      </c>
      <c r="O5" s="126" t="s">
        <v>401</v>
      </c>
      <c r="P5" s="126" t="s">
        <v>401</v>
      </c>
      <c r="Q5" s="126" t="s">
        <v>124</v>
      </c>
      <c r="R5" s="128" t="s">
        <v>125</v>
      </c>
      <c r="S5" s="129"/>
      <c r="U5" s="88"/>
      <c r="X5" s="130"/>
    </row>
    <row r="6" spans="1:24" ht="11.25" customHeight="1" thickBot="1" x14ac:dyDescent="0.3">
      <c r="A6" s="131" t="s">
        <v>126</v>
      </c>
      <c r="B6" s="132"/>
      <c r="C6" s="133"/>
      <c r="D6" s="134"/>
      <c r="E6" s="135" t="s">
        <v>15</v>
      </c>
      <c r="F6" s="136" t="s">
        <v>16</v>
      </c>
      <c r="G6" s="136" t="s">
        <v>17</v>
      </c>
      <c r="H6" s="136" t="s">
        <v>18</v>
      </c>
      <c r="I6" s="136" t="s">
        <v>19</v>
      </c>
      <c r="J6" s="137" t="s">
        <v>20</v>
      </c>
      <c r="K6" s="136" t="s">
        <v>21</v>
      </c>
      <c r="L6" s="136" t="s">
        <v>22</v>
      </c>
      <c r="M6" s="136" t="s">
        <v>23</v>
      </c>
      <c r="N6" s="136" t="s">
        <v>24</v>
      </c>
      <c r="O6" s="136" t="s">
        <v>25</v>
      </c>
      <c r="P6" s="136" t="s">
        <v>26</v>
      </c>
      <c r="Q6" s="136" t="s">
        <v>127</v>
      </c>
      <c r="R6" s="135" t="s">
        <v>128</v>
      </c>
      <c r="S6" s="136" t="s">
        <v>129</v>
      </c>
      <c r="U6" s="138"/>
      <c r="V6" s="138"/>
      <c r="X6" s="130"/>
    </row>
    <row r="7" spans="1:24" ht="10.5" x14ac:dyDescent="0.25">
      <c r="A7" s="88">
        <v>1</v>
      </c>
      <c r="B7" s="89"/>
      <c r="C7" s="99" t="s">
        <v>130</v>
      </c>
      <c r="D7" s="139"/>
      <c r="X7" s="130"/>
    </row>
    <row r="8" spans="1:24" ht="10.5" x14ac:dyDescent="0.25">
      <c r="A8" s="140"/>
      <c r="B8" s="140">
        <v>1</v>
      </c>
      <c r="C8" s="89" t="s">
        <v>131</v>
      </c>
      <c r="D8" s="141"/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f>SUM(E8:P8)</f>
        <v>0</v>
      </c>
      <c r="R8" s="101">
        <v>0</v>
      </c>
      <c r="S8" s="101">
        <f>Q8</f>
        <v>0</v>
      </c>
      <c r="V8" s="142"/>
      <c r="X8" s="130"/>
    </row>
    <row r="9" spans="1:24" ht="10.5" x14ac:dyDescent="0.25">
      <c r="A9" s="140"/>
      <c r="B9" s="140">
        <v>2</v>
      </c>
      <c r="C9" s="89" t="s">
        <v>132</v>
      </c>
      <c r="D9" s="139"/>
      <c r="E9" s="101">
        <v>3475.23</v>
      </c>
      <c r="F9" s="101">
        <v>-6634.7000000000007</v>
      </c>
      <c r="G9" s="101">
        <v>137213.25999999998</v>
      </c>
      <c r="H9" s="101">
        <v>16883</v>
      </c>
      <c r="I9" s="101">
        <v>11152.59</v>
      </c>
      <c r="J9" s="101">
        <v>-34821.35</v>
      </c>
      <c r="K9" s="101">
        <v>12976.3</v>
      </c>
      <c r="L9" s="101">
        <v>12976.3</v>
      </c>
      <c r="M9" s="101">
        <v>12976.3</v>
      </c>
      <c r="N9" s="101">
        <v>12976.3</v>
      </c>
      <c r="O9" s="101">
        <v>12976.3</v>
      </c>
      <c r="P9" s="101">
        <v>78587.39</v>
      </c>
      <c r="Q9" s="101">
        <f t="shared" ref="Q9:Q35" si="0">SUM(E9:P9)</f>
        <v>270736.91999999993</v>
      </c>
      <c r="R9" s="101">
        <v>0</v>
      </c>
      <c r="S9" s="101">
        <f>Q9</f>
        <v>270736.91999999993</v>
      </c>
      <c r="V9" s="142"/>
      <c r="X9" s="130"/>
    </row>
    <row r="10" spans="1:24" ht="10.5" x14ac:dyDescent="0.25">
      <c r="A10" s="140"/>
      <c r="B10" s="140">
        <v>3</v>
      </c>
      <c r="C10" s="89" t="s">
        <v>133</v>
      </c>
      <c r="D10" s="139"/>
      <c r="E10" s="101">
        <v>12224.869999999999</v>
      </c>
      <c r="F10" s="101">
        <v>21891.54</v>
      </c>
      <c r="G10" s="101">
        <v>18269.009999999998</v>
      </c>
      <c r="H10" s="101">
        <v>16531.09</v>
      </c>
      <c r="I10" s="101">
        <v>13807.63</v>
      </c>
      <c r="J10" s="101">
        <v>17756.533706900002</v>
      </c>
      <c r="K10" s="101">
        <v>23525.783336100001</v>
      </c>
      <c r="L10" s="101">
        <v>16987.284077699998</v>
      </c>
      <c r="M10" s="101">
        <v>17756.533706900002</v>
      </c>
      <c r="N10" s="101">
        <v>17756.533706900002</v>
      </c>
      <c r="O10" s="101">
        <v>16987.284077699998</v>
      </c>
      <c r="P10" s="101">
        <v>23529.783336100001</v>
      </c>
      <c r="Q10" s="101">
        <f t="shared" si="0"/>
        <v>217023.87594829997</v>
      </c>
      <c r="R10" s="101">
        <v>0</v>
      </c>
      <c r="S10" s="101">
        <f>Q10</f>
        <v>217023.87594829997</v>
      </c>
      <c r="V10" s="142"/>
      <c r="X10" s="130"/>
    </row>
    <row r="11" spans="1:24" ht="10.5" x14ac:dyDescent="0.25">
      <c r="A11" s="140"/>
      <c r="B11" s="140">
        <v>4</v>
      </c>
      <c r="C11" s="89" t="s">
        <v>134</v>
      </c>
      <c r="D11" s="139"/>
      <c r="E11" s="101">
        <v>2328.6999999999998</v>
      </c>
      <c r="F11" s="101">
        <v>1000</v>
      </c>
      <c r="G11" s="101">
        <v>51500</v>
      </c>
      <c r="H11" s="101">
        <v>-18</v>
      </c>
      <c r="I11" s="101">
        <v>732.92</v>
      </c>
      <c r="J11" s="101">
        <v>-54543.12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f t="shared" si="0"/>
        <v>1000.4999999999927</v>
      </c>
      <c r="R11" s="101">
        <f>Q11</f>
        <v>1000.4999999999927</v>
      </c>
      <c r="S11" s="101">
        <v>0</v>
      </c>
      <c r="V11" s="142"/>
      <c r="X11" s="130"/>
    </row>
    <row r="12" spans="1:24" ht="10.5" x14ac:dyDescent="0.25">
      <c r="A12" s="140"/>
      <c r="B12" s="140">
        <v>5</v>
      </c>
      <c r="C12" s="89" t="s">
        <v>135</v>
      </c>
      <c r="D12" s="139"/>
      <c r="E12" s="101">
        <v>46081.369999999995</v>
      </c>
      <c r="F12" s="101">
        <v>40694.839999999997</v>
      </c>
      <c r="G12" s="101">
        <v>41239.93</v>
      </c>
      <c r="H12" s="101">
        <v>60469.15</v>
      </c>
      <c r="I12" s="101">
        <v>88633.459999999992</v>
      </c>
      <c r="J12" s="101">
        <v>50350.170154000007</v>
      </c>
      <c r="K12" s="101">
        <v>91108.210154</v>
      </c>
      <c r="L12" s="101">
        <v>52876.210154</v>
      </c>
      <c r="M12" s="101">
        <v>53173.210154</v>
      </c>
      <c r="N12" s="101">
        <v>53048.210154</v>
      </c>
      <c r="O12" s="101">
        <v>53048.210154</v>
      </c>
      <c r="P12" s="101">
        <v>57818.600154</v>
      </c>
      <c r="Q12" s="101">
        <f t="shared" si="0"/>
        <v>688541.57107799989</v>
      </c>
      <c r="R12" s="101">
        <v>0</v>
      </c>
      <c r="S12" s="101">
        <f>Q12</f>
        <v>688541.57107799989</v>
      </c>
      <c r="V12" s="142"/>
      <c r="X12" s="130"/>
    </row>
    <row r="13" spans="1:24" x14ac:dyDescent="0.2">
      <c r="A13" s="140"/>
      <c r="B13" s="140">
        <v>6</v>
      </c>
      <c r="C13" s="89" t="s">
        <v>136</v>
      </c>
      <c r="D13" s="139"/>
      <c r="E13" s="101">
        <v>-67188.739999999991</v>
      </c>
      <c r="F13" s="101">
        <v>80089.470000000016</v>
      </c>
      <c r="G13" s="101">
        <v>121110.80000000002</v>
      </c>
      <c r="H13" s="101">
        <v>47194.5</v>
      </c>
      <c r="I13" s="101">
        <v>87.869999999999891</v>
      </c>
      <c r="J13" s="101">
        <v>125226.03040809999</v>
      </c>
      <c r="K13" s="101">
        <v>153164.4404081</v>
      </c>
      <c r="L13" s="101">
        <v>170590.43110839999</v>
      </c>
      <c r="M13" s="101">
        <v>154187.4404081</v>
      </c>
      <c r="N13" s="101">
        <v>201001.4404081</v>
      </c>
      <c r="O13" s="101">
        <v>166923.4404081</v>
      </c>
      <c r="P13" s="101">
        <v>105527.4404081</v>
      </c>
      <c r="Q13" s="101">
        <f t="shared" si="0"/>
        <v>1257914.5635569999</v>
      </c>
      <c r="R13" s="101">
        <f t="shared" ref="R13:R19" si="1">Q13</f>
        <v>1257914.5635569999</v>
      </c>
      <c r="S13" s="101">
        <v>0</v>
      </c>
      <c r="V13" s="142"/>
    </row>
    <row r="14" spans="1:24" x14ac:dyDescent="0.2">
      <c r="A14" s="140"/>
      <c r="B14" s="140">
        <v>7</v>
      </c>
      <c r="C14" s="89" t="s">
        <v>137</v>
      </c>
      <c r="D14" s="139"/>
      <c r="E14" s="101">
        <v>219935.06</v>
      </c>
      <c r="F14" s="101">
        <v>175561.64</v>
      </c>
      <c r="G14" s="101">
        <v>189138.6</v>
      </c>
      <c r="H14" s="101">
        <v>247262.41999999998</v>
      </c>
      <c r="I14" s="101">
        <v>398112.56</v>
      </c>
      <c r="J14" s="101">
        <v>125498</v>
      </c>
      <c r="K14" s="101">
        <v>153015</v>
      </c>
      <c r="L14" s="101">
        <v>100498</v>
      </c>
      <c r="M14" s="101">
        <v>126498</v>
      </c>
      <c r="N14" s="101">
        <v>126498</v>
      </c>
      <c r="O14" s="101">
        <v>126498</v>
      </c>
      <c r="P14" s="101">
        <v>102498</v>
      </c>
      <c r="Q14" s="101">
        <f t="shared" si="0"/>
        <v>2091013.28</v>
      </c>
      <c r="R14" s="101">
        <f t="shared" si="1"/>
        <v>2091013.28</v>
      </c>
      <c r="S14" s="101">
        <v>0</v>
      </c>
      <c r="V14" s="142"/>
    </row>
    <row r="15" spans="1:24" x14ac:dyDescent="0.2">
      <c r="A15" s="140"/>
      <c r="B15" s="140">
        <v>8</v>
      </c>
      <c r="C15" s="89" t="s">
        <v>138</v>
      </c>
      <c r="D15" s="139"/>
      <c r="E15" s="101">
        <v>3020.25</v>
      </c>
      <c r="F15" s="101">
        <v>3119.6800000000003</v>
      </c>
      <c r="G15" s="101">
        <v>16727.190000000002</v>
      </c>
      <c r="H15" s="101">
        <v>14245.61</v>
      </c>
      <c r="I15" s="101">
        <v>16325.96</v>
      </c>
      <c r="J15" s="101">
        <v>-38423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34500</v>
      </c>
      <c r="Q15" s="101">
        <f t="shared" si="0"/>
        <v>49515.69</v>
      </c>
      <c r="R15" s="101">
        <f t="shared" si="1"/>
        <v>49515.69</v>
      </c>
      <c r="S15" s="101">
        <v>0</v>
      </c>
      <c r="V15" s="142"/>
    </row>
    <row r="16" spans="1:24" x14ac:dyDescent="0.2">
      <c r="A16" s="140"/>
      <c r="B16" s="140">
        <v>9</v>
      </c>
      <c r="C16" s="89" t="s">
        <v>139</v>
      </c>
      <c r="D16" s="139"/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f t="shared" si="0"/>
        <v>0</v>
      </c>
      <c r="R16" s="101">
        <f t="shared" si="1"/>
        <v>0</v>
      </c>
      <c r="S16" s="101">
        <v>0</v>
      </c>
      <c r="V16" s="142"/>
    </row>
    <row r="17" spans="1:22" x14ac:dyDescent="0.2">
      <c r="A17" s="140"/>
      <c r="B17" s="140">
        <v>10</v>
      </c>
      <c r="C17" s="89" t="s">
        <v>140</v>
      </c>
      <c r="D17" s="139"/>
      <c r="E17" s="101">
        <v>-4912.3100000000004</v>
      </c>
      <c r="F17" s="101">
        <v>0</v>
      </c>
      <c r="G17" s="101">
        <v>0</v>
      </c>
      <c r="H17" s="101">
        <v>0</v>
      </c>
      <c r="I17" s="101">
        <v>28500</v>
      </c>
      <c r="J17" s="101">
        <v>-26000</v>
      </c>
      <c r="K17" s="101">
        <v>0</v>
      </c>
      <c r="L17" s="101">
        <v>0</v>
      </c>
      <c r="M17" s="101">
        <v>0</v>
      </c>
      <c r="N17" s="101">
        <v>2500</v>
      </c>
      <c r="O17" s="101">
        <v>2500</v>
      </c>
      <c r="P17" s="101">
        <v>0</v>
      </c>
      <c r="Q17" s="101">
        <f t="shared" si="0"/>
        <v>2587.6899999999987</v>
      </c>
      <c r="R17" s="101">
        <f t="shared" si="1"/>
        <v>2587.6899999999987</v>
      </c>
      <c r="S17" s="101">
        <v>0</v>
      </c>
      <c r="V17" s="142"/>
    </row>
    <row r="18" spans="1:22" x14ac:dyDescent="0.2">
      <c r="A18" s="140"/>
      <c r="B18" s="140">
        <v>11</v>
      </c>
      <c r="C18" s="89" t="s">
        <v>141</v>
      </c>
      <c r="D18" s="139"/>
      <c r="E18" s="101">
        <v>116156.96</v>
      </c>
      <c r="F18" s="101">
        <v>103716.46</v>
      </c>
      <c r="G18" s="101">
        <v>15720.949999999997</v>
      </c>
      <c r="H18" s="101">
        <v>61184.400000000009</v>
      </c>
      <c r="I18" s="101">
        <v>52120.38</v>
      </c>
      <c r="J18" s="101">
        <v>95146.391912699997</v>
      </c>
      <c r="K18" s="101">
        <v>86808.484904900004</v>
      </c>
      <c r="L18" s="101">
        <v>117192.3948945</v>
      </c>
      <c r="M18" s="101">
        <v>101754.48191269999</v>
      </c>
      <c r="N18" s="101">
        <v>91281.621912700008</v>
      </c>
      <c r="O18" s="101">
        <v>71544.758920499997</v>
      </c>
      <c r="P18" s="101">
        <v>45352.474904899995</v>
      </c>
      <c r="Q18" s="101">
        <f t="shared" si="0"/>
        <v>957979.75936289993</v>
      </c>
      <c r="R18" s="101">
        <f t="shared" si="1"/>
        <v>957979.75936289993</v>
      </c>
      <c r="S18" s="101">
        <v>0</v>
      </c>
      <c r="V18" s="142"/>
    </row>
    <row r="19" spans="1:22" x14ac:dyDescent="0.2">
      <c r="A19" s="140"/>
      <c r="B19" s="140">
        <v>12</v>
      </c>
      <c r="C19" s="89" t="s">
        <v>142</v>
      </c>
      <c r="D19" s="139"/>
      <c r="E19" s="101">
        <v>6447.38</v>
      </c>
      <c r="F19" s="101">
        <v>11325.37</v>
      </c>
      <c r="G19" s="101">
        <v>8149.34</v>
      </c>
      <c r="H19" s="101">
        <v>18811.25</v>
      </c>
      <c r="I19" s="101">
        <v>12165.779999999999</v>
      </c>
      <c r="J19" s="101">
        <v>34190</v>
      </c>
      <c r="K19" s="101">
        <v>20000</v>
      </c>
      <c r="L19" s="101">
        <v>4000</v>
      </c>
      <c r="M19" s="101">
        <v>36000</v>
      </c>
      <c r="N19" s="101">
        <v>33589.880000000005</v>
      </c>
      <c r="O19" s="101">
        <v>6000</v>
      </c>
      <c r="P19" s="101">
        <v>6000</v>
      </c>
      <c r="Q19" s="101">
        <f t="shared" si="0"/>
        <v>196679</v>
      </c>
      <c r="R19" s="101">
        <f t="shared" si="1"/>
        <v>196679</v>
      </c>
      <c r="S19" s="101">
        <v>0</v>
      </c>
      <c r="V19" s="142"/>
    </row>
    <row r="20" spans="1:22" x14ac:dyDescent="0.2">
      <c r="A20" s="140"/>
      <c r="B20" s="140">
        <v>13</v>
      </c>
      <c r="C20" s="89" t="s">
        <v>143</v>
      </c>
      <c r="D20" s="143"/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f t="shared" si="0"/>
        <v>0</v>
      </c>
      <c r="R20" s="101">
        <v>0</v>
      </c>
      <c r="S20" s="101">
        <f>Q20</f>
        <v>0</v>
      </c>
      <c r="V20" s="142"/>
    </row>
    <row r="21" spans="1:22" x14ac:dyDescent="0.2">
      <c r="A21" s="140"/>
      <c r="B21" s="144">
        <v>14</v>
      </c>
      <c r="C21" s="89" t="s">
        <v>144</v>
      </c>
      <c r="D21" s="143"/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f t="shared" si="0"/>
        <v>0</v>
      </c>
      <c r="R21" s="101">
        <v>0</v>
      </c>
      <c r="S21" s="101">
        <f>Q21</f>
        <v>0</v>
      </c>
      <c r="V21" s="142"/>
    </row>
    <row r="22" spans="1:22" x14ac:dyDescent="0.2">
      <c r="A22" s="140"/>
      <c r="B22" s="144">
        <v>15</v>
      </c>
      <c r="C22" s="89" t="s">
        <v>145</v>
      </c>
      <c r="D22" s="143"/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f t="shared" si="0"/>
        <v>0</v>
      </c>
      <c r="R22" s="101">
        <v>0</v>
      </c>
      <c r="S22" s="101">
        <f>Q22</f>
        <v>0</v>
      </c>
      <c r="V22" s="142"/>
    </row>
    <row r="23" spans="1:22" x14ac:dyDescent="0.2">
      <c r="A23" s="140"/>
      <c r="B23" s="144">
        <v>16</v>
      </c>
      <c r="C23" s="89" t="s">
        <v>146</v>
      </c>
      <c r="D23" s="143"/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f t="shared" si="0"/>
        <v>0</v>
      </c>
      <c r="R23" s="101">
        <v>0</v>
      </c>
      <c r="S23" s="101">
        <f>Q23</f>
        <v>0</v>
      </c>
      <c r="V23" s="142"/>
    </row>
    <row r="24" spans="1:22" x14ac:dyDescent="0.2">
      <c r="A24" s="140"/>
      <c r="B24" s="144">
        <v>17</v>
      </c>
      <c r="C24" s="89" t="s">
        <v>147</v>
      </c>
      <c r="D24" s="143"/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f t="shared" si="0"/>
        <v>0</v>
      </c>
      <c r="R24" s="101">
        <v>0</v>
      </c>
      <c r="S24" s="101">
        <f>Q24</f>
        <v>0</v>
      </c>
      <c r="V24" s="142"/>
    </row>
    <row r="25" spans="1:22" x14ac:dyDescent="0.2">
      <c r="A25" s="140"/>
      <c r="B25" s="144">
        <v>18</v>
      </c>
      <c r="C25" s="89" t="s">
        <v>148</v>
      </c>
      <c r="D25" s="143"/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f t="shared" si="0"/>
        <v>0</v>
      </c>
      <c r="R25" s="101">
        <f>Q25</f>
        <v>0</v>
      </c>
      <c r="S25" s="101">
        <v>0</v>
      </c>
      <c r="V25" s="142"/>
    </row>
    <row r="26" spans="1:22" x14ac:dyDescent="0.2">
      <c r="A26" s="140"/>
      <c r="B26" s="144">
        <v>19</v>
      </c>
      <c r="C26" s="89" t="s">
        <v>149</v>
      </c>
      <c r="D26" s="143"/>
      <c r="E26" s="101">
        <v>78136.89</v>
      </c>
      <c r="F26" s="101">
        <v>5298.82</v>
      </c>
      <c r="G26" s="101">
        <v>-23348.94</v>
      </c>
      <c r="H26" s="101">
        <v>3072.65</v>
      </c>
      <c r="I26" s="101">
        <v>3308.95</v>
      </c>
      <c r="J26" s="101">
        <v>26726.764012400003</v>
      </c>
      <c r="K26" s="101">
        <v>38978.584012400002</v>
      </c>
      <c r="L26" s="101">
        <v>45366.134007599998</v>
      </c>
      <c r="M26" s="101">
        <v>37999.360008399999</v>
      </c>
      <c r="N26" s="101">
        <v>3926.8362023999998</v>
      </c>
      <c r="O26" s="101">
        <v>3926.8362023999998</v>
      </c>
      <c r="P26" s="101">
        <v>3926.8362023999998</v>
      </c>
      <c r="Q26" s="101">
        <f t="shared" si="0"/>
        <v>227319.72064800002</v>
      </c>
      <c r="R26" s="101">
        <v>0</v>
      </c>
      <c r="S26" s="101">
        <f>Q26</f>
        <v>227319.72064800002</v>
      </c>
      <c r="V26" s="142"/>
    </row>
    <row r="27" spans="1:22" x14ac:dyDescent="0.2">
      <c r="A27" s="140"/>
      <c r="B27" s="144">
        <v>20</v>
      </c>
      <c r="C27" s="89" t="s">
        <v>150</v>
      </c>
      <c r="D27" s="143"/>
      <c r="E27" s="101">
        <v>1147480.1499999994</v>
      </c>
      <c r="F27" s="101">
        <v>731047.25999999989</v>
      </c>
      <c r="G27" s="101">
        <v>1745059.8399999996</v>
      </c>
      <c r="H27" s="101">
        <v>728491.32999999984</v>
      </c>
      <c r="I27" s="101">
        <v>1120103.68</v>
      </c>
      <c r="J27" s="101">
        <v>1292805.5639334002</v>
      </c>
      <c r="K27" s="101">
        <v>1575767.7554996996</v>
      </c>
      <c r="L27" s="101">
        <v>1709679.3426138004</v>
      </c>
      <c r="M27" s="101">
        <v>1310422.3566354001</v>
      </c>
      <c r="N27" s="101">
        <v>1382405.2318229</v>
      </c>
      <c r="O27" s="101">
        <v>2829096.2633473999</v>
      </c>
      <c r="P27" s="101">
        <v>1426418.4630991998</v>
      </c>
      <c r="Q27" s="101">
        <f t="shared" si="0"/>
        <v>16998777.236951798</v>
      </c>
      <c r="R27" s="101">
        <v>0</v>
      </c>
      <c r="S27" s="101">
        <f>Q27</f>
        <v>16998777.236951798</v>
      </c>
      <c r="V27" s="142"/>
    </row>
    <row r="28" spans="1:22" x14ac:dyDescent="0.2">
      <c r="A28" s="140"/>
      <c r="B28" s="144">
        <v>21</v>
      </c>
      <c r="C28" s="89" t="s">
        <v>151</v>
      </c>
      <c r="D28" s="143"/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f t="shared" si="0"/>
        <v>0</v>
      </c>
      <c r="R28" s="101">
        <v>0</v>
      </c>
      <c r="S28" s="101">
        <f>Q28</f>
        <v>0</v>
      </c>
      <c r="V28" s="142"/>
    </row>
    <row r="29" spans="1:22" x14ac:dyDescent="0.2">
      <c r="A29" s="140"/>
      <c r="B29" s="144">
        <v>22</v>
      </c>
      <c r="C29" s="89" t="s">
        <v>152</v>
      </c>
      <c r="D29" s="143"/>
      <c r="E29" s="101">
        <v>0</v>
      </c>
      <c r="F29" s="101">
        <v>0</v>
      </c>
      <c r="G29" s="101">
        <v>0</v>
      </c>
      <c r="H29" s="101">
        <v>0</v>
      </c>
      <c r="I29" s="101">
        <v>16508.8</v>
      </c>
      <c r="J29" s="101">
        <v>50000</v>
      </c>
      <c r="K29" s="101">
        <v>67000</v>
      </c>
      <c r="L29" s="101">
        <v>12000</v>
      </c>
      <c r="M29" s="101">
        <v>12000</v>
      </c>
      <c r="N29" s="101">
        <v>20978</v>
      </c>
      <c r="O29" s="101">
        <v>30000</v>
      </c>
      <c r="P29" s="101">
        <v>0</v>
      </c>
      <c r="Q29" s="101">
        <f t="shared" si="0"/>
        <v>208486.8</v>
      </c>
      <c r="R29" s="101">
        <f>Q29</f>
        <v>208486.8</v>
      </c>
      <c r="S29" s="101">
        <v>0</v>
      </c>
      <c r="V29" s="142"/>
    </row>
    <row r="30" spans="1:22" x14ac:dyDescent="0.2">
      <c r="A30" s="140"/>
      <c r="B30" s="144">
        <v>23</v>
      </c>
      <c r="C30" s="89" t="s">
        <v>153</v>
      </c>
      <c r="D30" s="143"/>
      <c r="E30" s="101">
        <v>466918.94</v>
      </c>
      <c r="F30" s="101">
        <v>304789.48</v>
      </c>
      <c r="G30" s="101">
        <v>183026.02</v>
      </c>
      <c r="H30" s="101">
        <v>65931.5</v>
      </c>
      <c r="I30" s="101">
        <v>1455371.15</v>
      </c>
      <c r="J30" s="101">
        <v>386462.01261600002</v>
      </c>
      <c r="K30" s="101">
        <v>-2280949.4226709004</v>
      </c>
      <c r="L30" s="101">
        <v>-17909.364936500009</v>
      </c>
      <c r="M30" s="101">
        <v>94619.260597999993</v>
      </c>
      <c r="N30" s="101">
        <v>105504.26059799999</v>
      </c>
      <c r="O30" s="101">
        <v>95593.260597999993</v>
      </c>
      <c r="P30" s="101">
        <v>141486.890598</v>
      </c>
      <c r="Q30" s="101">
        <f t="shared" si="0"/>
        <v>1000843.9874005998</v>
      </c>
      <c r="R30" s="101">
        <f>Q30</f>
        <v>1000843.9874005998</v>
      </c>
      <c r="S30" s="101">
        <v>0</v>
      </c>
      <c r="V30" s="142"/>
    </row>
    <row r="31" spans="1:22" x14ac:dyDescent="0.2">
      <c r="A31" s="140"/>
      <c r="B31" s="144">
        <v>24</v>
      </c>
      <c r="C31" s="89" t="s">
        <v>154</v>
      </c>
      <c r="D31" s="143"/>
      <c r="E31" s="101">
        <v>4254.0200000000004</v>
      </c>
      <c r="F31" s="101">
        <v>2466.1799999999998</v>
      </c>
      <c r="G31" s="101">
        <v>2933.03</v>
      </c>
      <c r="H31" s="101">
        <v>-1373.26</v>
      </c>
      <c r="I31" s="101">
        <v>120.19</v>
      </c>
      <c r="J31" s="101">
        <v>4058</v>
      </c>
      <c r="K31" s="101">
        <v>4058</v>
      </c>
      <c r="L31" s="101">
        <v>4058</v>
      </c>
      <c r="M31" s="101">
        <v>4058</v>
      </c>
      <c r="N31" s="101">
        <v>4058</v>
      </c>
      <c r="O31" s="101">
        <v>4058</v>
      </c>
      <c r="P31" s="101">
        <v>4058</v>
      </c>
      <c r="Q31" s="101">
        <f>SUM(E31:P31)</f>
        <v>36806.160000000003</v>
      </c>
      <c r="R31" s="101">
        <f>Q31</f>
        <v>36806.160000000003</v>
      </c>
      <c r="S31" s="101">
        <v>0</v>
      </c>
      <c r="V31" s="142"/>
    </row>
    <row r="32" spans="1:22" x14ac:dyDescent="0.2">
      <c r="A32" s="140"/>
      <c r="B32" s="144">
        <v>25</v>
      </c>
      <c r="C32" s="89" t="s">
        <v>155</v>
      </c>
      <c r="D32" s="143"/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f t="shared" si="0"/>
        <v>0</v>
      </c>
      <c r="R32" s="101">
        <v>0</v>
      </c>
      <c r="S32" s="101">
        <f>Q32</f>
        <v>0</v>
      </c>
      <c r="V32" s="142"/>
    </row>
    <row r="33" spans="1:22" x14ac:dyDescent="0.2">
      <c r="A33" s="140"/>
      <c r="B33" s="144">
        <v>26</v>
      </c>
      <c r="C33" s="89" t="s">
        <v>156</v>
      </c>
      <c r="D33" s="143"/>
      <c r="E33" s="101">
        <f>'42-8_Ann_NOx'!E36</f>
        <v>928.59</v>
      </c>
      <c r="F33" s="101">
        <f>'42-8_Ann_NOx'!F36</f>
        <v>-286.33999999999997</v>
      </c>
      <c r="G33" s="101">
        <f>'42-8_Ann_NOx'!G36</f>
        <v>0</v>
      </c>
      <c r="H33" s="101">
        <f>'42-8_Ann_NOx'!H36</f>
        <v>175.53</v>
      </c>
      <c r="I33" s="101">
        <f>'42-8_Ann_NOx'!I36</f>
        <v>0</v>
      </c>
      <c r="J33" s="101">
        <f>'42-8_Ann_NOx'!J36</f>
        <v>93.41</v>
      </c>
      <c r="K33" s="101">
        <f>'42-8_Ann_NOx'!K36</f>
        <v>80.569999999999993</v>
      </c>
      <c r="L33" s="101">
        <f>'42-8_Ann_NOx'!L36</f>
        <v>99.42</v>
      </c>
      <c r="M33" s="101">
        <f>'42-8_Ann_NOx'!M36</f>
        <v>86.64</v>
      </c>
      <c r="N33" s="101">
        <f>'42-8_Ann_NOx'!N36</f>
        <v>60.03</v>
      </c>
      <c r="O33" s="101">
        <f>'42-8_Ann_NOx'!O36</f>
        <v>57.72</v>
      </c>
      <c r="P33" s="101">
        <f>'42-8_Ann_NOx'!P36</f>
        <v>66.89</v>
      </c>
      <c r="Q33" s="101">
        <f t="shared" si="0"/>
        <v>1362.4600000000003</v>
      </c>
      <c r="R33" s="101">
        <v>0</v>
      </c>
      <c r="S33" s="101">
        <f>Q33</f>
        <v>1362.4600000000003</v>
      </c>
      <c r="V33" s="142"/>
    </row>
    <row r="34" spans="1:22" x14ac:dyDescent="0.2">
      <c r="A34" s="140"/>
      <c r="B34" s="144">
        <v>27</v>
      </c>
      <c r="C34" s="89" t="s">
        <v>157</v>
      </c>
      <c r="D34" s="143"/>
      <c r="E34" s="101">
        <f>'42-8_Seas_NOx'!E36</f>
        <v>-24.04</v>
      </c>
      <c r="F34" s="101">
        <f>'42-8_Seas_NOx'!F36</f>
        <v>0.46</v>
      </c>
      <c r="G34" s="101">
        <f>'42-8_Seas_NOx'!G36</f>
        <v>0</v>
      </c>
      <c r="H34" s="101">
        <f>'42-8_Seas_NOx'!H36</f>
        <v>-32.39</v>
      </c>
      <c r="I34" s="101">
        <f>'42-8_Seas_NOx'!I36</f>
        <v>0</v>
      </c>
      <c r="J34" s="101">
        <f>'42-8_Seas_NOx'!J36</f>
        <v>375.24171789551787</v>
      </c>
      <c r="K34" s="101">
        <f>'42-8_Seas_NOx'!K36</f>
        <v>417.40989492798661</v>
      </c>
      <c r="L34" s="101">
        <f>'42-8_Seas_NOx'!L36</f>
        <v>425.62138529769584</v>
      </c>
      <c r="M34" s="101">
        <f>'42-8_Seas_NOx'!M36</f>
        <v>382.79519409123247</v>
      </c>
      <c r="N34" s="101">
        <f>'42-8_Seas_NOx'!N36</f>
        <v>0</v>
      </c>
      <c r="O34" s="101">
        <f>'42-8_Seas_NOx'!O36</f>
        <v>0</v>
      </c>
      <c r="P34" s="101">
        <f>'42-8_Seas_NOx'!P36</f>
        <v>0</v>
      </c>
      <c r="Q34" s="101">
        <f t="shared" si="0"/>
        <v>1545.0981922124329</v>
      </c>
      <c r="R34" s="101">
        <v>0</v>
      </c>
      <c r="S34" s="101">
        <f>Q34</f>
        <v>1545.0981922124329</v>
      </c>
      <c r="V34" s="142"/>
    </row>
    <row r="35" spans="1:22" ht="10.5" thickBot="1" x14ac:dyDescent="0.25">
      <c r="A35" s="140"/>
      <c r="B35" s="144">
        <v>28</v>
      </c>
      <c r="C35" s="89" t="s">
        <v>158</v>
      </c>
      <c r="D35" s="143"/>
      <c r="E35" s="101">
        <f>'42-8_SO2'!E36</f>
        <v>4292.71</v>
      </c>
      <c r="F35" s="101">
        <f>'42-8_SO2'!F36</f>
        <v>1395.2900000000002</v>
      </c>
      <c r="G35" s="101">
        <f>'42-8_SO2'!G36</f>
        <v>0</v>
      </c>
      <c r="H35" s="101">
        <f>'42-8_SO2'!H36</f>
        <v>18845.740000000002</v>
      </c>
      <c r="I35" s="101">
        <f>'42-8_SO2'!I36</f>
        <v>-4.5</v>
      </c>
      <c r="J35" s="101">
        <f>'42-8_SO2'!J36</f>
        <v>1490.9423080856984</v>
      </c>
      <c r="K35" s="101">
        <f>'42-8_SO2'!K36</f>
        <v>1183.787822422642</v>
      </c>
      <c r="L35" s="101">
        <f>'42-8_SO2'!L36</f>
        <v>1193.0730369235</v>
      </c>
      <c r="M35" s="101">
        <f>'42-8_SO2'!M36</f>
        <v>1125.8851795426767</v>
      </c>
      <c r="N35" s="101">
        <f>'42-8_SO2'!N36</f>
        <v>622.49251647675476</v>
      </c>
      <c r="O35" s="101">
        <f>'42-8_SO2'!O36</f>
        <v>116.63904725800535</v>
      </c>
      <c r="P35" s="101">
        <f>'42-8_SO2'!P36</f>
        <v>155.00268091411795</v>
      </c>
      <c r="Q35" s="101">
        <f t="shared" si="0"/>
        <v>30417.062591623395</v>
      </c>
      <c r="R35" s="101">
        <v>0</v>
      </c>
      <c r="S35" s="101">
        <f>Q35</f>
        <v>30417.062591623395</v>
      </c>
      <c r="V35" s="142"/>
    </row>
    <row r="36" spans="1:22" x14ac:dyDescent="0.2">
      <c r="A36" s="88">
        <f>A7+1</f>
        <v>2</v>
      </c>
      <c r="B36" s="87" t="s">
        <v>159</v>
      </c>
      <c r="D36" s="139"/>
      <c r="E36" s="105">
        <f>SUM(E8:E35)</f>
        <v>2039556.0299999996</v>
      </c>
      <c r="F36" s="105">
        <f t="shared" ref="F36:P36" si="2">SUM(F8:F35)</f>
        <v>1475475.4499999997</v>
      </c>
      <c r="G36" s="105">
        <f t="shared" si="2"/>
        <v>2506739.0299999993</v>
      </c>
      <c r="H36" s="105">
        <f t="shared" si="2"/>
        <v>1297674.52</v>
      </c>
      <c r="I36" s="105">
        <f t="shared" si="2"/>
        <v>3217047.4199999995</v>
      </c>
      <c r="J36" s="105">
        <f t="shared" si="2"/>
        <v>2056391.5907694814</v>
      </c>
      <c r="K36" s="105">
        <f t="shared" si="2"/>
        <v>-52865.096638349925</v>
      </c>
      <c r="L36" s="105">
        <f t="shared" si="2"/>
        <v>2230032.8463417217</v>
      </c>
      <c r="M36" s="105">
        <f t="shared" si="2"/>
        <v>1963040.2637971339</v>
      </c>
      <c r="N36" s="105">
        <f t="shared" si="2"/>
        <v>2056206.8373214765</v>
      </c>
      <c r="O36" s="105">
        <f t="shared" si="2"/>
        <v>3419326.7127553583</v>
      </c>
      <c r="P36" s="105">
        <f t="shared" si="2"/>
        <v>2029925.7713836136</v>
      </c>
      <c r="Q36" s="105">
        <f>SUM(Q8:Q35)</f>
        <v>24238551.375730433</v>
      </c>
      <c r="R36" s="105">
        <f>(SUM(R8:R35))</f>
        <v>5802827.4303204995</v>
      </c>
      <c r="S36" s="105">
        <f>(SUM(S8:S35))</f>
        <v>18435723.945409935</v>
      </c>
      <c r="T36" s="89">
        <v>-5.462138670267791E-3</v>
      </c>
      <c r="U36" s="145"/>
      <c r="V36" s="146"/>
    </row>
    <row r="37" spans="1:22" x14ac:dyDescent="0.2">
      <c r="A37" s="88"/>
      <c r="D37" s="147"/>
      <c r="F37" s="142"/>
      <c r="G37" s="142"/>
      <c r="H37" s="142"/>
    </row>
    <row r="38" spans="1:22" x14ac:dyDescent="0.2">
      <c r="A38" s="88">
        <f>A36+1</f>
        <v>3</v>
      </c>
      <c r="B38" s="87" t="s">
        <v>160</v>
      </c>
      <c r="D38" s="139"/>
      <c r="E38" s="101">
        <f>E8+E9+E10+E12+SUM(E20:E24)+SUM(E26:E28)+SUM(E32:E35)</f>
        <v>1292595.7699999993</v>
      </c>
      <c r="F38" s="101">
        <f t="shared" ref="F38:P38" si="3">F8+F9+F10+F12+SUM(F20:F24)+SUM(F26:F28)+SUM(F32:F35)</f>
        <v>793407.16999999981</v>
      </c>
      <c r="G38" s="101">
        <f t="shared" si="3"/>
        <v>1918433.0999999996</v>
      </c>
      <c r="H38" s="101">
        <f t="shared" si="3"/>
        <v>844436.09999999986</v>
      </c>
      <c r="I38" s="101">
        <f t="shared" si="3"/>
        <v>1237001.8099999998</v>
      </c>
      <c r="J38" s="101">
        <f t="shared" si="3"/>
        <v>1354777.2758326815</v>
      </c>
      <c r="K38" s="101">
        <f t="shared" si="3"/>
        <v>1744038.4007195502</v>
      </c>
      <c r="L38" s="101">
        <f t="shared" si="3"/>
        <v>1839603.3852753215</v>
      </c>
      <c r="M38" s="101">
        <f t="shared" si="3"/>
        <v>1433923.0808783339</v>
      </c>
      <c r="N38" s="101">
        <f t="shared" si="3"/>
        <v>1470795.6344026767</v>
      </c>
      <c r="O38" s="101">
        <f t="shared" si="3"/>
        <v>2916209.2528287573</v>
      </c>
      <c r="P38" s="101">
        <f t="shared" si="3"/>
        <v>1590502.9654726139</v>
      </c>
      <c r="Q38" s="101">
        <f>Q8+Q9+Q10+Q12+SUM(Q20:Q24)+SUM(Q26:Q28)+SUM(Q32:Q35)</f>
        <v>18435723.945409931</v>
      </c>
    </row>
    <row r="39" spans="1:22" x14ac:dyDescent="0.2">
      <c r="A39" s="88">
        <f>A38+1</f>
        <v>4</v>
      </c>
      <c r="B39" s="87" t="s">
        <v>161</v>
      </c>
      <c r="D39" s="139"/>
      <c r="E39" s="101">
        <f>E11+SUM(E13:E19)+E25+E29+E30+E31</f>
        <v>746960.26</v>
      </c>
      <c r="F39" s="101">
        <f t="shared" ref="F39:P39" si="4">F11+SUM(F13:F19)+F25+F29+F30+F31</f>
        <v>682068.28000000014</v>
      </c>
      <c r="G39" s="101">
        <f t="shared" si="4"/>
        <v>588305.93000000005</v>
      </c>
      <c r="H39" s="101">
        <f t="shared" si="4"/>
        <v>453238.42</v>
      </c>
      <c r="I39" s="101">
        <f t="shared" si="4"/>
        <v>1980045.6099999999</v>
      </c>
      <c r="J39" s="101">
        <f t="shared" si="4"/>
        <v>701614.31493680004</v>
      </c>
      <c r="K39" s="101">
        <f t="shared" si="4"/>
        <v>-1796903.4973579003</v>
      </c>
      <c r="L39" s="101">
        <f t="shared" si="4"/>
        <v>390429.46106639999</v>
      </c>
      <c r="M39" s="101">
        <f t="shared" si="4"/>
        <v>529117.18291880004</v>
      </c>
      <c r="N39" s="101">
        <f t="shared" si="4"/>
        <v>585411.20291880006</v>
      </c>
      <c r="O39" s="101">
        <f t="shared" si="4"/>
        <v>503117.45992659999</v>
      </c>
      <c r="P39" s="101">
        <f t="shared" si="4"/>
        <v>439422.805911</v>
      </c>
      <c r="Q39" s="101">
        <f>Q11+SUM(Q13:Q19)+Q25+Q29+Q30+Q31</f>
        <v>5802827.4303204995</v>
      </c>
    </row>
    <row r="40" spans="1:22" x14ac:dyDescent="0.2">
      <c r="A40" s="88"/>
      <c r="D40" s="139"/>
    </row>
    <row r="41" spans="1:22" x14ac:dyDescent="0.2">
      <c r="A41" s="88">
        <f>A39+1</f>
        <v>5</v>
      </c>
      <c r="B41" s="87" t="s">
        <v>162</v>
      </c>
      <c r="D41" s="139"/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  <c r="N41" s="148">
        <v>1</v>
      </c>
      <c r="O41" s="148">
        <v>1</v>
      </c>
      <c r="P41" s="148">
        <v>1</v>
      </c>
      <c r="Q41" s="148"/>
      <c r="S41" s="148"/>
      <c r="U41" s="148"/>
    </row>
    <row r="42" spans="1:22" x14ac:dyDescent="0.2">
      <c r="A42" s="88">
        <f>A41+1</f>
        <v>6</v>
      </c>
      <c r="B42" s="87" t="s">
        <v>163</v>
      </c>
      <c r="D42" s="139"/>
      <c r="E42" s="149">
        <v>0.9723427</v>
      </c>
      <c r="F42" s="149">
        <v>0.9723427</v>
      </c>
      <c r="G42" s="149">
        <v>0.9723427</v>
      </c>
      <c r="H42" s="149">
        <v>0.9723427</v>
      </c>
      <c r="I42" s="149">
        <v>0.9723427</v>
      </c>
      <c r="J42" s="149">
        <v>0.9723427</v>
      </c>
      <c r="K42" s="149">
        <v>0.9723427</v>
      </c>
      <c r="L42" s="149">
        <v>0.9723427</v>
      </c>
      <c r="M42" s="149">
        <v>0.9723427</v>
      </c>
      <c r="N42" s="149">
        <v>0.9723427</v>
      </c>
      <c r="O42" s="149">
        <v>0.9723427</v>
      </c>
      <c r="P42" s="149">
        <v>0.9723427</v>
      </c>
      <c r="Q42" s="148"/>
      <c r="S42" s="148"/>
      <c r="U42" s="148"/>
    </row>
    <row r="43" spans="1:22" x14ac:dyDescent="0.2">
      <c r="A43" s="88"/>
      <c r="D43" s="139"/>
    </row>
    <row r="44" spans="1:22" x14ac:dyDescent="0.2">
      <c r="A44" s="88">
        <f>A42+1</f>
        <v>7</v>
      </c>
      <c r="B44" s="87" t="s">
        <v>164</v>
      </c>
      <c r="D44" s="139"/>
      <c r="E44" s="101">
        <v>1294146.8799999999</v>
      </c>
      <c r="F44" s="101">
        <v>794359.26</v>
      </c>
      <c r="G44" s="101">
        <v>1920735.22</v>
      </c>
      <c r="H44" s="101">
        <v>845449.42</v>
      </c>
      <c r="I44" s="101">
        <v>1238486.21</v>
      </c>
      <c r="J44" s="101">
        <v>1356403.01</v>
      </c>
      <c r="K44" s="101">
        <v>1746131.25</v>
      </c>
      <c r="L44" s="101">
        <v>1841810.91</v>
      </c>
      <c r="M44" s="101">
        <v>1435643.79</v>
      </c>
      <c r="N44" s="101">
        <v>1472560.59</v>
      </c>
      <c r="O44" s="101">
        <v>2919708.7</v>
      </c>
      <c r="P44" s="101">
        <v>1592411.57</v>
      </c>
      <c r="Q44" s="101">
        <f>SUM(E44:P44)</f>
        <v>18457846.809999999</v>
      </c>
    </row>
    <row r="45" spans="1:22" x14ac:dyDescent="0.2">
      <c r="A45" s="88">
        <f>A44+1</f>
        <v>8</v>
      </c>
      <c r="B45" s="87" t="s">
        <v>165</v>
      </c>
      <c r="D45" s="139"/>
      <c r="E45" s="101">
        <f>ROUND(E39*E42,2)</f>
        <v>726301.36</v>
      </c>
      <c r="F45" s="101">
        <f t="shared" ref="F45:P45" si="5">ROUND(F39*F42,2)</f>
        <v>663204.11</v>
      </c>
      <c r="G45" s="101">
        <f t="shared" si="5"/>
        <v>572034.98</v>
      </c>
      <c r="H45" s="101">
        <f t="shared" si="5"/>
        <v>440703.07</v>
      </c>
      <c r="I45" s="101">
        <f t="shared" si="5"/>
        <v>1925282.89</v>
      </c>
      <c r="J45" s="101">
        <f t="shared" si="5"/>
        <v>682209.56</v>
      </c>
      <c r="K45" s="101">
        <f t="shared" si="5"/>
        <v>-1747206</v>
      </c>
      <c r="L45" s="101">
        <f t="shared" si="5"/>
        <v>379631.24</v>
      </c>
      <c r="M45" s="101">
        <f t="shared" si="5"/>
        <v>514483.23</v>
      </c>
      <c r="N45" s="101">
        <f t="shared" si="5"/>
        <v>569220.31000000006</v>
      </c>
      <c r="O45" s="101">
        <f t="shared" si="5"/>
        <v>489202.59</v>
      </c>
      <c r="P45" s="101">
        <f t="shared" si="5"/>
        <v>427269.56</v>
      </c>
      <c r="Q45" s="101">
        <f>SUM(E45:P45)</f>
        <v>5642336.9000000004</v>
      </c>
      <c r="S45" s="150"/>
      <c r="U45" s="150"/>
    </row>
    <row r="46" spans="1:22" x14ac:dyDescent="0.2">
      <c r="A46" s="88"/>
      <c r="D46" s="139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S46" s="150"/>
      <c r="U46" s="150"/>
    </row>
    <row r="47" spans="1:22" ht="10.5" thickBot="1" x14ac:dyDescent="0.25">
      <c r="A47" s="88">
        <f>A45+1</f>
        <v>9</v>
      </c>
      <c r="B47" s="87" t="s">
        <v>166</v>
      </c>
      <c r="D47" s="139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S47" s="150"/>
      <c r="U47" s="150"/>
    </row>
    <row r="48" spans="1:22" ht="20.25" customHeight="1" thickBot="1" x14ac:dyDescent="0.25">
      <c r="C48" s="89" t="s">
        <v>167</v>
      </c>
      <c r="D48" s="139"/>
      <c r="E48" s="151">
        <f>E44+E45</f>
        <v>2020448.2399999998</v>
      </c>
      <c r="F48" s="151">
        <f>F44+F45</f>
        <v>1457563.37</v>
      </c>
      <c r="G48" s="151">
        <f>G44+G45</f>
        <v>2492770.2000000002</v>
      </c>
      <c r="H48" s="151">
        <f>H44+H45</f>
        <v>1286152.49</v>
      </c>
      <c r="I48" s="151">
        <f t="shared" ref="I48:Q48" si="6">I44+I45</f>
        <v>3163769.0999999996</v>
      </c>
      <c r="J48" s="151">
        <f t="shared" si="6"/>
        <v>2038612.57</v>
      </c>
      <c r="K48" s="151">
        <f t="shared" si="6"/>
        <v>-1074.75</v>
      </c>
      <c r="L48" s="151">
        <f t="shared" si="6"/>
        <v>2221442.15</v>
      </c>
      <c r="M48" s="151">
        <f t="shared" si="6"/>
        <v>1950127.02</v>
      </c>
      <c r="N48" s="151">
        <f t="shared" si="6"/>
        <v>2041780.9000000001</v>
      </c>
      <c r="O48" s="151">
        <f t="shared" si="6"/>
        <v>3408911.29</v>
      </c>
      <c r="P48" s="151">
        <f t="shared" si="6"/>
        <v>2019681.1300000001</v>
      </c>
      <c r="Q48" s="151">
        <f t="shared" si="6"/>
        <v>24100183.710000001</v>
      </c>
      <c r="S48" s="145"/>
      <c r="U48" s="145"/>
    </row>
    <row r="49" spans="1:23" ht="33" customHeight="1" thickTop="1" x14ac:dyDescent="0.2">
      <c r="A49" s="89" t="s">
        <v>76</v>
      </c>
      <c r="B49" s="152"/>
      <c r="D49" s="139"/>
    </row>
    <row r="50" spans="1:23" x14ac:dyDescent="0.2">
      <c r="A50" s="89" t="s">
        <v>168</v>
      </c>
      <c r="B50" s="90" t="s">
        <v>169</v>
      </c>
      <c r="D50" s="139"/>
    </row>
    <row r="51" spans="1:23" ht="10.5" x14ac:dyDescent="0.25">
      <c r="A51" s="89" t="s">
        <v>170</v>
      </c>
      <c r="B51" s="153" t="s">
        <v>171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1:23" ht="10.5" x14ac:dyDescent="0.25">
      <c r="A52" s="154" t="s">
        <v>172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ht="10.5" x14ac:dyDescent="0.25"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6" spans="1:23" x14ac:dyDescent="0.2">
      <c r="C56" s="87"/>
    </row>
  </sheetData>
  <mergeCells count="4">
    <mergeCell ref="A2:S2"/>
    <mergeCell ref="A3:S3"/>
    <mergeCell ref="B5:D6"/>
    <mergeCell ref="R5:S5"/>
  </mergeCells>
  <pageMargins left="0.5" right="0.5" top="1" bottom="0.75" header="0.55000000000000004" footer="0.3"/>
  <pageSetup scale="64" orientation="landscape" r:id="rId1"/>
  <headerFooter alignWithMargins="0">
    <oddHeader>&amp;C&amp;"Arial,Regular"&amp;8GULF POWER COMPANY
 ENVIRONMENTAL COST RECOVERY CLAUSE
 CALCULATION OF THE ACTUAL / ESTIMATED TRUE-UP AMOUNT FOR THE PERIOD&amp;R&amp;"Arial,Regular"&amp;8FORM 42-5E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4E66-134B-4866-8FA1-0B360546BBFC}">
  <dimension ref="A1:K175"/>
  <sheetViews>
    <sheetView showGridLines="0" view="pageBreakPreview" topLeftCell="A25" zoomScale="120" zoomScaleNormal="100" zoomScaleSheetLayoutView="120" workbookViewId="0">
      <selection activeCell="Q28" sqref="Q28"/>
    </sheetView>
  </sheetViews>
  <sheetFormatPr defaultColWidth="8.75" defaultRowHeight="10" x14ac:dyDescent="0.2"/>
  <cols>
    <col min="1" max="1" width="42.83203125" style="99" customWidth="1"/>
    <col min="2" max="3" width="14.08203125" style="99" customWidth="1"/>
    <col min="4" max="4" width="13" style="99" bestFit="1" customWidth="1"/>
    <col min="5" max="5" width="8.33203125" style="99" bestFit="1" customWidth="1"/>
    <col min="6" max="6" width="6.5" style="99" customWidth="1"/>
    <col min="7" max="7" width="11.25" style="99" customWidth="1"/>
    <col min="8" max="8" width="8.75" style="99"/>
    <col min="9" max="9" width="9.5" style="99" customWidth="1"/>
    <col min="10" max="16384" width="8.75" style="99"/>
  </cols>
  <sheetData>
    <row r="1" spans="1:11" s="92" customFormat="1" ht="10.5" thickBo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92" customFormat="1" ht="15" customHeight="1" x14ac:dyDescent="0.2">
      <c r="A2" s="99"/>
      <c r="B2" s="155"/>
      <c r="C2" s="155" t="s">
        <v>0</v>
      </c>
      <c r="D2" s="155"/>
      <c r="E2" s="155"/>
      <c r="F2" s="155"/>
      <c r="G2" s="155"/>
    </row>
    <row r="3" spans="1:11" s="92" customFormat="1" ht="15" customHeight="1" x14ac:dyDescent="0.2">
      <c r="A3" s="99"/>
      <c r="B3" s="95"/>
      <c r="C3" s="95" t="s">
        <v>173</v>
      </c>
      <c r="D3" s="95"/>
      <c r="E3" s="95"/>
      <c r="F3" s="95"/>
      <c r="G3" s="95"/>
    </row>
    <row r="4" spans="1:11" s="92" customFormat="1" ht="10.5" thickBo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92" customFormat="1" ht="40.5" thickBot="1" x14ac:dyDescent="0.25">
      <c r="A5" s="156" t="s">
        <v>174</v>
      </c>
      <c r="B5" s="156" t="s">
        <v>175</v>
      </c>
      <c r="C5" s="156" t="s">
        <v>176</v>
      </c>
      <c r="D5" s="156" t="s">
        <v>177</v>
      </c>
      <c r="E5" s="156" t="s">
        <v>178</v>
      </c>
    </row>
    <row r="6" spans="1:11" ht="19.5" customHeight="1" x14ac:dyDescent="0.2">
      <c r="A6" s="99" t="s">
        <v>179</v>
      </c>
      <c r="B6" s="101">
        <f>'42-7E'!P8</f>
        <v>17141.465638196973</v>
      </c>
      <c r="C6" s="101">
        <v>17086.307911157593</v>
      </c>
      <c r="D6" s="101">
        <f>B6-C6</f>
        <v>55.157727039379097</v>
      </c>
      <c r="E6" s="102">
        <f>IF(C6=0,0,+D6/C6)</f>
        <v>3.2281829009624921E-3</v>
      </c>
      <c r="F6" s="115"/>
    </row>
    <row r="7" spans="1:11" x14ac:dyDescent="0.2">
      <c r="A7" s="99" t="s">
        <v>180</v>
      </c>
      <c r="B7" s="101">
        <f>'42-7E'!P9</f>
        <v>3510505.1603939813</v>
      </c>
      <c r="C7" s="101">
        <v>3713836.9481514855</v>
      </c>
      <c r="D7" s="101">
        <f>B7-C7</f>
        <v>-203331.78775750427</v>
      </c>
      <c r="E7" s="102">
        <f t="shared" ref="E7:E43" si="0">IF(C7=0,0,+D7/C7)</f>
        <v>-5.4749788586897989E-2</v>
      </c>
      <c r="F7" s="115"/>
    </row>
    <row r="8" spans="1:11" x14ac:dyDescent="0.2">
      <c r="A8" s="99" t="s">
        <v>181</v>
      </c>
      <c r="B8" s="101">
        <f>'42-7E'!P10</f>
        <v>104388.80954904</v>
      </c>
      <c r="C8" s="101">
        <v>104658.68754684004</v>
      </c>
      <c r="D8" s="101">
        <f>B8-C8</f>
        <v>-269.87799780003843</v>
      </c>
      <c r="E8" s="102">
        <f t="shared" si="0"/>
        <v>-2.5786487880354357E-3</v>
      </c>
      <c r="F8" s="115"/>
    </row>
    <row r="9" spans="1:11" x14ac:dyDescent="0.2">
      <c r="A9" s="99" t="s">
        <v>182</v>
      </c>
      <c r="B9" s="101">
        <f>'42-7E'!P11</f>
        <v>1733968.4833961474</v>
      </c>
      <c r="C9" s="101">
        <v>1742469.023942424</v>
      </c>
      <c r="D9" s="101">
        <f>B9-C9</f>
        <v>-8500.5405462766066</v>
      </c>
      <c r="E9" s="102">
        <f t="shared" si="0"/>
        <v>-4.8784457166668625E-3</v>
      </c>
      <c r="F9" s="157"/>
    </row>
    <row r="10" spans="1:11" x14ac:dyDescent="0.2">
      <c r="A10" s="99" t="s">
        <v>183</v>
      </c>
      <c r="B10" s="101">
        <f>'42-7E'!P12</f>
        <v>533364.45385383582</v>
      </c>
      <c r="C10" s="101">
        <v>530306.2088975131</v>
      </c>
      <c r="D10" s="101">
        <f t="shared" ref="D10:D42" si="1">B10-C10</f>
        <v>3058.2449563227128</v>
      </c>
      <c r="E10" s="102">
        <f t="shared" si="0"/>
        <v>5.7669416367586764E-3</v>
      </c>
      <c r="F10" s="157"/>
    </row>
    <row r="11" spans="1:11" x14ac:dyDescent="0.2">
      <c r="A11" s="99" t="s">
        <v>184</v>
      </c>
      <c r="B11" s="101">
        <f>'42-7E'!P13</f>
        <v>415526.38083350775</v>
      </c>
      <c r="C11" s="101">
        <v>475659.40918128786</v>
      </c>
      <c r="D11" s="101">
        <f t="shared" si="1"/>
        <v>-60133.028347780113</v>
      </c>
      <c r="E11" s="102">
        <f t="shared" si="0"/>
        <v>-0.12642034865090127</v>
      </c>
      <c r="F11" s="157"/>
    </row>
    <row r="12" spans="1:11" x14ac:dyDescent="0.2">
      <c r="A12" s="99" t="s">
        <v>185</v>
      </c>
      <c r="B12" s="101">
        <f>'42-7E'!P14</f>
        <v>12687.601848296983</v>
      </c>
      <c r="C12" s="101">
        <v>12648.357521366612</v>
      </c>
      <c r="D12" s="101">
        <f t="shared" si="1"/>
        <v>39.244326930371244</v>
      </c>
      <c r="E12" s="102">
        <f t="shared" si="0"/>
        <v>3.102721192382221E-3</v>
      </c>
      <c r="F12" s="157"/>
    </row>
    <row r="13" spans="1:11" x14ac:dyDescent="0.2">
      <c r="A13" s="99" t="s">
        <v>186</v>
      </c>
      <c r="B13" s="101">
        <f>'42-7E'!P15</f>
        <v>37034.817216480005</v>
      </c>
      <c r="C13" s="101">
        <v>37130.56390008</v>
      </c>
      <c r="D13" s="101">
        <f t="shared" si="1"/>
        <v>-95.746683599994867</v>
      </c>
      <c r="E13" s="102">
        <f t="shared" si="0"/>
        <v>-2.5786487880349314E-3</v>
      </c>
      <c r="F13" s="157"/>
    </row>
    <row r="14" spans="1:11" x14ac:dyDescent="0.2">
      <c r="A14" s="99" t="s">
        <v>187</v>
      </c>
      <c r="B14" s="101">
        <f>'42-7E'!P16</f>
        <v>23178.285392948696</v>
      </c>
      <c r="C14" s="101">
        <v>23055.296324371371</v>
      </c>
      <c r="D14" s="101">
        <f t="shared" si="1"/>
        <v>122.98906857732436</v>
      </c>
      <c r="E14" s="102">
        <f t="shared" si="0"/>
        <v>5.3345256051779586E-3</v>
      </c>
      <c r="F14" s="157"/>
    </row>
    <row r="15" spans="1:11" x14ac:dyDescent="0.2">
      <c r="A15" s="99" t="s">
        <v>188</v>
      </c>
      <c r="B15" s="101">
        <f>'42-7E'!P17</f>
        <v>194.36462258437763</v>
      </c>
      <c r="C15" s="101">
        <v>3704.4337342644671</v>
      </c>
      <c r="D15" s="101">
        <f t="shared" si="1"/>
        <v>-3510.0691116800895</v>
      </c>
      <c r="E15" s="102">
        <f t="shared" si="0"/>
        <v>-0.94753189379888592</v>
      </c>
      <c r="F15" s="157"/>
    </row>
    <row r="16" spans="1:11" x14ac:dyDescent="0.2">
      <c r="A16" s="99" t="s">
        <v>189</v>
      </c>
      <c r="B16" s="101">
        <f>'42-7E'!P18</f>
        <v>4428.5643994351485</v>
      </c>
      <c r="C16" s="101">
        <v>4812.0202988065594</v>
      </c>
      <c r="D16" s="101">
        <f t="shared" si="1"/>
        <v>-383.45589937141085</v>
      </c>
      <c r="E16" s="102">
        <f t="shared" si="0"/>
        <v>-7.9687090984739334E-2</v>
      </c>
      <c r="F16" s="157"/>
    </row>
    <row r="17" spans="1:6" x14ac:dyDescent="0.2">
      <c r="A17" s="99" t="s">
        <v>190</v>
      </c>
      <c r="B17" s="101">
        <f>'42-7E'!P19</f>
        <v>2822.0917713963909</v>
      </c>
      <c r="C17" s="101">
        <v>2800.7794477818684</v>
      </c>
      <c r="D17" s="101">
        <f t="shared" si="1"/>
        <v>21.312323614522484</v>
      </c>
      <c r="E17" s="102">
        <f t="shared" si="0"/>
        <v>7.6094258801424697E-3</v>
      </c>
      <c r="F17" s="157"/>
    </row>
    <row r="18" spans="1:6" x14ac:dyDescent="0.2">
      <c r="A18" s="99" t="s">
        <v>191</v>
      </c>
      <c r="B18" s="101">
        <f>'42-7E'!P20</f>
        <v>18641.996090038952</v>
      </c>
      <c r="C18" s="101">
        <v>20913.372615985783</v>
      </c>
      <c r="D18" s="101">
        <f t="shared" si="1"/>
        <v>-2271.376525946831</v>
      </c>
      <c r="E18" s="102">
        <f t="shared" si="0"/>
        <v>-0.1086088106234302</v>
      </c>
      <c r="F18" s="157"/>
    </row>
    <row r="19" spans="1:6" x14ac:dyDescent="0.2">
      <c r="A19" s="99" t="s">
        <v>192</v>
      </c>
      <c r="B19" s="101">
        <f>'42-7E'!P21</f>
        <v>165602.46094957914</v>
      </c>
      <c r="C19" s="101">
        <v>165181.61647777839</v>
      </c>
      <c r="D19" s="101">
        <f t="shared" si="1"/>
        <v>420.84447180075222</v>
      </c>
      <c r="E19" s="102">
        <f t="shared" si="0"/>
        <v>2.547768212798473E-3</v>
      </c>
      <c r="F19" s="157"/>
    </row>
    <row r="20" spans="1:6" x14ac:dyDescent="0.2">
      <c r="A20" s="99" t="s">
        <v>193</v>
      </c>
      <c r="B20" s="101">
        <f>'42-7E'!P22</f>
        <v>69377.730133224642</v>
      </c>
      <c r="C20" s="101">
        <v>70151.146006439143</v>
      </c>
      <c r="D20" s="101">
        <f t="shared" si="1"/>
        <v>-773.41587321450061</v>
      </c>
      <c r="E20" s="102">
        <f t="shared" si="0"/>
        <v>-1.1024992708508412E-2</v>
      </c>
      <c r="F20" s="157"/>
    </row>
    <row r="21" spans="1:6" x14ac:dyDescent="0.2">
      <c r="A21" s="99" t="s">
        <v>194</v>
      </c>
      <c r="B21" s="101">
        <f>'42-7E'!P23</f>
        <v>1243496.3951600911</v>
      </c>
      <c r="C21" s="101">
        <v>1262109.1208138915</v>
      </c>
      <c r="D21" s="101">
        <f t="shared" si="1"/>
        <v>-18612.725653800415</v>
      </c>
      <c r="E21" s="102">
        <f t="shared" si="0"/>
        <v>-1.4747318870334838E-2</v>
      </c>
      <c r="F21" s="157"/>
    </row>
    <row r="22" spans="1:6" x14ac:dyDescent="0.2">
      <c r="A22" s="99" t="s">
        <v>195</v>
      </c>
      <c r="B22" s="101">
        <f>'42-7E'!P24</f>
        <v>2304612.8547964944</v>
      </c>
      <c r="C22" s="101">
        <v>3153815.8233241751</v>
      </c>
      <c r="D22" s="101">
        <f t="shared" si="1"/>
        <v>-849202.96852768073</v>
      </c>
      <c r="E22" s="102">
        <f t="shared" si="0"/>
        <v>-0.26926206731774416</v>
      </c>
      <c r="F22" s="157"/>
    </row>
    <row r="23" spans="1:6" x14ac:dyDescent="0.2">
      <c r="A23" s="99" t="s">
        <v>196</v>
      </c>
      <c r="B23" s="101">
        <f>'42-7E'!P25</f>
        <v>0</v>
      </c>
      <c r="C23" s="101">
        <v>0</v>
      </c>
      <c r="D23" s="101">
        <f t="shared" si="1"/>
        <v>0</v>
      </c>
      <c r="E23" s="102">
        <f t="shared" si="0"/>
        <v>0</v>
      </c>
      <c r="F23" s="157"/>
    </row>
    <row r="24" spans="1:6" x14ac:dyDescent="0.2">
      <c r="A24" s="99" t="s">
        <v>197</v>
      </c>
      <c r="B24" s="101">
        <f>'42-7E'!P26</f>
        <v>9722929.1230279747</v>
      </c>
      <c r="C24" s="101">
        <v>10502401.590194581</v>
      </c>
      <c r="D24" s="101">
        <f t="shared" si="1"/>
        <v>-779472.46716660634</v>
      </c>
      <c r="E24" s="102">
        <f t="shared" si="0"/>
        <v>-7.4218497595288091E-2</v>
      </c>
      <c r="F24" s="157"/>
    </row>
    <row r="25" spans="1:6" x14ac:dyDescent="0.2">
      <c r="A25" s="99" t="s">
        <v>198</v>
      </c>
      <c r="B25" s="101">
        <f>'42-7E'!P27</f>
        <v>74022.794572837622</v>
      </c>
      <c r="C25" s="101">
        <v>73762.986884544953</v>
      </c>
      <c r="D25" s="101">
        <f t="shared" si="1"/>
        <v>259.8076882926689</v>
      </c>
      <c r="E25" s="102">
        <f t="shared" si="0"/>
        <v>3.5221958771724385E-3</v>
      </c>
      <c r="F25" s="157"/>
    </row>
    <row r="26" spans="1:6" x14ac:dyDescent="0.2">
      <c r="A26" s="99" t="s">
        <v>199</v>
      </c>
      <c r="B26" s="101">
        <f>'42-7E'!P28</f>
        <v>-860.28555199521622</v>
      </c>
      <c r="C26" s="101">
        <v>4382.8526928392639</v>
      </c>
      <c r="D26" s="101">
        <f t="shared" si="1"/>
        <v>-5243.1382448344802</v>
      </c>
      <c r="E26" s="102">
        <f t="shared" si="0"/>
        <v>-1.1962843865140065</v>
      </c>
      <c r="F26" s="157"/>
    </row>
    <row r="27" spans="1:6" x14ac:dyDescent="0.2">
      <c r="A27" s="99" t="s">
        <v>200</v>
      </c>
      <c r="B27" s="101">
        <f>'42-7E'!P29</f>
        <v>983557.30171224382</v>
      </c>
      <c r="C27" s="101">
        <v>1105510.5656140221</v>
      </c>
      <c r="D27" s="101">
        <f t="shared" si="1"/>
        <v>-121953.26390177826</v>
      </c>
      <c r="E27" s="102">
        <f t="shared" si="0"/>
        <v>-0.11031397409941808</v>
      </c>
      <c r="F27" s="157"/>
    </row>
    <row r="28" spans="1:6" x14ac:dyDescent="0.2">
      <c r="A28" s="99" t="s">
        <v>201</v>
      </c>
      <c r="B28" s="101">
        <f>'42-7E'!P30</f>
        <v>0</v>
      </c>
      <c r="C28" s="101">
        <v>0</v>
      </c>
      <c r="D28" s="101">
        <f t="shared" si="1"/>
        <v>0</v>
      </c>
      <c r="E28" s="102">
        <f t="shared" si="0"/>
        <v>0</v>
      </c>
      <c r="F28" s="157"/>
    </row>
    <row r="29" spans="1:6" x14ac:dyDescent="0.2">
      <c r="A29" s="99" t="s">
        <v>202</v>
      </c>
      <c r="B29" s="101">
        <f>'42-7E'!P31</f>
        <v>1683449.5621679628</v>
      </c>
      <c r="C29" s="101">
        <v>1752873.1973993988</v>
      </c>
      <c r="D29" s="101">
        <f t="shared" si="1"/>
        <v>-69423.635231435997</v>
      </c>
      <c r="E29" s="102">
        <f t="shared" si="0"/>
        <v>-3.9605623118908105E-2</v>
      </c>
      <c r="F29" s="157"/>
    </row>
    <row r="30" spans="1:6" x14ac:dyDescent="0.2">
      <c r="A30" s="99" t="s">
        <v>203</v>
      </c>
      <c r="B30" s="101">
        <f>'42-7E'!P32</f>
        <v>1112903.19756438</v>
      </c>
      <c r="C30" s="101">
        <v>1126921.5956033003</v>
      </c>
      <c r="D30" s="101">
        <f t="shared" si="1"/>
        <v>-14018.398038920248</v>
      </c>
      <c r="E30" s="102">
        <f t="shared" si="0"/>
        <v>-1.2439550447531767E-2</v>
      </c>
      <c r="F30" s="157"/>
    </row>
    <row r="31" spans="1:6" x14ac:dyDescent="0.2">
      <c r="A31" s="99" t="s">
        <v>204</v>
      </c>
      <c r="B31" s="101">
        <f>'42-7E'!P33</f>
        <v>118423950.58683221</v>
      </c>
      <c r="C31" s="101">
        <v>124010680.10814659</v>
      </c>
      <c r="D31" s="101">
        <f t="shared" si="1"/>
        <v>-5586729.5213143826</v>
      </c>
      <c r="E31" s="102">
        <f t="shared" si="0"/>
        <v>-4.5050390147383566E-2</v>
      </c>
      <c r="F31" s="157"/>
    </row>
    <row r="32" spans="1:6" x14ac:dyDescent="0.2">
      <c r="A32" s="99" t="s">
        <v>205</v>
      </c>
      <c r="B32" s="101">
        <f>'42-7E'!P34</f>
        <v>441535.18041275663</v>
      </c>
      <c r="C32" s="101">
        <v>410717.81503419857</v>
      </c>
      <c r="D32" s="101">
        <f t="shared" si="1"/>
        <v>30817.365378558054</v>
      </c>
      <c r="E32" s="102">
        <f t="shared" si="0"/>
        <v>7.503294050196492E-2</v>
      </c>
      <c r="F32" s="157"/>
    </row>
    <row r="33" spans="1:6" x14ac:dyDescent="0.2">
      <c r="A33" s="99" t="s">
        <v>206</v>
      </c>
      <c r="B33" s="101">
        <f>'42-7E'!P35</f>
        <v>9160659.8546050806</v>
      </c>
      <c r="C33" s="101">
        <v>7501751.9122412242</v>
      </c>
      <c r="D33" s="101">
        <f t="shared" si="1"/>
        <v>1658907.9423638564</v>
      </c>
      <c r="E33" s="102">
        <f t="shared" si="0"/>
        <v>0.22113607084991443</v>
      </c>
      <c r="F33" s="157"/>
    </row>
    <row r="34" spans="1:6" x14ac:dyDescent="0.2">
      <c r="A34" s="99" t="s">
        <v>207</v>
      </c>
      <c r="B34" s="101">
        <f>'42-7E'!P36</f>
        <v>669658.80086890992</v>
      </c>
      <c r="C34" s="101">
        <v>652519.3470719693</v>
      </c>
      <c r="D34" s="101">
        <f t="shared" si="1"/>
        <v>17139.453796940623</v>
      </c>
      <c r="E34" s="102">
        <f t="shared" si="0"/>
        <v>2.6266583318716886E-2</v>
      </c>
      <c r="F34" s="157"/>
    </row>
    <row r="35" spans="1:6" x14ac:dyDescent="0.2">
      <c r="A35" s="99" t="s">
        <v>208</v>
      </c>
      <c r="B35" s="101">
        <f>'42-7E'!P37</f>
        <v>114653.67062577643</v>
      </c>
      <c r="C35" s="101">
        <v>211791.10118736001</v>
      </c>
      <c r="D35" s="101">
        <f t="shared" si="1"/>
        <v>-97137.430561583576</v>
      </c>
      <c r="E35" s="102">
        <f t="shared" si="0"/>
        <v>-0.45864736533784489</v>
      </c>
      <c r="F35" s="157"/>
    </row>
    <row r="36" spans="1:6" x14ac:dyDescent="0.2">
      <c r="A36" s="99" t="s">
        <v>209</v>
      </c>
      <c r="B36" s="101">
        <f>'42-7E'!P38</f>
        <v>0</v>
      </c>
      <c r="C36" s="101">
        <v>0</v>
      </c>
      <c r="D36" s="101">
        <f t="shared" si="1"/>
        <v>0</v>
      </c>
      <c r="E36" s="102">
        <f t="shared" si="0"/>
        <v>0</v>
      </c>
      <c r="F36" s="157"/>
    </row>
    <row r="37" spans="1:6" x14ac:dyDescent="0.2">
      <c r="A37" s="99" t="s">
        <v>210</v>
      </c>
      <c r="B37" s="101">
        <f>'42-7E'!P39</f>
        <v>336.29</v>
      </c>
      <c r="C37" s="101">
        <v>242.72000000000003</v>
      </c>
      <c r="D37" s="101">
        <f t="shared" si="1"/>
        <v>93.57</v>
      </c>
      <c r="E37" s="102">
        <f t="shared" si="0"/>
        <v>0.38550593276203027</v>
      </c>
      <c r="F37" s="157"/>
    </row>
    <row r="38" spans="1:6" x14ac:dyDescent="0.2">
      <c r="A38" s="99" t="s">
        <v>211</v>
      </c>
      <c r="B38" s="101">
        <f>'42-7E'!P40</f>
        <v>904</v>
      </c>
      <c r="C38" s="101">
        <v>14800.720000000001</v>
      </c>
      <c r="D38" s="101">
        <f t="shared" si="1"/>
        <v>-13896.720000000001</v>
      </c>
      <c r="E38" s="102">
        <f t="shared" si="0"/>
        <v>-0.93892189028641848</v>
      </c>
      <c r="F38" s="157"/>
    </row>
    <row r="39" spans="1:6" x14ac:dyDescent="0.2">
      <c r="A39" s="99" t="s">
        <v>212</v>
      </c>
      <c r="B39" s="101">
        <f>'42-7E'!P41</f>
        <v>437357.27999999997</v>
      </c>
      <c r="C39" s="101">
        <v>438793.73</v>
      </c>
      <c r="D39" s="101">
        <f t="shared" si="1"/>
        <v>-1436.4500000000116</v>
      </c>
      <c r="E39" s="102">
        <f t="shared" si="0"/>
        <v>-3.2736338324615799E-3</v>
      </c>
      <c r="F39" s="115"/>
    </row>
    <row r="40" spans="1:6" x14ac:dyDescent="0.2">
      <c r="A40" s="89" t="s">
        <v>213</v>
      </c>
      <c r="B40" s="101">
        <f>'42-7E'!P42</f>
        <v>-9777.2105940550464</v>
      </c>
      <c r="C40" s="101">
        <v>0</v>
      </c>
      <c r="D40" s="101">
        <f>B40-C40</f>
        <v>-9777.2105940550464</v>
      </c>
      <c r="E40" s="102">
        <f>IF(C40=0,0,+D40/C40)</f>
        <v>0</v>
      </c>
      <c r="F40" s="115"/>
    </row>
    <row r="41" spans="1:6" x14ac:dyDescent="0.2">
      <c r="A41" s="89" t="s">
        <v>214</v>
      </c>
      <c r="B41" s="101">
        <f>'42-7E'!P43</f>
        <v>-117326.52712866056</v>
      </c>
      <c r="C41" s="101">
        <v>0</v>
      </c>
      <c r="D41" s="101">
        <f>B41-C41</f>
        <v>-117326.52712866056</v>
      </c>
      <c r="E41" s="102">
        <f t="shared" si="0"/>
        <v>0</v>
      </c>
      <c r="F41" s="115"/>
    </row>
    <row r="42" spans="1:6" ht="10.5" thickBot="1" x14ac:dyDescent="0.25">
      <c r="A42" s="99" t="s">
        <v>215</v>
      </c>
      <c r="B42" s="100">
        <f>'42-7E'!P44</f>
        <v>2661190.4970551739</v>
      </c>
      <c r="C42" s="100">
        <v>2664545.8139882274</v>
      </c>
      <c r="D42" s="101">
        <f t="shared" si="1"/>
        <v>-3355.3169330535457</v>
      </c>
      <c r="E42" s="102">
        <f t="shared" si="0"/>
        <v>-1.2592453525996571E-3</v>
      </c>
      <c r="F42" s="115"/>
    </row>
    <row r="43" spans="1:6" x14ac:dyDescent="0.2">
      <c r="A43" s="99" t="s">
        <v>117</v>
      </c>
      <c r="B43" s="104">
        <f>SUM(B6:B42)</f>
        <v>155556116.03221586</v>
      </c>
      <c r="C43" s="104">
        <f>SUM(C6:C42)</f>
        <v>161812035.17215392</v>
      </c>
      <c r="D43" s="105">
        <f>B43-C43</f>
        <v>-6255919.1399380565</v>
      </c>
      <c r="E43" s="106">
        <f t="shared" si="0"/>
        <v>-3.8661643018594399E-2</v>
      </c>
      <c r="F43" s="107"/>
    </row>
    <row r="45" spans="1:6" ht="12" x14ac:dyDescent="0.2">
      <c r="A45" s="92" t="s">
        <v>216</v>
      </c>
    </row>
    <row r="46" spans="1:6" ht="12" x14ac:dyDescent="0.2">
      <c r="A46" s="92" t="s">
        <v>119</v>
      </c>
    </row>
    <row r="47" spans="1:6" ht="12" x14ac:dyDescent="0.2">
      <c r="A47" s="92" t="s">
        <v>120</v>
      </c>
    </row>
    <row r="48" spans="1:6" ht="12" x14ac:dyDescent="0.2">
      <c r="A48" s="92" t="s">
        <v>121</v>
      </c>
    </row>
    <row r="51" spans="1:7" x14ac:dyDescent="0.2">
      <c r="B51" s="158"/>
    </row>
    <row r="56" spans="1:7" x14ac:dyDescent="0.2">
      <c r="A56" s="159" t="s">
        <v>217</v>
      </c>
      <c r="B56" s="160">
        <f>B43-B60-B61</f>
        <v>-0.13000002503395081</v>
      </c>
      <c r="C56" s="160">
        <f>C43-C60-C61</f>
        <v>-1.0381191968917847E-2</v>
      </c>
      <c r="D56" s="160">
        <f>D43-D60-D61</f>
        <v>-0.11961882002651691</v>
      </c>
    </row>
    <row r="58" spans="1:7" x14ac:dyDescent="0.2">
      <c r="B58" s="161"/>
      <c r="C58" s="161"/>
      <c r="D58" s="161"/>
      <c r="E58" s="103"/>
      <c r="F58" s="115"/>
    </row>
    <row r="59" spans="1:7" x14ac:dyDescent="0.2">
      <c r="B59" s="161"/>
      <c r="C59" s="161"/>
      <c r="D59" s="161"/>
      <c r="F59" s="115"/>
    </row>
    <row r="60" spans="1:7" x14ac:dyDescent="0.2">
      <c r="B60" s="99">
        <f>'42-7E'!P47</f>
        <v>11965855.079401223</v>
      </c>
      <c r="C60" s="162">
        <v>12447079.628627222</v>
      </c>
      <c r="D60" s="99">
        <f>B60-C60</f>
        <v>-481224.54922599904</v>
      </c>
      <c r="E60" s="103">
        <f>IF(C60=0,100,IF(C60&lt;0,-D60/C60*100,+D60/C60*100))</f>
        <v>-3.8661643018593983</v>
      </c>
      <c r="F60" s="115"/>
    </row>
    <row r="61" spans="1:7" x14ac:dyDescent="0.2">
      <c r="B61" s="99">
        <f>'42-7E'!P48</f>
        <v>143590261.08281466</v>
      </c>
      <c r="C61" s="162">
        <v>149364955.5539079</v>
      </c>
      <c r="D61" s="99">
        <f>B61-C61</f>
        <v>-5774694.4710932374</v>
      </c>
      <c r="E61" s="103">
        <f>IF(C61=0,100,IF(C61&lt;0,-D61/C61*100,+D61/C61*100))</f>
        <v>-3.8661642215058065</v>
      </c>
      <c r="F61" s="115"/>
      <c r="G61" s="99" t="s">
        <v>1</v>
      </c>
    </row>
    <row r="175" spans="11:11" x14ac:dyDescent="0.2">
      <c r="K175" s="99">
        <f>33000</f>
        <v>33000</v>
      </c>
    </row>
  </sheetData>
  <pageMargins left="0.5" right="0.5" top="1" bottom="0.75" header="0.55000000000000004" footer="0.3"/>
  <pageSetup scale="82" orientation="landscape" r:id="rId1"/>
  <headerFooter alignWithMargins="0">
    <oddHeader>&amp;C&amp;"Arial,Regular"&amp;8GULF POWER COMPANY
 ENVIRONMENTAL COST RECOVERY CLAUSE
 CALCULATION OF THE ACTUAL / ESTIMATED TRUE-UP AMOUNT FOR THE PERIOD&amp;R&amp;"Arial,Regular"&amp;8REVISED FORM 42-6E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32BA-08C7-451B-8A32-B8D14809FB02}">
  <sheetPr transitionEvaluation="1" transitionEntry="1"/>
  <dimension ref="A1:U80"/>
  <sheetViews>
    <sheetView showGridLines="0" defaultGridColor="0" view="pageBreakPreview" colorId="8" zoomScaleNormal="100" zoomScaleSheetLayoutView="100" workbookViewId="0">
      <selection activeCell="Q28" sqref="Q28"/>
    </sheetView>
  </sheetViews>
  <sheetFormatPr defaultColWidth="11.58203125" defaultRowHeight="10" x14ac:dyDescent="0.2"/>
  <cols>
    <col min="1" max="1" width="4.58203125" style="89" customWidth="1"/>
    <col min="2" max="2" width="3" style="89" customWidth="1"/>
    <col min="3" max="3" width="35.58203125" style="89" customWidth="1"/>
    <col min="4" max="11" width="8.75" style="89" customWidth="1"/>
    <col min="12" max="15" width="8.75" style="89" bestFit="1" customWidth="1"/>
    <col min="16" max="17" width="9.5" style="89" bestFit="1" customWidth="1"/>
    <col min="18" max="18" width="8.75" style="89" bestFit="1" customWidth="1"/>
    <col min="19" max="19" width="17.33203125" style="89" customWidth="1"/>
    <col min="20" max="20" width="23.33203125" style="89" bestFit="1" customWidth="1"/>
    <col min="21" max="21" width="18.25" style="89" bestFit="1" customWidth="1"/>
    <col min="22" max="16384" width="11.58203125" style="89"/>
  </cols>
  <sheetData>
    <row r="1" spans="1:20" s="92" customFormat="1" ht="10.5" thickBo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20" s="92" customFormat="1" ht="15" customHeight="1" x14ac:dyDescent="0.2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20" s="92" customFormat="1" ht="15" customHeight="1" x14ac:dyDescent="0.2">
      <c r="A3" s="94" t="s">
        <v>218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0" s="92" customFormat="1" ht="10.5" thickBot="1" x14ac:dyDescent="0.25"/>
    <row r="5" spans="1:20" x14ac:dyDescent="0.2">
      <c r="A5" s="164"/>
      <c r="B5" s="165"/>
      <c r="C5" s="166"/>
      <c r="D5" s="167" t="s">
        <v>400</v>
      </c>
      <c r="E5" s="168" t="s">
        <v>400</v>
      </c>
      <c r="F5" s="168" t="s">
        <v>400</v>
      </c>
      <c r="G5" s="168" t="s">
        <v>400</v>
      </c>
      <c r="H5" s="168" t="s">
        <v>400</v>
      </c>
      <c r="I5" s="169" t="s">
        <v>401</v>
      </c>
      <c r="J5" s="168" t="s">
        <v>401</v>
      </c>
      <c r="K5" s="168" t="s">
        <v>401</v>
      </c>
      <c r="L5" s="168" t="s">
        <v>401</v>
      </c>
      <c r="M5" s="168" t="s">
        <v>401</v>
      </c>
      <c r="N5" s="168" t="s">
        <v>401</v>
      </c>
      <c r="O5" s="168" t="s">
        <v>401</v>
      </c>
      <c r="P5" s="168"/>
      <c r="Q5" s="170" t="s">
        <v>125</v>
      </c>
      <c r="R5" s="171"/>
    </row>
    <row r="6" spans="1:20" ht="12.5" thickBot="1" x14ac:dyDescent="0.25">
      <c r="A6" s="172" t="s">
        <v>126</v>
      </c>
      <c r="B6" s="173" t="s">
        <v>219</v>
      </c>
      <c r="C6" s="174"/>
      <c r="D6" s="175" t="s">
        <v>15</v>
      </c>
      <c r="E6" s="176" t="s">
        <v>16</v>
      </c>
      <c r="F6" s="176" t="s">
        <v>17</v>
      </c>
      <c r="G6" s="176" t="s">
        <v>18</v>
      </c>
      <c r="H6" s="176" t="s">
        <v>19</v>
      </c>
      <c r="I6" s="177" t="s">
        <v>20</v>
      </c>
      <c r="J6" s="176" t="s">
        <v>21</v>
      </c>
      <c r="K6" s="176" t="s">
        <v>22</v>
      </c>
      <c r="L6" s="176" t="s">
        <v>23</v>
      </c>
      <c r="M6" s="176" t="s">
        <v>24</v>
      </c>
      <c r="N6" s="176" t="s">
        <v>25</v>
      </c>
      <c r="O6" s="176" t="s">
        <v>26</v>
      </c>
      <c r="P6" s="176" t="s">
        <v>27</v>
      </c>
      <c r="Q6" s="175" t="s">
        <v>128</v>
      </c>
      <c r="R6" s="176" t="s">
        <v>129</v>
      </c>
    </row>
    <row r="7" spans="1:20" ht="20.25" customHeight="1" x14ac:dyDescent="0.2">
      <c r="A7" s="88">
        <v>1</v>
      </c>
      <c r="B7" s="99" t="s">
        <v>220</v>
      </c>
      <c r="T7" s="178"/>
    </row>
    <row r="8" spans="1:20" x14ac:dyDescent="0.2">
      <c r="A8" s="179"/>
      <c r="B8" s="87">
        <v>1</v>
      </c>
      <c r="C8" s="89" t="s">
        <v>221</v>
      </c>
      <c r="D8" s="101">
        <f>'42-8_Project 1'!E38</f>
        <v>1457.5964739584199</v>
      </c>
      <c r="E8" s="101">
        <f>'42-8_Project 1'!F38</f>
        <v>1451.8336274317239</v>
      </c>
      <c r="F8" s="101">
        <f>'42-8_Project 1'!G38</f>
        <v>1446.0707927894919</v>
      </c>
      <c r="G8" s="101">
        <f>'42-8_Project 1'!H38</f>
        <v>1440.3079581472598</v>
      </c>
      <c r="H8" s="101">
        <f>'42-8_Project 1'!I38</f>
        <v>1434.5451235050277</v>
      </c>
      <c r="I8" s="101">
        <f>'42-8_Project 1'!J38</f>
        <v>1428.7822888627957</v>
      </c>
      <c r="J8" s="101">
        <f>'42-8_Project 1'!K38</f>
        <v>1428.3085500414572</v>
      </c>
      <c r="K8" s="101">
        <f>'42-8_Project 1'!L38</f>
        <v>1422.4737549250247</v>
      </c>
      <c r="L8" s="101">
        <f>'42-8_Project 1'!M38</f>
        <v>1416.6389598085921</v>
      </c>
      <c r="M8" s="101">
        <f>'42-8_Project 1'!N38</f>
        <v>1410.8041646921595</v>
      </c>
      <c r="N8" s="101">
        <f>'42-8_Project 1'!O38</f>
        <v>1404.9693695757269</v>
      </c>
      <c r="O8" s="101">
        <f>'42-8_Project 1'!P38</f>
        <v>1399.1345744592941</v>
      </c>
      <c r="P8" s="101">
        <f t="shared" ref="P8:P44" si="0">SUM(D8:O8)</f>
        <v>17141.465638196973</v>
      </c>
      <c r="Q8" s="101">
        <f>'42-8_Project 1'!Q40</f>
        <v>15822.891358335666</v>
      </c>
      <c r="R8" s="101">
        <f>'42-8_Project 1'!Q39</f>
        <v>1318.5742798613055</v>
      </c>
    </row>
    <row r="9" spans="1:20" x14ac:dyDescent="0.2">
      <c r="A9" s="179"/>
      <c r="B9" s="87">
        <v>2</v>
      </c>
      <c r="C9" s="89" t="s">
        <v>222</v>
      </c>
      <c r="D9" s="101">
        <f>'42-8_Project 2'!E40</f>
        <v>312196.77681838651</v>
      </c>
      <c r="E9" s="101">
        <f>'42-8_Project 2'!F40</f>
        <v>311549.88762743043</v>
      </c>
      <c r="F9" s="101">
        <f>'42-8_Project 2'!G40</f>
        <v>310902.99844273034</v>
      </c>
      <c r="G9" s="101">
        <f>'42-8_Project 2'!H40</f>
        <v>310256.1092357983</v>
      </c>
      <c r="H9" s="101">
        <f>'42-8_Project 2'!I40</f>
        <v>309609.22003685415</v>
      </c>
      <c r="I9" s="101">
        <f>'42-8_Project 2'!J40</f>
        <v>308962.33083791006</v>
      </c>
      <c r="J9" s="101">
        <f>'42-8_Project 2'!K40</f>
        <v>310764.455007468</v>
      </c>
      <c r="K9" s="101">
        <f>'42-8_Project 2'!L40</f>
        <v>310109.48810780863</v>
      </c>
      <c r="L9" s="101">
        <f>'42-8_Project 2'!M40</f>
        <v>309454.52120814932</v>
      </c>
      <c r="M9" s="101">
        <f>'42-8_Project 2'!N40</f>
        <v>267057.15202598652</v>
      </c>
      <c r="N9" s="101">
        <f>'42-8_Project 2'!O40</f>
        <v>224904.18840819137</v>
      </c>
      <c r="O9" s="101">
        <f>'42-8_Project 2'!P40</f>
        <v>224738.03263726737</v>
      </c>
      <c r="P9" s="101">
        <f t="shared" si="0"/>
        <v>3510505.1603939813</v>
      </c>
      <c r="Q9" s="101">
        <f>'42-8_Project 2'!Q42</f>
        <v>3240466.3019021363</v>
      </c>
      <c r="R9" s="101">
        <f>'42-8_Project 2'!Q41</f>
        <v>270038.85849184467</v>
      </c>
    </row>
    <row r="10" spans="1:20" x14ac:dyDescent="0.2">
      <c r="A10" s="179"/>
      <c r="B10" s="87">
        <v>3</v>
      </c>
      <c r="C10" s="89" t="s">
        <v>223</v>
      </c>
      <c r="D10" s="101">
        <f>'42-8_Project 3'!E38</f>
        <v>8645.0918628599993</v>
      </c>
      <c r="E10" s="101">
        <f>'42-8_Project 3'!F38</f>
        <v>8645.0918628599993</v>
      </c>
      <c r="F10" s="101">
        <f>'42-8_Project 3'!G38</f>
        <v>8645.0918628599993</v>
      </c>
      <c r="G10" s="101">
        <f>'42-8_Project 3'!H38</f>
        <v>8645.0918628599993</v>
      </c>
      <c r="H10" s="101">
        <f>'42-8_Project 3'!I38</f>
        <v>8645.0918628599993</v>
      </c>
      <c r="I10" s="101">
        <f>'42-8_Project 3'!J38</f>
        <v>8645.0918628599993</v>
      </c>
      <c r="J10" s="101">
        <f>'42-8_Project 3'!K38</f>
        <v>8753.043061979999</v>
      </c>
      <c r="K10" s="101">
        <f>'42-8_Project 3'!L38</f>
        <v>8753.043061979999</v>
      </c>
      <c r="L10" s="101">
        <f>'42-8_Project 3'!M38</f>
        <v>8753.043061979999</v>
      </c>
      <c r="M10" s="101">
        <f>'42-8_Project 3'!N38</f>
        <v>8753.043061979999</v>
      </c>
      <c r="N10" s="101">
        <f>'42-8_Project 3'!O38</f>
        <v>8753.043061979999</v>
      </c>
      <c r="O10" s="101">
        <f>'42-8_Project 3'!P38</f>
        <v>8753.043061979999</v>
      </c>
      <c r="P10" s="101">
        <f t="shared" si="0"/>
        <v>104388.80954904</v>
      </c>
      <c r="Q10" s="101">
        <f>'42-8_Project 3'!Q40</f>
        <v>96358.901122190786</v>
      </c>
      <c r="R10" s="101">
        <f>'42-8_Project 3'!Q39</f>
        <v>8029.9084268492279</v>
      </c>
    </row>
    <row r="11" spans="1:20" x14ac:dyDescent="0.2">
      <c r="A11" s="179"/>
      <c r="B11" s="87">
        <v>4</v>
      </c>
      <c r="C11" s="89" t="s">
        <v>224</v>
      </c>
      <c r="D11" s="101">
        <f>'42-8_Project 4'!E38</f>
        <v>145362.327104736</v>
      </c>
      <c r="E11" s="101">
        <f>'42-8_Project 4'!F38</f>
        <v>145095.21527036393</v>
      </c>
      <c r="F11" s="101">
        <f>'42-8_Project 4'!G38</f>
        <v>144828.10343599188</v>
      </c>
      <c r="G11" s="101">
        <f>'42-8_Project 4'!H38</f>
        <v>144560.99160161978</v>
      </c>
      <c r="H11" s="101">
        <f>'42-8_Project 4'!I38</f>
        <v>144293.87976724771</v>
      </c>
      <c r="I11" s="101">
        <f>'42-8_Project 4'!J38</f>
        <v>144026.76793287566</v>
      </c>
      <c r="J11" s="101">
        <f>'42-8_Project 4'!K38</f>
        <v>144976.31785864095</v>
      </c>
      <c r="K11" s="101">
        <f>'42-8_Project 4'!L38</f>
        <v>144705.87060073874</v>
      </c>
      <c r="L11" s="101">
        <f>'42-8_Project 4'!M38</f>
        <v>144435.4233428365</v>
      </c>
      <c r="M11" s="101">
        <f>'42-8_Project 4'!N38</f>
        <v>144164.97608493431</v>
      </c>
      <c r="N11" s="101">
        <f>'42-8_Project 4'!O38</f>
        <v>143894.52882703207</v>
      </c>
      <c r="O11" s="101">
        <f>'42-8_Project 4'!P38</f>
        <v>143624.08156912986</v>
      </c>
      <c r="P11" s="101">
        <f t="shared" si="0"/>
        <v>1733968.4833961474</v>
      </c>
      <c r="Q11" s="101">
        <f>'42-8_Project 4'!Q40</f>
        <v>1600586.2923656746</v>
      </c>
      <c r="R11" s="101">
        <f>'42-8_Project 4'!Q39</f>
        <v>133382.19103047287</v>
      </c>
    </row>
    <row r="12" spans="1:20" x14ac:dyDescent="0.2">
      <c r="A12" s="179"/>
      <c r="B12" s="87">
        <v>5</v>
      </c>
      <c r="C12" s="89" t="s">
        <v>225</v>
      </c>
      <c r="D12" s="101">
        <f>'42-8_Project 5'!E39</f>
        <v>44755.349432914714</v>
      </c>
      <c r="E12" s="101">
        <f>'42-8_Project 5'!F39</f>
        <v>44667.526470385572</v>
      </c>
      <c r="F12" s="101">
        <f>'42-8_Project 5'!G39</f>
        <v>44579.78748964642</v>
      </c>
      <c r="G12" s="101">
        <f>'42-8_Project 5'!H39</f>
        <v>44492.048508907275</v>
      </c>
      <c r="H12" s="101">
        <f>'42-8_Project 5'!I39</f>
        <v>44404.309528168124</v>
      </c>
      <c r="I12" s="101">
        <f>'42-8_Project 5'!J39</f>
        <v>44316.576804338147</v>
      </c>
      <c r="J12" s="101">
        <f>'42-8_Project 5'!K39</f>
        <v>44580.229127080165</v>
      </c>
      <c r="K12" s="101">
        <f>'42-8_Project 5'!L39</f>
        <v>44491.394513694177</v>
      </c>
      <c r="L12" s="101">
        <f>'42-8_Project 5'!M39</f>
        <v>44402.559914754296</v>
      </c>
      <c r="M12" s="101">
        <f>'42-8_Project 5'!N39</f>
        <v>44313.725301368308</v>
      </c>
      <c r="N12" s="101">
        <f>'42-8_Project 5'!O39</f>
        <v>44224.890687982312</v>
      </c>
      <c r="O12" s="101">
        <f>'42-8_Project 5'!P39</f>
        <v>44136.056074596323</v>
      </c>
      <c r="P12" s="101">
        <f t="shared" si="0"/>
        <v>533364.45385383582</v>
      </c>
      <c r="Q12" s="101">
        <f>'42-8_Project 5'!Q41</f>
        <v>492336.41894200235</v>
      </c>
      <c r="R12" s="101">
        <f>'42-8_Project 5'!Q40</f>
        <v>41028.034911833522</v>
      </c>
    </row>
    <row r="13" spans="1:20" x14ac:dyDescent="0.2">
      <c r="A13" s="179"/>
      <c r="B13" s="87">
        <v>6</v>
      </c>
      <c r="C13" s="89" t="s">
        <v>226</v>
      </c>
      <c r="D13" s="101">
        <f>'42-8_Project 6'!E39</f>
        <v>33936.73046781397</v>
      </c>
      <c r="E13" s="101">
        <f>'42-8_Project 6'!F39</f>
        <v>34007.353617843975</v>
      </c>
      <c r="F13" s="101">
        <f>'42-8_Project 6'!G39</f>
        <v>33967.969041333978</v>
      </c>
      <c r="G13" s="101">
        <f>'42-8_Project 6'!H39</f>
        <v>33136.548672833982</v>
      </c>
      <c r="H13" s="101">
        <f>'42-8_Project 6'!I39</f>
        <v>32394.616224723974</v>
      </c>
      <c r="I13" s="101">
        <f>'42-8_Project 6'!J39</f>
        <v>32669.048245143982</v>
      </c>
      <c r="J13" s="101">
        <f>'42-8_Project 6'!K39</f>
        <v>34676.662721852314</v>
      </c>
      <c r="K13" s="101">
        <f>'42-8_Project 6'!L39</f>
        <v>36101.310504032313</v>
      </c>
      <c r="L13" s="101">
        <f>'42-8_Project 6'!M39</f>
        <v>36137.244036212316</v>
      </c>
      <c r="M13" s="101">
        <f>'42-8_Project 6'!N39</f>
        <v>36138.879318392312</v>
      </c>
      <c r="N13" s="101">
        <f>'42-8_Project 6'!O39</f>
        <v>36171.164100572314</v>
      </c>
      <c r="O13" s="101">
        <f>'42-8_Project 6'!P39</f>
        <v>36188.853882752315</v>
      </c>
      <c r="P13" s="101">
        <f t="shared" si="0"/>
        <v>415526.38083350775</v>
      </c>
      <c r="Q13" s="101">
        <f>'42-8_Project 6'!Q41</f>
        <v>383562.82000000007</v>
      </c>
      <c r="R13" s="101">
        <f>'42-8_Project 6'!Q40</f>
        <v>31963.567756423672</v>
      </c>
    </row>
    <row r="14" spans="1:20" x14ac:dyDescent="0.2">
      <c r="A14" s="179"/>
      <c r="B14" s="87">
        <v>7</v>
      </c>
      <c r="C14" s="89" t="s">
        <v>227</v>
      </c>
      <c r="D14" s="101">
        <f>'42-8 Project_7'!E38</f>
        <v>1069.7460172748777</v>
      </c>
      <c r="E14" s="101">
        <f>'42-8 Project_7'!F38</f>
        <v>1066.8639861838981</v>
      </c>
      <c r="F14" s="101">
        <f>'42-8 Project_7'!G38</f>
        <v>1063.9819550929183</v>
      </c>
      <c r="G14" s="101">
        <f>'42-8 Project_7'!H38</f>
        <v>1061.0999240019387</v>
      </c>
      <c r="H14" s="101">
        <f>'42-8 Project_7'!I38</f>
        <v>1058.2178929109589</v>
      </c>
      <c r="I14" s="101">
        <f>'42-8 Project_7'!J38</f>
        <v>1055.3358618199793</v>
      </c>
      <c r="J14" s="101">
        <f>'42-8 Project_7'!K38</f>
        <v>1059.3544159826185</v>
      </c>
      <c r="K14" s="101">
        <f>'42-8 Project_7'!L38</f>
        <v>1056.4363969903989</v>
      </c>
      <c r="L14" s="101">
        <f>'42-8 Project_7'!M38</f>
        <v>1053.5183779981789</v>
      </c>
      <c r="M14" s="101">
        <f>'42-8 Project_7'!N38</f>
        <v>1050.6003590059593</v>
      </c>
      <c r="N14" s="101">
        <f>'42-8 Project_7'!O38</f>
        <v>1047.6823400137393</v>
      </c>
      <c r="O14" s="101">
        <f>'42-8 Project_7'!P38</f>
        <v>1044.7643210215197</v>
      </c>
      <c r="P14" s="101">
        <f t="shared" si="0"/>
        <v>12687.601848296983</v>
      </c>
      <c r="Q14" s="101">
        <f>'42-8 Project_7'!Q40</f>
        <v>11711.65</v>
      </c>
      <c r="R14" s="101">
        <f>'42-8 Project_7'!Q39</f>
        <v>975.96937294592203</v>
      </c>
    </row>
    <row r="15" spans="1:20" x14ac:dyDescent="0.2">
      <c r="A15" s="179"/>
      <c r="B15" s="87">
        <v>8</v>
      </c>
      <c r="C15" s="89" t="s">
        <v>228</v>
      </c>
      <c r="D15" s="101">
        <f>'42-8_Project 8'!E38</f>
        <v>3067.0854313200002</v>
      </c>
      <c r="E15" s="101">
        <f>'42-8_Project 8'!F38</f>
        <v>3067.0854313200002</v>
      </c>
      <c r="F15" s="101">
        <f>'42-8_Project 8'!G38</f>
        <v>3067.0854313200002</v>
      </c>
      <c r="G15" s="101">
        <f>'42-8_Project 8'!H38</f>
        <v>3067.0854313200002</v>
      </c>
      <c r="H15" s="101">
        <f>'42-8_Project 8'!I38</f>
        <v>3067.0854313200002</v>
      </c>
      <c r="I15" s="101">
        <f>'42-8_Project 8'!J38</f>
        <v>3067.0854313200002</v>
      </c>
      <c r="J15" s="101">
        <f>'42-8_Project 8'!K38</f>
        <v>3105.3841047599999</v>
      </c>
      <c r="K15" s="101">
        <f>'42-8_Project 8'!L38</f>
        <v>3105.3841047599999</v>
      </c>
      <c r="L15" s="101">
        <f>'42-8_Project 8'!M38</f>
        <v>3105.3841047599999</v>
      </c>
      <c r="M15" s="101">
        <f>'42-8_Project 8'!N38</f>
        <v>3105.3841047599999</v>
      </c>
      <c r="N15" s="101">
        <f>'42-8_Project 8'!O38</f>
        <v>3105.3841047599999</v>
      </c>
      <c r="O15" s="101">
        <f>'42-8_Project 8'!P38</f>
        <v>3105.3841047599999</v>
      </c>
      <c r="P15" s="101">
        <f t="shared" si="0"/>
        <v>37034.817216480005</v>
      </c>
      <c r="Q15" s="101">
        <f>'42-8_Project 8'!Q40</f>
        <v>34186.020000000011</v>
      </c>
      <c r="R15" s="101">
        <f>'42-8_Project 8'!Q39</f>
        <v>2848.832093575385</v>
      </c>
    </row>
    <row r="16" spans="1:20" x14ac:dyDescent="0.2">
      <c r="A16" s="179"/>
      <c r="B16" s="87">
        <v>9</v>
      </c>
      <c r="C16" s="89" t="s">
        <v>229</v>
      </c>
      <c r="D16" s="101">
        <f>'42-8_Project 9'!E38</f>
        <v>1967.7926091773443</v>
      </c>
      <c r="E16" s="101">
        <f>'42-8_Project 9'!F38</f>
        <v>1960.4756117573143</v>
      </c>
      <c r="F16" s="101">
        <f>'42-8_Project 9'!G38</f>
        <v>1953.1586143372842</v>
      </c>
      <c r="G16" s="101">
        <f>'42-8_Project 9'!H38</f>
        <v>1945.8416169172544</v>
      </c>
      <c r="H16" s="101">
        <f>'42-8_Project 9'!I38</f>
        <v>1938.5246194972242</v>
      </c>
      <c r="I16" s="101">
        <f>'42-8_Project 9'!J38</f>
        <v>1931.2076220771944</v>
      </c>
      <c r="J16" s="101">
        <f>'42-8_Project 9'!K38</f>
        <v>1932.0683616479707</v>
      </c>
      <c r="K16" s="101">
        <f>'42-8_Project 9'!L38</f>
        <v>1924.6599969344543</v>
      </c>
      <c r="L16" s="101">
        <f>'42-8_Project 9'!M38</f>
        <v>1917.2516322209381</v>
      </c>
      <c r="M16" s="101">
        <f>'42-8_Project 9'!N38</f>
        <v>1909.8432675074218</v>
      </c>
      <c r="N16" s="101">
        <f>'42-8_Project 9'!O38</f>
        <v>1902.4349027939054</v>
      </c>
      <c r="O16" s="101">
        <f>'42-8_Project 9'!P38</f>
        <v>1895.0265380803892</v>
      </c>
      <c r="P16" s="101">
        <f t="shared" si="0"/>
        <v>23178.285392948696</v>
      </c>
      <c r="Q16" s="101">
        <f>'42-8_Project 9'!Q40</f>
        <v>21395.34</v>
      </c>
      <c r="R16" s="101">
        <f>'42-8_Project 9'!Q39</f>
        <v>1782.9450302268222</v>
      </c>
    </row>
    <row r="17" spans="1:18" x14ac:dyDescent="0.2">
      <c r="A17" s="179"/>
      <c r="B17" s="87">
        <v>10</v>
      </c>
      <c r="C17" s="89" t="s">
        <v>230</v>
      </c>
      <c r="D17" s="101">
        <f>'42-8_Project 10'!E39</f>
        <v>-112.48392635556412</v>
      </c>
      <c r="E17" s="101">
        <f>'42-8_Project 10'!F39</f>
        <v>-112.88692439233417</v>
      </c>
      <c r="F17" s="101">
        <f>'42-8_Project 10'!G39</f>
        <v>-113.28992242910421</v>
      </c>
      <c r="G17" s="101">
        <f>'42-8_Project 10'!H39</f>
        <v>-113.69292046587422</v>
      </c>
      <c r="H17" s="101">
        <f>'42-8_Project 10'!I39</f>
        <v>-9.4948260126442534</v>
      </c>
      <c r="I17" s="101">
        <f>'42-8_Project 10'!J39</f>
        <v>94.703268440585703</v>
      </c>
      <c r="J17" s="101">
        <f>'42-8_Project 10'!K39</f>
        <v>94.605054642351419</v>
      </c>
      <c r="K17" s="101">
        <f>'42-8_Project 10'!L39</f>
        <v>94.197024372031706</v>
      </c>
      <c r="L17" s="101">
        <f>'42-8_Project 10'!M39</f>
        <v>93.788994101712007</v>
      </c>
      <c r="M17" s="101">
        <f>'42-8_Project 10'!N39</f>
        <v>93.380963831392307</v>
      </c>
      <c r="N17" s="101">
        <f>'42-8_Project 10'!O39</f>
        <v>92.972933561072594</v>
      </c>
      <c r="O17" s="101">
        <f>'42-8_Project 10'!P39</f>
        <v>92.564903290752881</v>
      </c>
      <c r="P17" s="101">
        <f t="shared" si="0"/>
        <v>194.36462258437763</v>
      </c>
      <c r="Q17" s="101">
        <f>'42-8_Project 10'!Q41</f>
        <v>179.40999999999997</v>
      </c>
      <c r="R17" s="101">
        <f>'42-8_Project 10'!Q40</f>
        <v>14.951124814182901</v>
      </c>
    </row>
    <row r="18" spans="1:18" x14ac:dyDescent="0.2">
      <c r="A18" s="179"/>
      <c r="B18" s="87">
        <v>11</v>
      </c>
      <c r="C18" s="89" t="s">
        <v>231</v>
      </c>
      <c r="D18" s="101">
        <f>'42-8_Project_11'!E40</f>
        <v>414.37859597258728</v>
      </c>
      <c r="E18" s="101">
        <f>'42-8_Project_11'!F40</f>
        <v>412.42786093889458</v>
      </c>
      <c r="F18" s="101">
        <f>'42-8_Project_11'!G40</f>
        <v>410.47712590520189</v>
      </c>
      <c r="G18" s="101">
        <f>'42-8_Project_11'!H40</f>
        <v>408.52639087150925</v>
      </c>
      <c r="H18" s="101">
        <f>'42-8_Project_11'!I40</f>
        <v>406.57565583781661</v>
      </c>
      <c r="I18" s="101">
        <f>'42-8_Project_11'!J40</f>
        <v>404.62492080412392</v>
      </c>
      <c r="J18" s="101">
        <f>'42-8_Project_11'!K40</f>
        <v>403.47781518754175</v>
      </c>
      <c r="K18" s="101">
        <f>'42-8_Project_11'!L40</f>
        <v>401.5027213396927</v>
      </c>
      <c r="L18" s="101">
        <f>'42-8_Project_11'!M40</f>
        <v>399.52762749184365</v>
      </c>
      <c r="M18" s="101">
        <f>'42-8_Project_11'!N40</f>
        <v>313.22018793608476</v>
      </c>
      <c r="N18" s="101">
        <f>'42-8_Project_11'!O40</f>
        <v>227.40652193958803</v>
      </c>
      <c r="O18" s="101">
        <f>'42-8_Project_11'!P40</f>
        <v>226.41897521026351</v>
      </c>
      <c r="P18" s="101">
        <f t="shared" si="0"/>
        <v>4428.5643994351485</v>
      </c>
      <c r="Q18" s="101">
        <f>'42-8_Project_11'!Q42</f>
        <v>4087.89</v>
      </c>
      <c r="R18" s="101">
        <f>'42-8_Project_11'!Q41</f>
        <v>340.6587999565499</v>
      </c>
    </row>
    <row r="19" spans="1:18" x14ac:dyDescent="0.2">
      <c r="A19" s="179"/>
      <c r="B19" s="87">
        <v>12</v>
      </c>
      <c r="C19" s="89" t="s">
        <v>232</v>
      </c>
      <c r="D19" s="101">
        <f>'42-8_Project 12'!E38</f>
        <v>241.26217934534404</v>
      </c>
      <c r="E19" s="101">
        <f>'42-8_Project 12'!F38</f>
        <v>240.11776712518815</v>
      </c>
      <c r="F19" s="101">
        <f>'42-8_Project 12'!G38</f>
        <v>238.97335490503224</v>
      </c>
      <c r="G19" s="101">
        <f>'42-8_Project 12'!H38</f>
        <v>237.82894268487635</v>
      </c>
      <c r="H19" s="101">
        <f>'42-8_Project 12'!I38</f>
        <v>236.68453046472044</v>
      </c>
      <c r="I19" s="101">
        <f>'42-8_Project 12'!J38</f>
        <v>235.54011824456455</v>
      </c>
      <c r="J19" s="101">
        <f>'42-8_Project 12'!K38</f>
        <v>234.84423598914333</v>
      </c>
      <c r="K19" s="101">
        <f>'42-8_Project 12'!L38</f>
        <v>233.68553350193034</v>
      </c>
      <c r="L19" s="101">
        <f>'42-8_Project 12'!M38</f>
        <v>232.52683101471735</v>
      </c>
      <c r="M19" s="101">
        <f>'42-8_Project 12'!N38</f>
        <v>231.36812852750433</v>
      </c>
      <c r="N19" s="101">
        <f>'42-8_Project 12'!O38</f>
        <v>230.20942604029133</v>
      </c>
      <c r="O19" s="101">
        <f>'42-8_Project 12'!P38</f>
        <v>229.05072355307834</v>
      </c>
      <c r="P19" s="101">
        <f t="shared" si="0"/>
        <v>2822.0917713963909</v>
      </c>
      <c r="Q19" s="101">
        <f>'42-8_Project 12'!Q40</f>
        <v>2605</v>
      </c>
      <c r="R19" s="101">
        <f>'42-8_Project 12'!Q39</f>
        <v>217.08398241510699</v>
      </c>
    </row>
    <row r="20" spans="1:18" x14ac:dyDescent="0.2">
      <c r="A20" s="179"/>
      <c r="B20" s="87">
        <v>13</v>
      </c>
      <c r="C20" s="89" t="s">
        <v>233</v>
      </c>
      <c r="D20" s="101">
        <f>'42-8_Project 13'!E40</f>
        <v>1774.8732954719826</v>
      </c>
      <c r="E20" s="101">
        <f>'42-8_Project 13'!F40</f>
        <v>1769.4028656838868</v>
      </c>
      <c r="F20" s="101">
        <f>'42-8_Project 13'!G40</f>
        <v>1763.9324358957911</v>
      </c>
      <c r="G20" s="101">
        <f>'42-8_Project 13'!H40</f>
        <v>1758.4620061076955</v>
      </c>
      <c r="H20" s="101">
        <f>'42-8_Project 13'!I40</f>
        <v>1752.9915763196</v>
      </c>
      <c r="I20" s="101">
        <f>'42-8_Project 13'!J40</f>
        <v>1747.5211465315042</v>
      </c>
      <c r="J20" s="101">
        <f>'42-8_Project 13'!K40</f>
        <v>1751.9567928253746</v>
      </c>
      <c r="K20" s="101">
        <f>'42-8_Project 13'!L40</f>
        <v>1746.4180538203623</v>
      </c>
      <c r="L20" s="101">
        <f>'42-8_Project 13'!M40</f>
        <v>1740.8793148153495</v>
      </c>
      <c r="M20" s="101">
        <f>'42-8_Project 13'!N40</f>
        <v>1262.3556986386193</v>
      </c>
      <c r="N20" s="101">
        <f>'42-8_Project 13'!O40</f>
        <v>786.6014519643951</v>
      </c>
      <c r="O20" s="101">
        <f>'42-8_Project 13'!P40</f>
        <v>786.6014519643951</v>
      </c>
      <c r="P20" s="101">
        <f t="shared" si="0"/>
        <v>18641.996090038952</v>
      </c>
      <c r="Q20" s="101">
        <f>'42-8_Project 13'!Q42</f>
        <v>17207.996390805187</v>
      </c>
      <c r="R20" s="101">
        <f>'42-8_Project 13'!Q41</f>
        <v>1433.9996992337656</v>
      </c>
    </row>
    <row r="21" spans="1:18" x14ac:dyDescent="0.2">
      <c r="A21" s="179"/>
      <c r="B21" s="87">
        <v>14</v>
      </c>
      <c r="C21" s="89" t="s">
        <v>234</v>
      </c>
      <c r="D21" s="101">
        <f>'42-8_Project 14'!E38</f>
        <v>14126.281473665211</v>
      </c>
      <c r="E21" s="101">
        <f>'42-8_Project 14'!F38</f>
        <v>14063.852127665788</v>
      </c>
      <c r="F21" s="101">
        <f>'42-8_Project 14'!G38</f>
        <v>14001.422781666366</v>
      </c>
      <c r="G21" s="101">
        <f>'42-8_Project 14'!H38</f>
        <v>13938.993435666944</v>
      </c>
      <c r="H21" s="101">
        <f>'42-8_Project 14'!I38</f>
        <v>13876.564089667521</v>
      </c>
      <c r="I21" s="101">
        <f>'42-8_Project 14'!J38</f>
        <v>13814.134743668099</v>
      </c>
      <c r="J21" s="101">
        <f>'42-8_Project 14'!K38</f>
        <v>13788.224301566983</v>
      </c>
      <c r="K21" s="101">
        <f>'42-8_Project 14'!L38</f>
        <v>13725.015400778806</v>
      </c>
      <c r="L21" s="101">
        <f>'42-8_Project 14'!M38</f>
        <v>13661.806499990627</v>
      </c>
      <c r="M21" s="101">
        <f>'42-8_Project 14'!N38</f>
        <v>13598.597599202451</v>
      </c>
      <c r="N21" s="101">
        <f>'42-8_Project 14'!O38</f>
        <v>13535.388698414274</v>
      </c>
      <c r="O21" s="101">
        <f>'42-8_Project 14'!P38</f>
        <v>13472.179797626097</v>
      </c>
      <c r="P21" s="101">
        <f t="shared" si="0"/>
        <v>165602.46094957914</v>
      </c>
      <c r="Q21" s="101">
        <f>'42-8_Project 14'!Q40</f>
        <v>152863.79999999999</v>
      </c>
      <c r="R21" s="101">
        <f>'42-8_Project 14'!Q39</f>
        <v>12738.650842275321</v>
      </c>
    </row>
    <row r="22" spans="1:18" x14ac:dyDescent="0.2">
      <c r="A22" s="179"/>
      <c r="B22" s="87">
        <v>15</v>
      </c>
      <c r="C22" s="89" t="s">
        <v>235</v>
      </c>
      <c r="D22" s="101">
        <f>'42-8_Project 15'!E39</f>
        <v>5141.1270263671722</v>
      </c>
      <c r="E22" s="101">
        <f>'42-8_Project 15'!F39</f>
        <v>3829.4256611565042</v>
      </c>
      <c r="F22" s="101">
        <f>'42-8_Project 15'!G39</f>
        <v>2550.7436627565048</v>
      </c>
      <c r="G22" s="101">
        <f>'42-8_Project 15'!H39</f>
        <v>2593.1151714165048</v>
      </c>
      <c r="H22" s="101">
        <f>'42-8_Project 15'!I39</f>
        <v>5753.4819603965052</v>
      </c>
      <c r="I22" s="101">
        <f>'42-8_Project 15'!J39</f>
        <v>7068.311589396505</v>
      </c>
      <c r="J22" s="101">
        <f>'42-8_Project 15'!K39</f>
        <v>7110.3791700891561</v>
      </c>
      <c r="K22" s="101">
        <f>'42-8_Project 15'!L39</f>
        <v>7095.6625061691566</v>
      </c>
      <c r="L22" s="101">
        <f>'42-8_Project 15'!M39</f>
        <v>7080.9458422491571</v>
      </c>
      <c r="M22" s="101">
        <f>'42-8_Project 15'!N39</f>
        <v>7066.2291783291566</v>
      </c>
      <c r="N22" s="101">
        <f>'42-8_Project 15'!O39</f>
        <v>7051.5125144091571</v>
      </c>
      <c r="O22" s="101">
        <f>'42-8_Project 15'!P39</f>
        <v>7036.7958504891567</v>
      </c>
      <c r="P22" s="101">
        <f t="shared" si="0"/>
        <v>69377.730133224642</v>
      </c>
      <c r="Q22" s="101">
        <f>'42-8_Project 15'!Q41</f>
        <v>64040.98000000001</v>
      </c>
      <c r="R22" s="101">
        <f>'42-8_Project 15'!Q40</f>
        <v>5336.7484717865109</v>
      </c>
    </row>
    <row r="23" spans="1:18" x14ac:dyDescent="0.2">
      <c r="A23" s="179"/>
      <c r="B23" s="87">
        <v>16</v>
      </c>
      <c r="C23" s="89" t="s">
        <v>236</v>
      </c>
      <c r="D23" s="101">
        <f>'42-8_Project 16'!E39</f>
        <v>104529.61984263611</v>
      </c>
      <c r="E23" s="101">
        <f>'42-8_Project 16'!F39</f>
        <v>104314.21401825611</v>
      </c>
      <c r="F23" s="101">
        <f>'42-8_Project 16'!G39</f>
        <v>104098.82554953609</v>
      </c>
      <c r="G23" s="101">
        <f>'42-8_Project 16'!H39</f>
        <v>103883.4370808161</v>
      </c>
      <c r="H23" s="101">
        <f>'42-8_Project 16'!I39</f>
        <v>103668.04861209611</v>
      </c>
      <c r="I23" s="101">
        <f>'42-8_Project 16'!J39</f>
        <v>103452.66014337612</v>
      </c>
      <c r="J23" s="101">
        <f>'42-8_Project 16'!K39</f>
        <v>103803.4600429624</v>
      </c>
      <c r="K23" s="101">
        <f>'42-8_Project 16'!L39</f>
        <v>103585.38202000241</v>
      </c>
      <c r="L23" s="101">
        <f>'42-8_Project 16'!M39</f>
        <v>103367.30399704241</v>
      </c>
      <c r="M23" s="101">
        <f>'42-8_Project 16'!N39</f>
        <v>103149.22597408242</v>
      </c>
      <c r="N23" s="101">
        <f>'42-8_Project 16'!O39</f>
        <v>102931.1479511224</v>
      </c>
      <c r="O23" s="101">
        <f>'42-8_Project 16'!P39</f>
        <v>102713.06992816241</v>
      </c>
      <c r="P23" s="101">
        <f t="shared" si="0"/>
        <v>1243496.3951600911</v>
      </c>
      <c r="Q23" s="101">
        <f>'42-8_Project 16'!Q41</f>
        <v>1147842.81</v>
      </c>
      <c r="R23" s="101">
        <f>'42-8_Project 16'!Q40</f>
        <v>95653.568858468541</v>
      </c>
    </row>
    <row r="24" spans="1:18" x14ac:dyDescent="0.2">
      <c r="A24" s="179"/>
      <c r="B24" s="90">
        <v>17</v>
      </c>
      <c r="C24" s="89" t="s">
        <v>154</v>
      </c>
      <c r="D24" s="101">
        <f>'42-8_Project 17'!E39</f>
        <v>192305.70381196984</v>
      </c>
      <c r="E24" s="101">
        <f>'42-8_Project 17'!F39</f>
        <v>191837.69805317005</v>
      </c>
      <c r="F24" s="101">
        <f>'42-8_Project 17'!G39</f>
        <v>190785.95019231897</v>
      </c>
      <c r="G24" s="101">
        <f>'42-8_Project 17'!H39</f>
        <v>188724.01027917897</v>
      </c>
      <c r="H24" s="101">
        <f>'42-8_Project 17'!I39</f>
        <v>191107.85975866899</v>
      </c>
      <c r="I24" s="101">
        <f>'42-8_Project 17'!J39</f>
        <v>192337.5857180648</v>
      </c>
      <c r="J24" s="101">
        <f>'42-8_Project 17'!K39</f>
        <v>193427.27905048092</v>
      </c>
      <c r="K24" s="101">
        <f>'42-8_Project 17'!L39</f>
        <v>193331.58655174673</v>
      </c>
      <c r="L24" s="101">
        <f>'42-8_Project 17'!M39</f>
        <v>193182.43256801253</v>
      </c>
      <c r="M24" s="101">
        <f>'42-8_Project 17'!N39</f>
        <v>192874.37917052832</v>
      </c>
      <c r="N24" s="101">
        <f>'42-8_Project 17'!O39</f>
        <v>192514.34932929411</v>
      </c>
      <c r="O24" s="101">
        <f>'42-8_Project 17'!P39</f>
        <v>192184.02031305997</v>
      </c>
      <c r="P24" s="101">
        <f t="shared" si="0"/>
        <v>2304612.8547964944</v>
      </c>
      <c r="Q24" s="101">
        <f>'42-8_Project 17'!Q41</f>
        <v>2127334.9600000004</v>
      </c>
      <c r="R24" s="101">
        <f>'42-8_Project 17'!Q40</f>
        <v>177277.91190742265</v>
      </c>
    </row>
    <row r="25" spans="1:18" x14ac:dyDescent="0.2">
      <c r="A25" s="179"/>
      <c r="B25" s="90">
        <v>18</v>
      </c>
      <c r="C25" s="89" t="s">
        <v>237</v>
      </c>
      <c r="D25" s="101">
        <f>'42-8_Project 18'!E38</f>
        <v>0</v>
      </c>
      <c r="E25" s="101">
        <f>'42-8_Project 18'!F38</f>
        <v>0</v>
      </c>
      <c r="F25" s="101">
        <f>'42-8_Project 18'!G38</f>
        <v>0</v>
      </c>
      <c r="G25" s="101">
        <f>'42-8_Project 18'!H38</f>
        <v>0</v>
      </c>
      <c r="H25" s="101">
        <f>'42-8_Project 18'!I38</f>
        <v>0</v>
      </c>
      <c r="I25" s="101">
        <f>'42-8_Project 18'!J38</f>
        <v>0</v>
      </c>
      <c r="J25" s="101">
        <f>'42-8_Project 18'!K38</f>
        <v>0</v>
      </c>
      <c r="K25" s="101">
        <f>'42-8_Project 18'!L38</f>
        <v>0</v>
      </c>
      <c r="L25" s="101">
        <f>'42-8_Project 18'!M38</f>
        <v>0</v>
      </c>
      <c r="M25" s="101">
        <f>'42-8_Project 18'!N38</f>
        <v>0</v>
      </c>
      <c r="N25" s="101">
        <f>'42-8_Project 18'!O38</f>
        <v>0</v>
      </c>
      <c r="O25" s="101">
        <f>'42-8_Project 18'!P38</f>
        <v>0</v>
      </c>
      <c r="P25" s="101">
        <f t="shared" si="0"/>
        <v>0</v>
      </c>
      <c r="Q25" s="101">
        <f>'42-8_Project 18'!Q40</f>
        <v>0</v>
      </c>
      <c r="R25" s="101">
        <f>'42-8_Project 18'!Q39</f>
        <v>0</v>
      </c>
    </row>
    <row r="26" spans="1:18" x14ac:dyDescent="0.2">
      <c r="A26" s="179"/>
      <c r="B26" s="90">
        <v>19</v>
      </c>
      <c r="C26" s="89" t="s">
        <v>238</v>
      </c>
      <c r="D26" s="101">
        <f>'42-8_Project 19'!E40</f>
        <v>875753.5014112296</v>
      </c>
      <c r="E26" s="101">
        <f>'42-8_Project 19'!F40</f>
        <v>874289.34984296153</v>
      </c>
      <c r="F26" s="101">
        <f>'42-8_Project 19'!G40</f>
        <v>871950.14037188317</v>
      </c>
      <c r="G26" s="101">
        <f>'42-8_Project 19'!H40</f>
        <v>869610.93090080505</v>
      </c>
      <c r="H26" s="101">
        <f>'42-8_Project 19'!I40</f>
        <v>867271.28269824677</v>
      </c>
      <c r="I26" s="101">
        <f>'42-8_Project 19'!J40</f>
        <v>864073.96422015876</v>
      </c>
      <c r="J26" s="101">
        <f>'42-8_Project 19'!K40</f>
        <v>866560.56154974725</v>
      </c>
      <c r="K26" s="101">
        <f>'42-8_Project 19'!L40</f>
        <v>864192.14495576255</v>
      </c>
      <c r="L26" s="101">
        <f>'42-8_Project 19'!M40</f>
        <v>861823.72836177808</v>
      </c>
      <c r="M26" s="101">
        <f>'42-8_Project 19'!N40</f>
        <v>726059.04055986402</v>
      </c>
      <c r="N26" s="101">
        <f>'42-8_Project 19'!O40</f>
        <v>591075.40006635513</v>
      </c>
      <c r="O26" s="101">
        <f>'42-8_Project 19'!P40</f>
        <v>590269.07808918087</v>
      </c>
      <c r="P26" s="101">
        <f t="shared" si="0"/>
        <v>9722929.1230279747</v>
      </c>
      <c r="Q26" s="101">
        <f>'42-8_Project 19'!Q42</f>
        <v>8975011.4981796667</v>
      </c>
      <c r="R26" s="101">
        <f>'42-8_Project 19'!Q41</f>
        <v>747917.62484830571</v>
      </c>
    </row>
    <row r="27" spans="1:18" x14ac:dyDescent="0.2">
      <c r="A27" s="179"/>
      <c r="B27" s="90">
        <v>20</v>
      </c>
      <c r="C27" s="89" t="s">
        <v>239</v>
      </c>
      <c r="D27" s="101">
        <f>'42-8_Project 20'!E38</f>
        <v>6255.0723623055237</v>
      </c>
      <c r="E27" s="101">
        <f>'42-8_Project 20'!F38</f>
        <v>6236.1510392670298</v>
      </c>
      <c r="F27" s="101">
        <f>'42-8_Project 20'!G38</f>
        <v>6217.2297162285358</v>
      </c>
      <c r="G27" s="101">
        <f>'42-8_Project 20'!H38</f>
        <v>6198.3083931900419</v>
      </c>
      <c r="H27" s="101">
        <f>'42-8_Project 20'!I38</f>
        <v>6179.387070151548</v>
      </c>
      <c r="I27" s="101">
        <f>'42-8_Project 20'!J38</f>
        <v>6160.465747113054</v>
      </c>
      <c r="J27" s="101">
        <f>'42-8_Project 20'!K38</f>
        <v>6177.2573577506118</v>
      </c>
      <c r="K27" s="101">
        <f>'42-8_Project 20'!L38</f>
        <v>6158.0997642891598</v>
      </c>
      <c r="L27" s="101">
        <f>'42-8_Project 20'!M38</f>
        <v>6138.9421708277096</v>
      </c>
      <c r="M27" s="101">
        <f>'42-8_Project 20'!N38</f>
        <v>6119.7845773662575</v>
      </c>
      <c r="N27" s="101">
        <f>'42-8_Project 20'!O38</f>
        <v>6100.6269839048064</v>
      </c>
      <c r="O27" s="101">
        <f>'42-8_Project 20'!P38</f>
        <v>6081.4693904433552</v>
      </c>
      <c r="P27" s="101">
        <f t="shared" si="0"/>
        <v>74022.794572837622</v>
      </c>
      <c r="Q27" s="101">
        <f>'42-8_Project 20'!Q40</f>
        <v>68328.73</v>
      </c>
      <c r="R27" s="101">
        <f>'42-8_Project 20'!Q39</f>
        <v>5694.0611209875105</v>
      </c>
    </row>
    <row r="28" spans="1:18" x14ac:dyDescent="0.2">
      <c r="A28" s="179"/>
      <c r="B28" s="90">
        <v>21</v>
      </c>
      <c r="C28" s="89" t="s">
        <v>240</v>
      </c>
      <c r="D28" s="101">
        <f>'42-8_Project 21'!E39</f>
        <v>-191.174595898044</v>
      </c>
      <c r="E28" s="101">
        <f>'42-8_Project 21'!F39</f>
        <v>-191.174595898044</v>
      </c>
      <c r="F28" s="101">
        <f>'42-8_Project 21'!G39</f>
        <v>-191.174595898044</v>
      </c>
      <c r="G28" s="101">
        <f>'42-8_Project 21'!H39</f>
        <v>-191.174595898044</v>
      </c>
      <c r="H28" s="101">
        <f>'42-8_Project 21'!I39</f>
        <v>-95.587289398044035</v>
      </c>
      <c r="I28" s="101">
        <f>'42-8_Project 21'!J39</f>
        <v>1.7101955958132747E-5</v>
      </c>
      <c r="J28" s="101">
        <f>'42-8_Project 21'!K39</f>
        <v>1.7315507957609951E-5</v>
      </c>
      <c r="K28" s="101">
        <f>'42-8_Project 21'!L39</f>
        <v>1.7315507957609951E-5</v>
      </c>
      <c r="L28" s="101">
        <f>'42-8_Project 21'!M39</f>
        <v>1.7315507957609951E-5</v>
      </c>
      <c r="M28" s="101">
        <f>'42-8_Project 21'!N39</f>
        <v>1.7315507957609951E-5</v>
      </c>
      <c r="N28" s="101">
        <f>'42-8_Project 21'!O39</f>
        <v>1.7315507957609951E-5</v>
      </c>
      <c r="O28" s="101">
        <f>'42-8_Project 21'!P39</f>
        <v>1.7315507957609951E-5</v>
      </c>
      <c r="P28" s="101">
        <f t="shared" si="0"/>
        <v>-860.28555199521622</v>
      </c>
      <c r="Q28" s="101">
        <f>'42-8_Project 21'!Q41</f>
        <v>-794.10974030327634</v>
      </c>
      <c r="R28" s="101">
        <f>'42-8_Project 21'!Q40</f>
        <v>-66.175811691939714</v>
      </c>
    </row>
    <row r="29" spans="1:18" x14ac:dyDescent="0.2">
      <c r="A29" s="179"/>
      <c r="B29" s="90">
        <v>22</v>
      </c>
      <c r="C29" s="89" t="s">
        <v>241</v>
      </c>
      <c r="D29" s="101">
        <f>'42-8_Project 22'!E40</f>
        <v>92732.91676818479</v>
      </c>
      <c r="E29" s="101">
        <f>'42-8_Project 22'!F40</f>
        <v>92465.842595233727</v>
      </c>
      <c r="F29" s="101">
        <f>'42-8_Project 22'!G40</f>
        <v>92198.768422282679</v>
      </c>
      <c r="G29" s="101">
        <f>'42-8_Project 22'!H40</f>
        <v>91931.694249331631</v>
      </c>
      <c r="H29" s="101">
        <f>'42-8_Project 22'!I40</f>
        <v>91664.620076380568</v>
      </c>
      <c r="I29" s="101">
        <f>'42-8_Project 22'!J40</f>
        <v>91397.545903429505</v>
      </c>
      <c r="J29" s="101">
        <f>'42-8_Project 22'!K40</f>
        <v>91690.03480927553</v>
      </c>
      <c r="K29" s="101">
        <f>'42-8_Project 22'!L40</f>
        <v>91419.625683072227</v>
      </c>
      <c r="L29" s="101">
        <f>'42-8_Project 22'!M40</f>
        <v>91149.216556868923</v>
      </c>
      <c r="M29" s="101">
        <f>'42-8_Project 22'!N40</f>
        <v>67787.012127143753</v>
      </c>
      <c r="N29" s="101">
        <f>'42-8_Project 22'!O40</f>
        <v>44560.012260520241</v>
      </c>
      <c r="O29" s="101">
        <f>'42-8_Project 22'!P40</f>
        <v>44560.012260520241</v>
      </c>
      <c r="P29" s="101">
        <f t="shared" si="0"/>
        <v>983557.30171224382</v>
      </c>
      <c r="Q29" s="101">
        <f>'42-8_Project 22'!Q42</f>
        <v>907899.04773437884</v>
      </c>
      <c r="R29" s="101">
        <f>'42-8_Project 22'!Q41</f>
        <v>75658.253977864893</v>
      </c>
    </row>
    <row r="30" spans="1:18" x14ac:dyDescent="0.2">
      <c r="A30" s="179"/>
      <c r="B30" s="90">
        <v>23</v>
      </c>
      <c r="C30" s="89" t="s">
        <v>242</v>
      </c>
      <c r="D30" s="101">
        <f>'42-8_Project 23'!E38</f>
        <v>0</v>
      </c>
      <c r="E30" s="101">
        <f>'42-8_Project 23'!F38</f>
        <v>0</v>
      </c>
      <c r="F30" s="101">
        <f>'42-8_Project 23'!G38</f>
        <v>0</v>
      </c>
      <c r="G30" s="101">
        <f>'42-8_Project 23'!H38</f>
        <v>0</v>
      </c>
      <c r="H30" s="101">
        <f>'42-8_Project 23'!I38</f>
        <v>0</v>
      </c>
      <c r="I30" s="101">
        <f>'42-8_Project 23'!J38</f>
        <v>0</v>
      </c>
      <c r="J30" s="101">
        <f>'42-8_Project 23'!K38</f>
        <v>0</v>
      </c>
      <c r="K30" s="101">
        <f>'42-8_Project 23'!L38</f>
        <v>0</v>
      </c>
      <c r="L30" s="101">
        <f>'42-8_Project 23'!M38</f>
        <v>0</v>
      </c>
      <c r="M30" s="101">
        <f>'42-8_Project 23'!N38</f>
        <v>0</v>
      </c>
      <c r="N30" s="101">
        <f>'42-8_Project 23'!O38</f>
        <v>0</v>
      </c>
      <c r="O30" s="101">
        <f>'42-8_Project 23'!P38</f>
        <v>0</v>
      </c>
      <c r="P30" s="101">
        <f t="shared" si="0"/>
        <v>0</v>
      </c>
      <c r="Q30" s="101">
        <f>'42-8_Project 23'!Q40</f>
        <v>0</v>
      </c>
      <c r="R30" s="101">
        <f>'42-8_Project 23'!Q39</f>
        <v>0</v>
      </c>
    </row>
    <row r="31" spans="1:18" x14ac:dyDescent="0.2">
      <c r="A31" s="179"/>
      <c r="B31" s="90">
        <v>24</v>
      </c>
      <c r="C31" s="89" t="s">
        <v>152</v>
      </c>
      <c r="D31" s="101">
        <f>'42-8_Project 24'!E40</f>
        <v>145606.26736102381</v>
      </c>
      <c r="E31" s="101">
        <f>'42-8_Project 24'!F40</f>
        <v>143689.29711292853</v>
      </c>
      <c r="F31" s="101">
        <f>'42-8_Project 24'!G40</f>
        <v>141276.56180968496</v>
      </c>
      <c r="G31" s="101">
        <f>'42-8_Project 24'!H40</f>
        <v>140404.09326305767</v>
      </c>
      <c r="H31" s="101">
        <f>'42-8_Project 24'!I40</f>
        <v>143335.58399777114</v>
      </c>
      <c r="I31" s="101">
        <f>'42-8_Project 24'!J40</f>
        <v>144484.39491836666</v>
      </c>
      <c r="J31" s="101">
        <f>'42-8_Project 24'!K40</f>
        <v>145067.90232224431</v>
      </c>
      <c r="K31" s="101">
        <f>'42-8_Project 24'!L40</f>
        <v>144679.02026575373</v>
      </c>
      <c r="L31" s="101">
        <f>'42-8_Project 24'!M40</f>
        <v>144290.13820926315</v>
      </c>
      <c r="M31" s="101">
        <f>'42-8_Project 24'!N40</f>
        <v>135879.5178704116</v>
      </c>
      <c r="N31" s="101">
        <f>'42-8_Project 24'!O40</f>
        <v>127515.86553926696</v>
      </c>
      <c r="O31" s="101">
        <f>'42-8_Project 24'!P40</f>
        <v>127220.91949819021</v>
      </c>
      <c r="P31" s="101">
        <f t="shared" si="0"/>
        <v>1683449.5621679628</v>
      </c>
      <c r="Q31" s="101">
        <f>'42-8_Project 24'!Q42</f>
        <v>1553953.4299999997</v>
      </c>
      <c r="R31" s="101">
        <f>'42-8_Project 24'!Q41</f>
        <v>129496.12016676637</v>
      </c>
    </row>
    <row r="32" spans="1:18" x14ac:dyDescent="0.2">
      <c r="A32" s="179"/>
      <c r="B32" s="90">
        <v>25</v>
      </c>
      <c r="C32" s="89" t="s">
        <v>243</v>
      </c>
      <c r="D32" s="101">
        <f>'42-8_Project 25'!E39</f>
        <v>74505.251769195995</v>
      </c>
      <c r="E32" s="101">
        <f>'42-8_Project 25'!F39</f>
        <v>73065.352700413496</v>
      </c>
      <c r="F32" s="101">
        <f>'42-8_Project 25'!G39</f>
        <v>76731.341424671002</v>
      </c>
      <c r="G32" s="101">
        <f>'42-8_Project 25'!H39</f>
        <v>80713.003484348534</v>
      </c>
      <c r="H32" s="101">
        <f>'42-8_Project 25'!I39</f>
        <v>87549.231009229756</v>
      </c>
      <c r="I32" s="101">
        <f>'42-8_Project 25'!J39</f>
        <v>98284.411139854259</v>
      </c>
      <c r="J32" s="101">
        <f>'42-8_Project 25'!K39</f>
        <v>104348.8545147008</v>
      </c>
      <c r="K32" s="101">
        <f>'42-8_Project 25'!L39</f>
        <v>104079.61977793161</v>
      </c>
      <c r="L32" s="101">
        <f>'42-8_Project 25'!M39</f>
        <v>103810.38504116243</v>
      </c>
      <c r="M32" s="101">
        <f>'42-8_Project 25'!N39</f>
        <v>103541.15030439325</v>
      </c>
      <c r="N32" s="101">
        <f>'42-8_Project 25'!O39</f>
        <v>103271.91556762403</v>
      </c>
      <c r="O32" s="101">
        <f>'42-8_Project 25'!P39</f>
        <v>103002.68083085485</v>
      </c>
      <c r="P32" s="101">
        <f t="shared" si="0"/>
        <v>1112903.19756438</v>
      </c>
      <c r="Q32" s="101">
        <f>'42-8_Project 25'!Q41</f>
        <v>1027295.26</v>
      </c>
      <c r="R32" s="101">
        <f>'42-8_Project 25'!Q40</f>
        <v>85607.938274183092</v>
      </c>
    </row>
    <row r="33" spans="1:20" x14ac:dyDescent="0.2">
      <c r="A33" s="179"/>
      <c r="B33" s="90">
        <v>26</v>
      </c>
      <c r="C33" s="89" t="s">
        <v>150</v>
      </c>
      <c r="D33" s="101">
        <f>'42-8_Project 26'!E40</f>
        <v>10360837.9331927</v>
      </c>
      <c r="E33" s="101">
        <f>'42-8_Project 26'!F40</f>
        <v>10337018.866621321</v>
      </c>
      <c r="F33" s="101">
        <f>'42-8_Project 26'!G40</f>
        <v>10321735.218075866</v>
      </c>
      <c r="G33" s="101">
        <f>'42-8_Project 26'!H40</f>
        <v>10301811.789615264</v>
      </c>
      <c r="H33" s="101">
        <f>'42-8_Project 26'!I40</f>
        <v>10282437.553814763</v>
      </c>
      <c r="I33" s="101">
        <f>'42-8_Project 26'!J40</f>
        <v>10097002.619303796</v>
      </c>
      <c r="J33" s="101">
        <f>'42-8_Project 26'!K40</f>
        <v>10148595.992988454</v>
      </c>
      <c r="K33" s="101">
        <f>'42-8_Project 26'!L40</f>
        <v>10131335.57433152</v>
      </c>
      <c r="L33" s="101">
        <f>'42-8_Project 26'!M40</f>
        <v>10116207.560482021</v>
      </c>
      <c r="M33" s="101">
        <f>'42-8_Project 26'!N40</f>
        <v>9311962.1508711241</v>
      </c>
      <c r="N33" s="101">
        <f>'42-8_Project 26'!O40</f>
        <v>8509243.7706021536</v>
      </c>
      <c r="O33" s="101">
        <f>'42-8_Project 26'!P40</f>
        <v>8505761.5569332186</v>
      </c>
      <c r="P33" s="101">
        <f t="shared" si="0"/>
        <v>118423950.58683221</v>
      </c>
      <c r="Q33" s="101">
        <f>'42-8_Project 26'!Q42</f>
        <v>109314415.94</v>
      </c>
      <c r="R33" s="101">
        <f>'42-8_Project 26'!Q41</f>
        <v>9109534.6605255548</v>
      </c>
    </row>
    <row r="34" spans="1:20" x14ac:dyDescent="0.2">
      <c r="A34" s="179"/>
      <c r="B34" s="90">
        <v>27</v>
      </c>
      <c r="C34" s="89" t="s">
        <v>136</v>
      </c>
      <c r="D34" s="101">
        <f>'42-8_Project 27'!E39</f>
        <v>21333.698364794596</v>
      </c>
      <c r="E34" s="101">
        <f>'42-8_Project 27'!F39</f>
        <v>33143.406895126223</v>
      </c>
      <c r="F34" s="101">
        <f>'42-8_Project 27'!G39</f>
        <v>33485.882438251152</v>
      </c>
      <c r="G34" s="101">
        <f>'42-8_Project 27'!H39</f>
        <v>33531.221174124294</v>
      </c>
      <c r="H34" s="101">
        <f>'42-8_Project 27'!I39</f>
        <v>33646.788905831192</v>
      </c>
      <c r="I34" s="101">
        <f>'42-8_Project 27'!J39</f>
        <v>34084.043308022687</v>
      </c>
      <c r="J34" s="101">
        <f>'42-8_Project 27'!K39</f>
        <v>34672.933379225709</v>
      </c>
      <c r="K34" s="101">
        <f>'42-8_Project 27'!L39</f>
        <v>34771.489572431885</v>
      </c>
      <c r="L34" s="101">
        <f>'42-8_Project 27'!M39</f>
        <v>34827.250306638052</v>
      </c>
      <c r="M34" s="101">
        <f>'42-8_Project 27'!N39</f>
        <v>34846.085690844222</v>
      </c>
      <c r="N34" s="101">
        <f>'42-8_Project 27'!O39</f>
        <v>47563.154875050386</v>
      </c>
      <c r="O34" s="101">
        <f>'42-8_Project 27'!P39</f>
        <v>65629.225502416157</v>
      </c>
      <c r="P34" s="101">
        <f t="shared" si="0"/>
        <v>441535.18041275663</v>
      </c>
      <c r="Q34" s="101">
        <f>'42-8_Project 27'!Q41</f>
        <v>407570.93576562149</v>
      </c>
      <c r="R34" s="101">
        <f>'42-8_Project 27'!Q40</f>
        <v>33964.244647135114</v>
      </c>
    </row>
    <row r="35" spans="1:20" x14ac:dyDescent="0.2">
      <c r="A35" s="179"/>
      <c r="B35" s="90">
        <v>28</v>
      </c>
      <c r="C35" s="89" t="s">
        <v>153</v>
      </c>
      <c r="D35" s="101">
        <f>'42-8_Project_28'!E40</f>
        <v>510152.54593429057</v>
      </c>
      <c r="E35" s="101">
        <f>'42-8_Project_28'!F40</f>
        <v>521794.57271211914</v>
      </c>
      <c r="F35" s="101">
        <f>'42-8_Project_28'!G40</f>
        <v>649035.50358942582</v>
      </c>
      <c r="G35" s="101">
        <f>'42-8_Project_28'!H40</f>
        <v>567508.39062824054</v>
      </c>
      <c r="H35" s="101">
        <f>'42-8_Project_28'!I40</f>
        <v>563686.4443000973</v>
      </c>
      <c r="I35" s="101">
        <f>'42-8_Project_28'!J40</f>
        <v>639561.14383649698</v>
      </c>
      <c r="J35" s="101">
        <f>'42-8_Project_28'!K40</f>
        <v>766043.21899172594</v>
      </c>
      <c r="K35" s="101">
        <f>'42-8_Project_28'!L40</f>
        <v>831458.87598161527</v>
      </c>
      <c r="L35" s="101">
        <f>'42-8_Project_28'!M40</f>
        <v>884207.70162517251</v>
      </c>
      <c r="M35" s="101">
        <f>'42-8_Project_28'!N40</f>
        <v>971229.03967988153</v>
      </c>
      <c r="N35" s="101">
        <f>'42-8_Project_28'!O40</f>
        <v>1090467.3403322089</v>
      </c>
      <c r="O35" s="101">
        <f>'42-8_Project_28'!P40</f>
        <v>1165515.0769938075</v>
      </c>
      <c r="P35" s="101">
        <f>SUM(D35:O35)</f>
        <v>9160659.8546050806</v>
      </c>
      <c r="Q35" s="101">
        <f>'42-8_Project_28'!Q42</f>
        <v>8455993.7119431533</v>
      </c>
      <c r="R35" s="101">
        <f>'42-8_Project_28'!Q41</f>
        <v>704666.14266192936</v>
      </c>
    </row>
    <row r="36" spans="1:20" x14ac:dyDescent="0.2">
      <c r="A36" s="179"/>
      <c r="B36" s="90">
        <v>29</v>
      </c>
      <c r="C36" s="89" t="s">
        <v>244</v>
      </c>
      <c r="D36" s="101">
        <f>'42-8_Project 29'!E39</f>
        <v>55492.942908034318</v>
      </c>
      <c r="E36" s="101">
        <f>'42-8_Project 29'!F39</f>
        <v>55585.280638109143</v>
      </c>
      <c r="F36" s="101">
        <f>'42-8_Project 29'!G39</f>
        <v>55535.863296491363</v>
      </c>
      <c r="G36" s="101">
        <f>'42-8_Project 29'!H39</f>
        <v>55534.214583683584</v>
      </c>
      <c r="H36" s="101">
        <f>'42-8_Project 29'!I39</f>
        <v>56251.166061702512</v>
      </c>
      <c r="I36" s="101">
        <f>'42-8_Project 29'!J39</f>
        <v>55551.068627739449</v>
      </c>
      <c r="J36" s="101">
        <f>'42-8_Project 29'!K39</f>
        <v>56011.093909970114</v>
      </c>
      <c r="K36" s="101">
        <f>'42-8_Project 29'!L39</f>
        <v>55987.207329525372</v>
      </c>
      <c r="L36" s="101">
        <f>'42-8_Project 29'!M39</f>
        <v>55963.320749080631</v>
      </c>
      <c r="M36" s="101">
        <f>'42-8_Project 29'!N39</f>
        <v>55939.434168635889</v>
      </c>
      <c r="N36" s="101">
        <f>'42-8_Project 29'!O39</f>
        <v>55915.547588191148</v>
      </c>
      <c r="O36" s="101">
        <f>'42-8_Project 29'!P39</f>
        <v>55891.661007746407</v>
      </c>
      <c r="P36" s="101">
        <f>SUM(D36:O36)</f>
        <v>669658.80086890992</v>
      </c>
      <c r="Q36" s="101">
        <f>'42-8_Project 29'!Q41</f>
        <v>618146.57000000007</v>
      </c>
      <c r="R36" s="101">
        <f>'42-8_Project 29'!Q40</f>
        <v>51512.215451454613</v>
      </c>
    </row>
    <row r="37" spans="1:20" x14ac:dyDescent="0.2">
      <c r="A37" s="179"/>
      <c r="B37" s="90">
        <f>B36+1</f>
        <v>30</v>
      </c>
      <c r="C37" s="154" t="s">
        <v>245</v>
      </c>
      <c r="D37" s="101">
        <f>'42-8_Project 30'!E38</f>
        <v>2108.7313430099998</v>
      </c>
      <c r="E37" s="101">
        <f>'42-8_Project 30'!F38</f>
        <v>3388.1877152099996</v>
      </c>
      <c r="F37" s="101">
        <f>'42-8_Project 30'!G38</f>
        <v>5162.9171079599982</v>
      </c>
      <c r="G37" s="101">
        <f>'42-8_Project 30'!H38</f>
        <v>6290.9506225499981</v>
      </c>
      <c r="H37" s="101">
        <f>'42-8_Project 30'!I38</f>
        <v>6859.1933533199999</v>
      </c>
      <c r="I37" s="101">
        <f>'42-8_Project 30'!J38</f>
        <v>6963.9901294349993</v>
      </c>
      <c r="J37" s="101">
        <f>'42-8_Project 30'!K38</f>
        <v>7188.4642432049986</v>
      </c>
      <c r="K37" s="101">
        <f>'42-8_Project 30'!L38</f>
        <v>7325.9790629549989</v>
      </c>
      <c r="L37" s="101">
        <f>'42-8_Project 30'!M38</f>
        <v>9386.7142552092009</v>
      </c>
      <c r="M37" s="101">
        <f>'42-8_Project 30'!N38</f>
        <v>14006.793149869272</v>
      </c>
      <c r="N37" s="101">
        <f>'42-8_Project 30'!O38</f>
        <v>20683.746159234375</v>
      </c>
      <c r="O37" s="101">
        <f>'42-8_Project 30'!P38</f>
        <v>25288.0034838186</v>
      </c>
      <c r="P37" s="101">
        <f>SUM(D37:O37)</f>
        <v>114653.67062577643</v>
      </c>
      <c r="Q37" s="101">
        <f>'42-8_Project 30'!Q40</f>
        <v>105834.16</v>
      </c>
      <c r="R37" s="101">
        <f>'42-8_Project 30'!Q39</f>
        <v>8819.513125059726</v>
      </c>
    </row>
    <row r="38" spans="1:20" x14ac:dyDescent="0.2">
      <c r="A38" s="179"/>
      <c r="B38" s="90">
        <f>B37+1</f>
        <v>31</v>
      </c>
      <c r="C38" s="89" t="s">
        <v>155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f t="shared" si="0"/>
        <v>0</v>
      </c>
      <c r="Q38" s="101">
        <v>0</v>
      </c>
      <c r="R38" s="101">
        <v>0</v>
      </c>
    </row>
    <row r="39" spans="1:20" x14ac:dyDescent="0.2">
      <c r="A39" s="179"/>
      <c r="B39" s="90">
        <f>B38+1</f>
        <v>32</v>
      </c>
      <c r="C39" s="89" t="s">
        <v>156</v>
      </c>
      <c r="D39" s="101">
        <f>'42-8_Ann_NOx'!E30</f>
        <v>30.58</v>
      </c>
      <c r="E39" s="101">
        <f>'42-8_Ann_NOx'!F30</f>
        <v>28.73</v>
      </c>
      <c r="F39" s="101">
        <f>'42-8_Ann_NOx'!G30</f>
        <v>29.55</v>
      </c>
      <c r="G39" s="101">
        <f>'42-8_Ann_NOx'!H30</f>
        <v>29.05</v>
      </c>
      <c r="H39" s="101">
        <f>'42-8_Ann_NOx'!I30</f>
        <v>28.54</v>
      </c>
      <c r="I39" s="101">
        <f>'42-8_Ann_NOx'!J30</f>
        <v>28.27</v>
      </c>
      <c r="J39" s="101">
        <f>'42-8_Ann_NOx'!K30</f>
        <v>28.12</v>
      </c>
      <c r="K39" s="101">
        <f>'42-8_Ann_NOx'!L30</f>
        <v>27.59</v>
      </c>
      <c r="L39" s="101">
        <f>'42-8_Ann_NOx'!M30</f>
        <v>27.05</v>
      </c>
      <c r="M39" s="101">
        <f>'42-8_Ann_NOx'!N30</f>
        <v>26.62</v>
      </c>
      <c r="N39" s="101">
        <f>'42-8_Ann_NOx'!O30</f>
        <v>26.28</v>
      </c>
      <c r="O39" s="101">
        <f>'42-8_Ann_NOx'!P30</f>
        <v>25.91</v>
      </c>
      <c r="P39" s="101">
        <f t="shared" si="0"/>
        <v>336.29</v>
      </c>
      <c r="Q39" s="101">
        <f>P39*(12/13)</f>
        <v>310.42153846153849</v>
      </c>
      <c r="R39" s="101">
        <f>P39-Q39</f>
        <v>25.868461538461531</v>
      </c>
    </row>
    <row r="40" spans="1:20" x14ac:dyDescent="0.2">
      <c r="A40" s="179"/>
      <c r="B40" s="90">
        <f>B39+1</f>
        <v>33</v>
      </c>
      <c r="C40" s="89" t="s">
        <v>157</v>
      </c>
      <c r="D40" s="101">
        <f>'42-8_Seas_NOx'!E30</f>
        <v>16.89</v>
      </c>
      <c r="E40" s="101">
        <f>'42-8_Seas_NOx'!F30</f>
        <v>16.96</v>
      </c>
      <c r="F40" s="101">
        <f>'42-8_Seas_NOx'!G30</f>
        <v>16.96</v>
      </c>
      <c r="G40" s="101">
        <f>'42-8_Seas_NOx'!H30</f>
        <v>17.05</v>
      </c>
      <c r="H40" s="101">
        <f>'42-8_Seas_NOx'!I30</f>
        <v>17.14</v>
      </c>
      <c r="I40" s="101">
        <f>'42-8_Seas_NOx'!J30</f>
        <v>16.059999999999999</v>
      </c>
      <c r="J40" s="101">
        <f>'42-8_Seas_NOx'!K30</f>
        <v>13.95</v>
      </c>
      <c r="K40" s="101">
        <f>'42-8_Seas_NOx'!L30</f>
        <v>11.49</v>
      </c>
      <c r="L40" s="101">
        <f>'42-8_Seas_NOx'!M30</f>
        <v>9.1300000000000008</v>
      </c>
      <c r="M40" s="101">
        <f>'42-8_Seas_NOx'!N30</f>
        <v>8.01</v>
      </c>
      <c r="N40" s="101">
        <f>'42-8_Seas_NOx'!O30</f>
        <v>256.12</v>
      </c>
      <c r="O40" s="101">
        <f>'42-8_Seas_NOx'!P30</f>
        <v>504.24</v>
      </c>
      <c r="P40" s="101">
        <f t="shared" si="0"/>
        <v>904</v>
      </c>
      <c r="Q40" s="101">
        <f>P40*(12/13)</f>
        <v>834.46153846153845</v>
      </c>
      <c r="R40" s="101">
        <f>P40-Q40</f>
        <v>69.538461538461547</v>
      </c>
    </row>
    <row r="41" spans="1:20" x14ac:dyDescent="0.2">
      <c r="A41" s="179"/>
      <c r="B41" s="90">
        <f>B40+1</f>
        <v>34</v>
      </c>
      <c r="C41" s="89" t="s">
        <v>158</v>
      </c>
      <c r="D41" s="101">
        <f>'42-8_SO2'!E30</f>
        <v>36329.15</v>
      </c>
      <c r="E41" s="101">
        <f>'42-8_SO2'!F30</f>
        <v>36312.75</v>
      </c>
      <c r="F41" s="101">
        <f>'42-8_SO2'!G30</f>
        <v>36308.730000000003</v>
      </c>
      <c r="G41" s="101">
        <f>'42-8_SO2'!H30</f>
        <v>36254.33</v>
      </c>
      <c r="H41" s="101">
        <f>'42-8_SO2'!I30</f>
        <v>36199.94</v>
      </c>
      <c r="I41" s="101">
        <f>'42-8_SO2'!J30</f>
        <v>36195.65</v>
      </c>
      <c r="J41" s="101">
        <f>'42-8_SO2'!K30</f>
        <v>36639.82</v>
      </c>
      <c r="K41" s="101">
        <f>'42-8_SO2'!L30</f>
        <v>36632.879999999997</v>
      </c>
      <c r="L41" s="101">
        <f>'42-8_SO2'!M30</f>
        <v>36626.11</v>
      </c>
      <c r="M41" s="101">
        <f>'42-8_SO2'!N30</f>
        <v>36621.01</v>
      </c>
      <c r="N41" s="101">
        <f>'42-8_SO2'!O30</f>
        <v>36618.85</v>
      </c>
      <c r="O41" s="101">
        <f>'42-8_SO2'!P30</f>
        <v>36618.06</v>
      </c>
      <c r="P41" s="101">
        <f t="shared" si="0"/>
        <v>437357.27999999997</v>
      </c>
      <c r="Q41" s="101">
        <f>P41*(12/13)</f>
        <v>403714.41230769228</v>
      </c>
      <c r="R41" s="101">
        <f>P41-Q41</f>
        <v>33642.867692307686</v>
      </c>
    </row>
    <row r="42" spans="1:20" x14ac:dyDescent="0.2">
      <c r="A42" s="179"/>
      <c r="B42" s="90">
        <v>35</v>
      </c>
      <c r="C42" s="89" t="s">
        <v>246</v>
      </c>
      <c r="D42" s="101">
        <v>-9777.2105940550464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f t="shared" si="0"/>
        <v>-9777.2105940550464</v>
      </c>
      <c r="Q42" s="101">
        <v>0</v>
      </c>
      <c r="R42" s="101">
        <f>P42</f>
        <v>-9777.2105940550464</v>
      </c>
    </row>
    <row r="43" spans="1:20" x14ac:dyDescent="0.2">
      <c r="A43" s="179"/>
      <c r="B43" s="90">
        <v>35</v>
      </c>
      <c r="C43" s="89" t="s">
        <v>247</v>
      </c>
      <c r="D43" s="101">
        <v>-117326.52712866056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f t="shared" si="0"/>
        <v>-117326.52712866056</v>
      </c>
      <c r="Q43" s="101">
        <f>P43</f>
        <v>-117326.52712866056</v>
      </c>
      <c r="R43" s="101">
        <v>0</v>
      </c>
    </row>
    <row r="44" spans="1:20" ht="10.5" thickBot="1" x14ac:dyDescent="0.25">
      <c r="A44" s="179"/>
      <c r="B44" s="90">
        <v>36</v>
      </c>
      <c r="C44" s="89" t="s">
        <v>248</v>
      </c>
      <c r="D44" s="101">
        <f>'42-8_Smith Reg Asset'!E38</f>
        <v>224898.85593844493</v>
      </c>
      <c r="E44" s="101">
        <f>'42-8_Smith Reg Asset'!F38</f>
        <v>224215.12824657926</v>
      </c>
      <c r="F44" s="101">
        <f>'42-8_Smith Reg Asset'!G38</f>
        <v>223531.40055471362</v>
      </c>
      <c r="G44" s="101">
        <f>'42-8_Smith Reg Asset'!H38</f>
        <v>222847.67286284798</v>
      </c>
      <c r="H44" s="101">
        <f>'42-8_Smith Reg Asset'!I38</f>
        <v>222163.94517098233</v>
      </c>
      <c r="I44" s="101">
        <f>'42-8_Smith Reg Asset'!J38</f>
        <v>221480.21747911666</v>
      </c>
      <c r="J44" s="101">
        <f>'42-8_Smith Reg Asset'!K38</f>
        <v>222072.876286849</v>
      </c>
      <c r="K44" s="101">
        <f>'42-8_Smith Reg Asset'!L38</f>
        <v>221380.61089227535</v>
      </c>
      <c r="L44" s="101">
        <f>'42-8_Smith Reg Asset'!M38</f>
        <v>220688.34549770167</v>
      </c>
      <c r="M44" s="101">
        <f>'42-8_Smith Reg Asset'!N38</f>
        <v>219996.08010312804</v>
      </c>
      <c r="N44" s="101">
        <f>'42-8_Smith Reg Asset'!O38</f>
        <v>219303.81470855436</v>
      </c>
      <c r="O44" s="101">
        <f>'42-8_Smith Reg Asset'!P38</f>
        <v>218611.54931398071</v>
      </c>
      <c r="P44" s="101">
        <f t="shared" si="0"/>
        <v>2661190.4970551739</v>
      </c>
      <c r="Q44" s="101">
        <f>'42-8_Smith Reg Asset'!Q40</f>
        <v>2456483.5299999998</v>
      </c>
      <c r="R44" s="180">
        <f>'42-8_Smith Reg Asset'!Q39</f>
        <v>204706.96131193647</v>
      </c>
    </row>
    <row r="45" spans="1:20" ht="15" customHeight="1" x14ac:dyDescent="0.2">
      <c r="A45" s="139">
        <f>A7+1</f>
        <v>2</v>
      </c>
      <c r="B45" s="87" t="s">
        <v>249</v>
      </c>
      <c r="D45" s="105">
        <f>SUM(D8:D44)</f>
        <v>13149638.683552116</v>
      </c>
      <c r="E45" s="105">
        <f t="shared" ref="E45:R45" si="1">SUM(E8:E44)</f>
        <v>13268924.286458556</v>
      </c>
      <c r="F45" s="105">
        <f t="shared" si="1"/>
        <v>13377216.174458219</v>
      </c>
      <c r="G45" s="105">
        <f t="shared" si="1"/>
        <v>13272527.330380231</v>
      </c>
      <c r="H45" s="105">
        <f t="shared" si="1"/>
        <v>13260833.431013603</v>
      </c>
      <c r="I45" s="105">
        <f t="shared" si="1"/>
        <v>13160541.153166367</v>
      </c>
      <c r="J45" s="105">
        <f t="shared" si="1"/>
        <v>13357001.130043661</v>
      </c>
      <c r="K45" s="105">
        <f t="shared" si="1"/>
        <v>13401343.718488045</v>
      </c>
      <c r="L45" s="105">
        <f t="shared" si="1"/>
        <v>13435590.389586478</v>
      </c>
      <c r="M45" s="105">
        <f t="shared" si="1"/>
        <v>12510514.89370968</v>
      </c>
      <c r="N45" s="105">
        <f t="shared" si="1"/>
        <v>11635380.319330025</v>
      </c>
      <c r="O45" s="105">
        <f t="shared" si="1"/>
        <v>11726604.522028899</v>
      </c>
      <c r="P45" s="105">
        <f t="shared" si="1"/>
        <v>155556116.03221586</v>
      </c>
      <c r="Q45" s="105">
        <f t="shared" si="1"/>
        <v>143590260.95421961</v>
      </c>
      <c r="R45" s="101">
        <f t="shared" si="1"/>
        <v>11965855.079401223</v>
      </c>
      <c r="S45" s="154"/>
    </row>
    <row r="46" spans="1:20" x14ac:dyDescent="0.2">
      <c r="A46" s="88"/>
      <c r="B46" s="88"/>
    </row>
    <row r="47" spans="1:20" x14ac:dyDescent="0.2">
      <c r="A47" s="88">
        <f>A45+1</f>
        <v>3</v>
      </c>
      <c r="B47" s="89" t="s">
        <v>160</v>
      </c>
      <c r="D47" s="101">
        <f>SUM(D8:D41)*(1/13)+SUM(D44:D44)*(1/13)+D42</f>
        <v>1011510.6679655474</v>
      </c>
      <c r="E47" s="101">
        <f t="shared" ref="E47:O47" si="2">SUM(E8:E41)*(1/13)+SUM(E44:E44)*(1/13)+E42</f>
        <v>1020686.4835737351</v>
      </c>
      <c r="F47" s="101">
        <f>SUM(F8:F41)*(1/13)+SUM(F44:F44)*(1/13)+F42</f>
        <v>1029016.6288044784</v>
      </c>
      <c r="G47" s="101">
        <f>SUM(G8:G41)*(1/13)+SUM(G44:G44)*(1/13)+G42</f>
        <v>1020963.6407984793</v>
      </c>
      <c r="H47" s="101">
        <f t="shared" si="2"/>
        <v>1020064.1100779696</v>
      </c>
      <c r="I47" s="101">
        <f t="shared" si="2"/>
        <v>1012349.3194743359</v>
      </c>
      <c r="J47" s="101">
        <f t="shared" si="2"/>
        <v>1027461.625387974</v>
      </c>
      <c r="K47" s="101">
        <f t="shared" si="2"/>
        <v>1030872.5937298497</v>
      </c>
      <c r="L47" s="101">
        <f t="shared" si="2"/>
        <v>1033506.9530451138</v>
      </c>
      <c r="M47" s="101">
        <f t="shared" si="2"/>
        <v>962347.29951612931</v>
      </c>
      <c r="N47" s="101">
        <f t="shared" si="2"/>
        <v>895029.25533307891</v>
      </c>
      <c r="O47" s="101">
        <f t="shared" si="2"/>
        <v>902046.50169453071</v>
      </c>
      <c r="P47" s="101">
        <f>SUM(D47:O47)</f>
        <v>11965855.079401223</v>
      </c>
      <c r="Q47" s="178"/>
      <c r="T47" s="142"/>
    </row>
    <row r="48" spans="1:20" x14ac:dyDescent="0.2">
      <c r="A48" s="88">
        <f>A47+1</f>
        <v>4</v>
      </c>
      <c r="B48" s="89" t="s">
        <v>161</v>
      </c>
      <c r="D48" s="101">
        <f>D45-D47</f>
        <v>12138128.015586568</v>
      </c>
      <c r="E48" s="101">
        <f t="shared" ref="E48:O48" si="3">E45-E47</f>
        <v>12248237.802884821</v>
      </c>
      <c r="F48" s="101">
        <f>F45-F47+0.13</f>
        <v>12348199.675653741</v>
      </c>
      <c r="G48" s="101">
        <f>G45-G47</f>
        <v>12251563.689581752</v>
      </c>
      <c r="H48" s="101">
        <f>H45-H47</f>
        <v>12240769.320935633</v>
      </c>
      <c r="I48" s="101">
        <f t="shared" si="3"/>
        <v>12148191.833692031</v>
      </c>
      <c r="J48" s="101">
        <f t="shared" si="3"/>
        <v>12329539.504655687</v>
      </c>
      <c r="K48" s="101">
        <f t="shared" si="3"/>
        <v>12370471.124758195</v>
      </c>
      <c r="L48" s="101">
        <f t="shared" si="3"/>
        <v>12402083.436541365</v>
      </c>
      <c r="M48" s="101">
        <f t="shared" si="3"/>
        <v>11548167.594193552</v>
      </c>
      <c r="N48" s="101">
        <f t="shared" si="3"/>
        <v>10740351.063996946</v>
      </c>
      <c r="O48" s="101">
        <f t="shared" si="3"/>
        <v>10824558.020334369</v>
      </c>
      <c r="P48" s="101">
        <f>SUM(D48:O48)</f>
        <v>143590261.08281466</v>
      </c>
    </row>
    <row r="49" spans="1:21" x14ac:dyDescent="0.2">
      <c r="A49" s="88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21" x14ac:dyDescent="0.2">
      <c r="A50" s="88">
        <f>A48+1</f>
        <v>5</v>
      </c>
      <c r="B50" s="89" t="s">
        <v>162</v>
      </c>
      <c r="D50" s="148">
        <v>1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50"/>
    </row>
    <row r="51" spans="1:21" x14ac:dyDescent="0.2">
      <c r="A51" s="88">
        <f>A50+1</f>
        <v>6</v>
      </c>
      <c r="B51" s="89" t="s">
        <v>163</v>
      </c>
      <c r="D51" s="148">
        <v>0.9723427</v>
      </c>
      <c r="E51" s="148">
        <v>0.9723427</v>
      </c>
      <c r="F51" s="148">
        <v>0.9723427</v>
      </c>
      <c r="G51" s="148">
        <v>0.9723427</v>
      </c>
      <c r="H51" s="148">
        <v>0.9723427</v>
      </c>
      <c r="I51" s="148">
        <v>0.9723427</v>
      </c>
      <c r="J51" s="148">
        <v>0.9723427</v>
      </c>
      <c r="K51" s="148">
        <v>0.9723427</v>
      </c>
      <c r="L51" s="148">
        <v>0.9723427</v>
      </c>
      <c r="M51" s="148">
        <v>0.9723427</v>
      </c>
      <c r="N51" s="148">
        <v>0.9723427</v>
      </c>
      <c r="O51" s="148">
        <v>0.9723427</v>
      </c>
      <c r="P51" s="150"/>
    </row>
    <row r="52" spans="1:21" x14ac:dyDescent="0.2">
      <c r="A52" s="88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</row>
    <row r="53" spans="1:21" x14ac:dyDescent="0.2">
      <c r="A53" s="88">
        <f>A51+1</f>
        <v>7</v>
      </c>
      <c r="B53" s="89" t="s">
        <v>250</v>
      </c>
      <c r="D53" s="101">
        <v>1012724.48</v>
      </c>
      <c r="E53" s="101">
        <v>1021911.31</v>
      </c>
      <c r="F53" s="101">
        <v>1030251.45</v>
      </c>
      <c r="G53" s="101">
        <v>1022188.8</v>
      </c>
      <c r="H53" s="101">
        <v>1021288.19</v>
      </c>
      <c r="I53" s="101">
        <v>1013564.14</v>
      </c>
      <c r="J53" s="101">
        <v>1028694.58</v>
      </c>
      <c r="K53" s="101">
        <v>1032109.64</v>
      </c>
      <c r="L53" s="101">
        <v>1034747.16</v>
      </c>
      <c r="M53" s="101">
        <v>963502.12</v>
      </c>
      <c r="N53" s="101">
        <v>896103.29</v>
      </c>
      <c r="O53" s="101">
        <v>903128.96</v>
      </c>
      <c r="P53" s="101">
        <f>SUM(D53:O53)</f>
        <v>11980214.120000001</v>
      </c>
    </row>
    <row r="54" spans="1:21" x14ac:dyDescent="0.2">
      <c r="A54" s="88">
        <f>A53+1</f>
        <v>8</v>
      </c>
      <c r="B54" s="89" t="s">
        <v>251</v>
      </c>
      <c r="D54" s="101">
        <f>ROUND(D48*D51,2)</f>
        <v>11802420.17</v>
      </c>
      <c r="E54" s="101">
        <f>ROUND(E48*E51,2)</f>
        <v>11909484.619999999</v>
      </c>
      <c r="F54" s="101">
        <f>ROUND(F48*F51,2)</f>
        <v>12006681.810000001</v>
      </c>
      <c r="G54" s="101">
        <f>ROUND(G48*G51,2)</f>
        <v>11912718.52</v>
      </c>
      <c r="H54" s="101">
        <f>ROUND(H48*H51,2)</f>
        <v>11902222.689999999</v>
      </c>
      <c r="I54" s="101">
        <f t="shared" ref="I54:O54" si="4">ROUND(I48*I51,2)</f>
        <v>11812205.65</v>
      </c>
      <c r="J54" s="101">
        <f t="shared" si="4"/>
        <v>11988537.73</v>
      </c>
      <c r="K54" s="101">
        <f>ROUND(K48*K51,2)</f>
        <v>12028337.289999999</v>
      </c>
      <c r="L54" s="101">
        <f>ROUND(L48*L51,2)</f>
        <v>12059075.289999999</v>
      </c>
      <c r="M54" s="101">
        <f t="shared" si="4"/>
        <v>11228776.460000001</v>
      </c>
      <c r="N54" s="101">
        <f t="shared" si="4"/>
        <v>10443301.949999999</v>
      </c>
      <c r="O54" s="101">
        <f t="shared" si="4"/>
        <v>10525179.970000001</v>
      </c>
      <c r="P54" s="101">
        <f>SUM(D54:O54)</f>
        <v>139618942.15000004</v>
      </c>
    </row>
    <row r="55" spans="1:21" x14ac:dyDescent="0.2">
      <c r="A55" s="88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U55" s="181"/>
    </row>
    <row r="56" spans="1:21" ht="10.5" thickBot="1" x14ac:dyDescent="0.25">
      <c r="A56" s="88">
        <f>A54+1</f>
        <v>9</v>
      </c>
      <c r="B56" s="89" t="s">
        <v>166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</row>
    <row r="57" spans="1:21" ht="16.5" customHeight="1" thickBot="1" x14ac:dyDescent="0.25">
      <c r="A57" s="88"/>
      <c r="C57" s="89" t="s">
        <v>252</v>
      </c>
      <c r="D57" s="151">
        <f>D53+D54</f>
        <v>12815144.65</v>
      </c>
      <c r="E57" s="151">
        <f t="shared" ref="E57:P57" si="5">E53+E54</f>
        <v>12931395.93</v>
      </c>
      <c r="F57" s="151">
        <f>F53+F54</f>
        <v>13036933.26</v>
      </c>
      <c r="G57" s="151">
        <f>G53+G54</f>
        <v>12934907.32</v>
      </c>
      <c r="H57" s="151">
        <f t="shared" si="5"/>
        <v>12923510.879999999</v>
      </c>
      <c r="I57" s="151">
        <f>I53+I54</f>
        <v>12825769.790000001</v>
      </c>
      <c r="J57" s="151">
        <f t="shared" si="5"/>
        <v>13017232.310000001</v>
      </c>
      <c r="K57" s="151">
        <f>K53+K54</f>
        <v>13060446.93</v>
      </c>
      <c r="L57" s="151">
        <f>L53+L54</f>
        <v>13093822.449999999</v>
      </c>
      <c r="M57" s="151">
        <f t="shared" si="5"/>
        <v>12192278.58</v>
      </c>
      <c r="N57" s="151">
        <f t="shared" si="5"/>
        <v>11339405.239999998</v>
      </c>
      <c r="O57" s="151">
        <f t="shared" si="5"/>
        <v>11428308.93</v>
      </c>
      <c r="P57" s="151">
        <f t="shared" si="5"/>
        <v>151599156.27000004</v>
      </c>
    </row>
    <row r="58" spans="1:21" ht="10.5" thickTop="1" x14ac:dyDescent="0.2">
      <c r="A58" s="88"/>
      <c r="B58" s="88"/>
    </row>
    <row r="59" spans="1:21" x14ac:dyDescent="0.2">
      <c r="A59" s="88"/>
      <c r="B59" s="88"/>
    </row>
    <row r="60" spans="1:21" x14ac:dyDescent="0.2">
      <c r="A60" s="87" t="s">
        <v>76</v>
      </c>
      <c r="B60" s="88"/>
    </row>
    <row r="61" spans="1:21" x14ac:dyDescent="0.2">
      <c r="A61" s="87" t="s">
        <v>168</v>
      </c>
      <c r="B61" s="90" t="s">
        <v>253</v>
      </c>
    </row>
    <row r="62" spans="1:21" x14ac:dyDescent="0.2">
      <c r="A62" s="87" t="s">
        <v>170</v>
      </c>
      <c r="B62" s="90" t="s">
        <v>254</v>
      </c>
      <c r="N62" s="89" t="s">
        <v>8</v>
      </c>
    </row>
    <row r="63" spans="1:21" x14ac:dyDescent="0.2">
      <c r="A63" s="87" t="s">
        <v>255</v>
      </c>
      <c r="B63" s="87" t="s">
        <v>171</v>
      </c>
    </row>
    <row r="64" spans="1:21" x14ac:dyDescent="0.2">
      <c r="A64" s="87"/>
      <c r="B64" s="87"/>
    </row>
    <row r="65" spans="1:15" x14ac:dyDescent="0.2">
      <c r="A65" s="87"/>
      <c r="B65" s="87"/>
    </row>
    <row r="66" spans="1:15" x14ac:dyDescent="0.2">
      <c r="A66" s="87"/>
      <c r="B66" s="87"/>
      <c r="C66" s="140"/>
      <c r="D66" s="182"/>
      <c r="E66" s="182"/>
      <c r="F66" s="182"/>
      <c r="G66" s="182"/>
      <c r="H66" s="182"/>
      <c r="I66" s="182"/>
    </row>
    <row r="67" spans="1:15" x14ac:dyDescent="0.2">
      <c r="A67" s="87"/>
      <c r="B67" s="87"/>
      <c r="C67" s="144"/>
      <c r="D67" s="183"/>
      <c r="E67" s="183"/>
      <c r="F67" s="183"/>
      <c r="G67" s="183"/>
      <c r="H67" s="183"/>
      <c r="I67" s="182"/>
      <c r="O67" s="89" t="s">
        <v>8</v>
      </c>
    </row>
    <row r="68" spans="1:15" x14ac:dyDescent="0.2">
      <c r="A68" s="87"/>
      <c r="B68" s="87"/>
      <c r="C68" s="90"/>
    </row>
    <row r="69" spans="1:15" x14ac:dyDescent="0.2">
      <c r="A69" s="87"/>
      <c r="B69" s="87"/>
    </row>
    <row r="70" spans="1:15" x14ac:dyDescent="0.2">
      <c r="A70" s="87"/>
      <c r="B70" s="87"/>
      <c r="C70" s="90"/>
    </row>
    <row r="71" spans="1:15" x14ac:dyDescent="0.2">
      <c r="A71" s="87"/>
      <c r="B71" s="87"/>
    </row>
    <row r="72" spans="1:15" x14ac:dyDescent="0.2">
      <c r="B72" s="87"/>
    </row>
    <row r="73" spans="1:15" x14ac:dyDescent="0.2">
      <c r="B73" s="87"/>
    </row>
    <row r="79" spans="1:15" x14ac:dyDescent="0.2">
      <c r="C79" s="140"/>
    </row>
    <row r="80" spans="1:15" x14ac:dyDescent="0.2">
      <c r="C80" s="140"/>
    </row>
  </sheetData>
  <mergeCells count="4">
    <mergeCell ref="A2:R2"/>
    <mergeCell ref="A3:R3"/>
    <mergeCell ref="Q5:R5"/>
    <mergeCell ref="B6:C6"/>
  </mergeCells>
  <pageMargins left="0.5" right="0.5" top="1" bottom="0.75" header="0.55000000000000004" footer="0.3"/>
  <pageSetup scale="68" orientation="landscape" r:id="rId1"/>
  <headerFooter alignWithMargins="0">
    <oddHeader>&amp;C&amp;"Arial,Regular"&amp;8GULF POWER COMPANY
 ENVIRONMENTAL COST RECOVERY CLAUSE
 CALCULATION OF THE ACTUAL / ESTIMATED TRUE-UP AMOUNT FOR THE PERIOD&amp;R&amp;"Arial,Regular"&amp;8REVISED FORM 42-7E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940C-CADE-4CF9-9C8E-1A84B972AD5E}">
  <sheetPr transitionEvaluation="1" transitionEntry="1"/>
  <dimension ref="A1:AF181"/>
  <sheetViews>
    <sheetView showGridLines="0" defaultGridColor="0" view="pageBreakPreview" colorId="8" zoomScale="88" zoomScaleNormal="100" zoomScaleSheetLayoutView="88" workbookViewId="0">
      <selection activeCell="Q28" sqref="Q28"/>
    </sheetView>
  </sheetViews>
  <sheetFormatPr defaultColWidth="11.58203125" defaultRowHeight="12.5" x14ac:dyDescent="0.25"/>
  <cols>
    <col min="1" max="1" width="4.83203125" style="1" customWidth="1"/>
    <col min="2" max="2" width="3.58203125" style="1" customWidth="1"/>
    <col min="3" max="3" width="34" style="1" customWidth="1"/>
    <col min="4" max="4" width="15.25" style="1" customWidth="1"/>
    <col min="5" max="5" width="11.25" style="1" customWidth="1"/>
    <col min="6" max="6" width="10.25" style="1" customWidth="1"/>
    <col min="7" max="7" width="11" style="1" customWidth="1"/>
    <col min="8" max="8" width="10.08203125" style="1" customWidth="1"/>
    <col min="9" max="9" width="10.58203125" style="1" customWidth="1"/>
    <col min="10" max="10" width="12" style="1" customWidth="1"/>
    <col min="11" max="11" width="11.58203125" style="1" customWidth="1"/>
    <col min="12" max="12" width="10.5" style="1" customWidth="1"/>
    <col min="13" max="13" width="10.58203125" style="1" customWidth="1"/>
    <col min="14" max="14" width="11.75" style="1" customWidth="1"/>
    <col min="15" max="15" width="11.33203125" style="1" customWidth="1"/>
    <col min="16" max="16" width="10.83203125" style="1" customWidth="1"/>
    <col min="17" max="17" width="13" style="1" customWidth="1"/>
    <col min="18" max="18" width="3.25" style="1" bestFit="1" customWidth="1"/>
    <col min="19" max="19" width="3.25" style="1" customWidth="1"/>
    <col min="20" max="20" width="11.58203125" style="1"/>
    <col min="21" max="21" width="8.75" style="1" bestFit="1" customWidth="1"/>
    <col min="22" max="32" width="2.7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1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5.7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idden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188" t="s">
        <v>256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9" hidden="1" x14ac:dyDescent="0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hidden="1" x14ac:dyDescent="0.25">
      <c r="A10" s="188">
        <f>'42-8_Project 1'!$H$69</f>
        <v>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ht="13" thickBot="1" x14ac:dyDescent="0.3">
      <c r="A11" s="189"/>
      <c r="B11" s="189"/>
      <c r="C11" s="190"/>
      <c r="D11" s="190"/>
      <c r="E11" s="190"/>
      <c r="F11" s="190"/>
      <c r="G11" s="190"/>
      <c r="H11" s="190"/>
      <c r="I11" s="190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C12" s="192"/>
      <c r="D12" s="193" t="s">
        <v>257</v>
      </c>
      <c r="E12" s="193" t="s">
        <v>400</v>
      </c>
      <c r="F12" s="193" t="s">
        <v>400</v>
      </c>
      <c r="G12" s="193" t="s">
        <v>400</v>
      </c>
      <c r="H12" s="193" t="s">
        <v>400</v>
      </c>
      <c r="I12" s="193" t="s">
        <v>400</v>
      </c>
      <c r="J12" s="193" t="s">
        <v>401</v>
      </c>
      <c r="K12" s="193" t="s">
        <v>401</v>
      </c>
      <c r="L12" s="193" t="s">
        <v>401</v>
      </c>
      <c r="M12" s="193" t="s">
        <v>401</v>
      </c>
      <c r="N12" s="193" t="s">
        <v>401</v>
      </c>
      <c r="O12" s="193" t="s">
        <v>401</v>
      </c>
      <c r="P12" s="193" t="s">
        <v>401</v>
      </c>
      <c r="Q12" s="194" t="s">
        <v>258</v>
      </c>
    </row>
    <row r="13" spans="1:19" ht="13" thickBot="1" x14ac:dyDescent="0.3">
      <c r="A13" s="195" t="s">
        <v>126</v>
      </c>
      <c r="B13" s="196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8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>SUM(E16:P16)</f>
        <v>0</v>
      </c>
    </row>
    <row r="17" spans="1:32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>SUM(E17:P17)</f>
        <v>0</v>
      </c>
    </row>
    <row r="18" spans="1:32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>SUM(E18:P18)</f>
        <v>0</v>
      </c>
    </row>
    <row r="19" spans="1:32" hidden="1" x14ac:dyDescent="0.25">
      <c r="A19" s="13"/>
      <c r="B19" s="23" t="s">
        <v>270</v>
      </c>
      <c r="C19" s="23" t="s">
        <v>271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>SUM(E19:P19)</f>
        <v>0</v>
      </c>
    </row>
    <row r="20" spans="1:32" x14ac:dyDescent="0.25">
      <c r="A20" s="13">
        <v>2</v>
      </c>
      <c r="B20" s="23" t="s">
        <v>272</v>
      </c>
      <c r="C20" s="13"/>
      <c r="D20" s="1">
        <v>83953.9</v>
      </c>
      <c r="E20" s="1">
        <f t="shared" ref="E20:P20" si="0">D20+E16-E17</f>
        <v>83953.9</v>
      </c>
      <c r="F20" s="1">
        <f t="shared" si="0"/>
        <v>83953.9</v>
      </c>
      <c r="G20" s="1">
        <f t="shared" si="0"/>
        <v>83953.9</v>
      </c>
      <c r="H20" s="1">
        <f t="shared" si="0"/>
        <v>83953.9</v>
      </c>
      <c r="I20" s="1">
        <f t="shared" si="0"/>
        <v>83953.9</v>
      </c>
      <c r="J20" s="1">
        <f t="shared" si="0"/>
        <v>83953.9</v>
      </c>
      <c r="K20" s="1">
        <f t="shared" si="0"/>
        <v>83953.9</v>
      </c>
      <c r="L20" s="1">
        <f t="shared" si="0"/>
        <v>83953.9</v>
      </c>
      <c r="M20" s="1">
        <f t="shared" si="0"/>
        <v>83953.9</v>
      </c>
      <c r="N20" s="1">
        <f t="shared" si="0"/>
        <v>83953.9</v>
      </c>
      <c r="O20" s="1">
        <f t="shared" si="0"/>
        <v>83953.9</v>
      </c>
      <c r="P20" s="1">
        <f t="shared" si="0"/>
        <v>83953.9</v>
      </c>
      <c r="T20" s="1">
        <f>SUM(U20:AF20)</f>
        <v>0</v>
      </c>
      <c r="U20" s="1">
        <v>0</v>
      </c>
      <c r="V20" s="1">
        <f>SUM(W20:AH20)</f>
        <v>0</v>
      </c>
      <c r="W20" s="1">
        <v>0</v>
      </c>
      <c r="X20" s="1">
        <f>SUM(Y20:AJ20)</f>
        <v>0</v>
      </c>
      <c r="Y20" s="1">
        <v>0</v>
      </c>
      <c r="Z20" s="1">
        <f>SUM(AA20:AL20)</f>
        <v>0</v>
      </c>
      <c r="AA20" s="1">
        <v>0</v>
      </c>
      <c r="AB20" s="1">
        <f>SUM(AC20:AN20)</f>
        <v>0</v>
      </c>
      <c r="AC20" s="1">
        <v>0</v>
      </c>
      <c r="AD20" s="1">
        <f>SUM(AE20:AP20)</f>
        <v>0</v>
      </c>
      <c r="AE20" s="1">
        <v>0</v>
      </c>
      <c r="AF20" s="1">
        <f>SUM(AG20:AR20)</f>
        <v>0</v>
      </c>
    </row>
    <row r="21" spans="1:32" x14ac:dyDescent="0.25">
      <c r="A21" s="13">
        <v>3</v>
      </c>
      <c r="B21" s="23" t="s">
        <v>273</v>
      </c>
      <c r="C21" s="13"/>
      <c r="D21" s="21">
        <v>-3997.804122256</v>
      </c>
      <c r="E21" s="1">
        <f t="shared" ref="E21:P21" si="1">D21-E32-E33-E34+E17+E18-E19</f>
        <v>-4997.2551528200001</v>
      </c>
      <c r="F21" s="1">
        <f t="shared" si="1"/>
        <v>-5996.7061833839998</v>
      </c>
      <c r="G21" s="1">
        <f t="shared" si="1"/>
        <v>-6996.1572139479995</v>
      </c>
      <c r="H21" s="1">
        <f t="shared" si="1"/>
        <v>-7995.6082445119991</v>
      </c>
      <c r="I21" s="1">
        <f t="shared" si="1"/>
        <v>-8995.0592750759988</v>
      </c>
      <c r="J21" s="1">
        <f t="shared" si="1"/>
        <v>-9994.5103056399985</v>
      </c>
      <c r="K21" s="1">
        <f t="shared" si="1"/>
        <v>-10993.961336203998</v>
      </c>
      <c r="L21" s="1">
        <f t="shared" si="1"/>
        <v>-11993.412366767998</v>
      </c>
      <c r="M21" s="1">
        <f t="shared" si="1"/>
        <v>-12992.863397331997</v>
      </c>
      <c r="N21" s="1">
        <f t="shared" si="1"/>
        <v>-13992.314427895997</v>
      </c>
      <c r="O21" s="1">
        <f t="shared" si="1"/>
        <v>-14991.765458459997</v>
      </c>
      <c r="P21" s="1">
        <f t="shared" si="1"/>
        <v>-15991.216489023996</v>
      </c>
      <c r="T21" s="1">
        <f>SUM(U21:AF21)</f>
        <v>0</v>
      </c>
      <c r="U21" s="1">
        <v>0</v>
      </c>
      <c r="V21" s="1">
        <f>SUM(W21:AH21)</f>
        <v>0</v>
      </c>
      <c r="W21" s="1">
        <v>0</v>
      </c>
      <c r="X21" s="1">
        <f>SUM(Y21:AJ21)</f>
        <v>0</v>
      </c>
      <c r="Y21" s="1">
        <v>0</v>
      </c>
      <c r="Z21" s="1">
        <f>SUM(AA21:AL21)</f>
        <v>0</v>
      </c>
      <c r="AA21" s="1">
        <v>0</v>
      </c>
      <c r="AB21" s="1">
        <f>SUM(AC21:AN21)</f>
        <v>0</v>
      </c>
      <c r="AC21" s="1">
        <v>0</v>
      </c>
      <c r="AD21" s="1">
        <f>SUM(AE21:AP21)</f>
        <v>0</v>
      </c>
      <c r="AE21" s="1">
        <v>0</v>
      </c>
      <c r="AF21" s="1">
        <f>SUM(AG21:AR21)</f>
        <v>0</v>
      </c>
    </row>
    <row r="22" spans="1:32" x14ac:dyDescent="0.25">
      <c r="A22" s="13">
        <v>4</v>
      </c>
      <c r="B22" s="23" t="s">
        <v>274</v>
      </c>
      <c r="C22" s="13"/>
      <c r="D22" s="199">
        <v>0</v>
      </c>
      <c r="E22" s="199">
        <f t="shared" ref="E22:M22" si="2">D22+E15-E16</f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>M22+N15-N16-N17</f>
        <v>0</v>
      </c>
      <c r="O22" s="199">
        <f>N22+O15-O16</f>
        <v>0</v>
      </c>
      <c r="P22" s="199">
        <f>O22+P15-P16</f>
        <v>0</v>
      </c>
      <c r="T22" s="1">
        <f>SUM(U22:AF22)</f>
        <v>0</v>
      </c>
      <c r="U22" s="1">
        <v>0</v>
      </c>
      <c r="V22" s="1">
        <f>SUM(W22:AH22)</f>
        <v>0</v>
      </c>
      <c r="W22" s="1">
        <v>0</v>
      </c>
      <c r="X22" s="1">
        <f>SUM(Y22:AJ22)</f>
        <v>0</v>
      </c>
      <c r="Y22" s="1">
        <v>0</v>
      </c>
      <c r="Z22" s="1">
        <f>SUM(AA22:AL22)</f>
        <v>0</v>
      </c>
      <c r="AA22" s="1">
        <v>0</v>
      </c>
      <c r="AB22" s="1">
        <f>SUM(AC22:AN22)</f>
        <v>0</v>
      </c>
      <c r="AC22" s="1">
        <v>0</v>
      </c>
      <c r="AD22" s="1">
        <f>SUM(AE22:AP22)</f>
        <v>0</v>
      </c>
      <c r="AE22" s="1">
        <v>0</v>
      </c>
      <c r="AF22" s="1">
        <f>SUM(AG22:AR22)</f>
        <v>0</v>
      </c>
    </row>
    <row r="23" spans="1:32" x14ac:dyDescent="0.25">
      <c r="A23" s="13">
        <v>5</v>
      </c>
      <c r="B23" s="23" t="s">
        <v>275</v>
      </c>
      <c r="C23" s="13"/>
      <c r="D23" s="199">
        <f>ROUND(SUM(D20:D22),2)</f>
        <v>79956.100000000006</v>
      </c>
      <c r="E23" s="199">
        <f t="shared" ref="E23:P23" si="3">SUM(E20:E22)</f>
        <v>78956.644847179996</v>
      </c>
      <c r="F23" s="199">
        <f t="shared" si="3"/>
        <v>77957.193816615996</v>
      </c>
      <c r="G23" s="199">
        <f t="shared" si="3"/>
        <v>76957.742786051997</v>
      </c>
      <c r="H23" s="199">
        <f t="shared" si="3"/>
        <v>75958.291755487997</v>
      </c>
      <c r="I23" s="199">
        <f t="shared" si="3"/>
        <v>74958.840724923997</v>
      </c>
      <c r="J23" s="199">
        <f t="shared" si="3"/>
        <v>73959.389694359998</v>
      </c>
      <c r="K23" s="199">
        <f t="shared" si="3"/>
        <v>72959.938663795998</v>
      </c>
      <c r="L23" s="199">
        <f t="shared" si="3"/>
        <v>71960.487633231998</v>
      </c>
      <c r="M23" s="199">
        <f t="shared" si="3"/>
        <v>70961.036602667999</v>
      </c>
      <c r="N23" s="199">
        <f t="shared" si="3"/>
        <v>69961.585572103999</v>
      </c>
      <c r="O23" s="199">
        <f t="shared" si="3"/>
        <v>68962.134541539999</v>
      </c>
      <c r="P23" s="199">
        <f t="shared" si="3"/>
        <v>67962.683510976</v>
      </c>
    </row>
    <row r="24" spans="1:32" x14ac:dyDescent="0.25">
      <c r="A24" s="13"/>
      <c r="B24" s="23"/>
    </row>
    <row r="25" spans="1:32" x14ac:dyDescent="0.25">
      <c r="A25" s="13">
        <v>6</v>
      </c>
      <c r="B25" s="23" t="s">
        <v>276</v>
      </c>
      <c r="C25" s="23"/>
      <c r="E25" s="1">
        <f>(D23+E23)/2</f>
        <v>79456.372423590001</v>
      </c>
      <c r="F25" s="1">
        <f t="shared" ref="F25:P25" si="4">(E23+F23)/2</f>
        <v>78456.919331897996</v>
      </c>
      <c r="G25" s="1">
        <f t="shared" si="4"/>
        <v>77457.468301333996</v>
      </c>
      <c r="H25" s="1">
        <f t="shared" si="4"/>
        <v>76458.017270769997</v>
      </c>
      <c r="I25" s="1">
        <f t="shared" si="4"/>
        <v>75458.566240205997</v>
      </c>
      <c r="J25" s="1">
        <f t="shared" si="4"/>
        <v>74459.115209641997</v>
      </c>
      <c r="K25" s="1">
        <f t="shared" si="4"/>
        <v>73459.664179077998</v>
      </c>
      <c r="L25" s="1">
        <f t="shared" si="4"/>
        <v>72460.213148513998</v>
      </c>
      <c r="M25" s="1">
        <f t="shared" si="4"/>
        <v>71460.762117949998</v>
      </c>
      <c r="N25" s="1">
        <f t="shared" si="4"/>
        <v>70461.311087385999</v>
      </c>
      <c r="O25" s="1">
        <f t="shared" si="4"/>
        <v>69461.860056821999</v>
      </c>
      <c r="P25" s="1">
        <f t="shared" si="4"/>
        <v>68462.409026257999</v>
      </c>
    </row>
    <row r="26" spans="1:32" x14ac:dyDescent="0.25">
      <c r="A26" s="200"/>
      <c r="B26" s="20"/>
    </row>
    <row r="27" spans="1:32" x14ac:dyDescent="0.25">
      <c r="A27" s="13">
        <v>7</v>
      </c>
      <c r="B27" s="23" t="s">
        <v>277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x14ac:dyDescent="0.25">
      <c r="A28" s="200"/>
      <c r="B28" s="23" t="s">
        <v>262</v>
      </c>
      <c r="C28" s="23" t="s">
        <v>278</v>
      </c>
      <c r="E28" s="1">
        <v>365.81713863820835</v>
      </c>
      <c r="F28" s="1">
        <v>361.21565660405832</v>
      </c>
      <c r="G28" s="1">
        <v>356.61418405934171</v>
      </c>
      <c r="H28" s="1">
        <v>352.01271151462504</v>
      </c>
      <c r="I28" s="1">
        <v>347.41123896990837</v>
      </c>
      <c r="J28" s="1">
        <v>342.8097664251917</v>
      </c>
      <c r="K28" s="1">
        <v>351.79833175360454</v>
      </c>
      <c r="L28" s="1">
        <v>347.01196076823351</v>
      </c>
      <c r="M28" s="1">
        <v>342.22558978286253</v>
      </c>
      <c r="N28" s="1">
        <v>337.43921879749155</v>
      </c>
      <c r="O28" s="1">
        <v>332.65284781212057</v>
      </c>
      <c r="P28" s="1">
        <v>327.86647682674953</v>
      </c>
      <c r="Q28" s="1">
        <f>SUM(E28:P28)</f>
        <v>4164.8751219523965</v>
      </c>
    </row>
    <row r="29" spans="1:32" x14ac:dyDescent="0.25">
      <c r="A29" s="200"/>
      <c r="B29" s="23" t="s">
        <v>264</v>
      </c>
      <c r="C29" s="23" t="s">
        <v>279</v>
      </c>
      <c r="E29" s="1">
        <v>92.32830475621158</v>
      </c>
      <c r="F29" s="1">
        <v>91.166940263665481</v>
      </c>
      <c r="G29" s="1">
        <v>90.005578166150102</v>
      </c>
      <c r="H29" s="1">
        <v>88.844216068634736</v>
      </c>
      <c r="I29" s="1">
        <v>87.682853971119371</v>
      </c>
      <c r="J29" s="1">
        <v>86.521491873604006</v>
      </c>
      <c r="K29" s="1">
        <v>77.059187723852816</v>
      </c>
      <c r="L29" s="1">
        <v>76.010763592791179</v>
      </c>
      <c r="M29" s="1">
        <v>74.962339461729556</v>
      </c>
      <c r="N29" s="1">
        <v>73.913915330667919</v>
      </c>
      <c r="O29" s="1">
        <v>72.865491199606282</v>
      </c>
      <c r="P29" s="1">
        <v>71.817067068544645</v>
      </c>
      <c r="Q29" s="1">
        <f>SUM(E29:P29)</f>
        <v>983.17814947657757</v>
      </c>
    </row>
    <row r="30" spans="1:32" x14ac:dyDescent="0.25">
      <c r="A30" s="200"/>
      <c r="B30" s="2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x14ac:dyDescent="0.25">
      <c r="A31" s="13">
        <v>8</v>
      </c>
      <c r="B31" s="23" t="s">
        <v>280</v>
      </c>
    </row>
    <row r="32" spans="1:32" x14ac:dyDescent="0.25">
      <c r="A32" s="200"/>
      <c r="B32" s="23" t="s">
        <v>262</v>
      </c>
      <c r="C32" s="23" t="s">
        <v>281</v>
      </c>
      <c r="D32" s="2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>SUM(E32:P32)</f>
        <v>0</v>
      </c>
    </row>
    <row r="33" spans="1:17" x14ac:dyDescent="0.25">
      <c r="A33" s="200"/>
      <c r="B33" s="23" t="s">
        <v>264</v>
      </c>
      <c r="C33" s="23" t="s">
        <v>282</v>
      </c>
      <c r="E33" s="1">
        <v>999.45103056400001</v>
      </c>
      <c r="F33" s="1">
        <v>999.45103056400001</v>
      </c>
      <c r="G33" s="1">
        <v>999.45103056400001</v>
      </c>
      <c r="H33" s="1">
        <v>999.45103056400001</v>
      </c>
      <c r="I33" s="1">
        <v>999.45103056400001</v>
      </c>
      <c r="J33" s="1">
        <v>999.45103056400001</v>
      </c>
      <c r="K33" s="1">
        <v>999.45103056400001</v>
      </c>
      <c r="L33" s="1">
        <v>999.45103056400001</v>
      </c>
      <c r="M33" s="1">
        <v>999.45103056400001</v>
      </c>
      <c r="N33" s="1">
        <v>999.45103056400001</v>
      </c>
      <c r="O33" s="1">
        <v>999.45103056400001</v>
      </c>
      <c r="P33" s="1">
        <v>999.45103056400001</v>
      </c>
      <c r="Q33" s="1">
        <f>SUM(E33:P33)</f>
        <v>11993.412366767998</v>
      </c>
    </row>
    <row r="34" spans="1:17" x14ac:dyDescent="0.25">
      <c r="A34" s="200"/>
      <c r="B34" s="23" t="s">
        <v>266</v>
      </c>
      <c r="C34" s="23" t="s">
        <v>283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>SUM(E34:P34)</f>
        <v>0</v>
      </c>
    </row>
    <row r="35" spans="1:17" x14ac:dyDescent="0.25">
      <c r="A35" s="200"/>
      <c r="B35" s="23" t="s">
        <v>268</v>
      </c>
      <c r="C35" s="23" t="s">
        <v>284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SUM(E35:P35)</f>
        <v>0</v>
      </c>
    </row>
    <row r="36" spans="1:17" x14ac:dyDescent="0.25">
      <c r="A36" s="200"/>
      <c r="B36" s="23" t="s">
        <v>270</v>
      </c>
      <c r="C36" s="23" t="s">
        <v>285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f>SUM(E36:P36)</f>
        <v>0</v>
      </c>
    </row>
    <row r="37" spans="1:17" x14ac:dyDescent="0.25">
      <c r="A37" s="200"/>
      <c r="B37" s="20"/>
      <c r="C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7" x14ac:dyDescent="0.25">
      <c r="A38" s="13">
        <v>9</v>
      </c>
      <c r="B38" s="23" t="s">
        <v>286</v>
      </c>
      <c r="E38" s="1">
        <f>SUM(E28:E36)</f>
        <v>1457.5964739584199</v>
      </c>
      <c r="F38" s="1">
        <f t="shared" ref="F38:P38" si="5">SUM(F28:F36)</f>
        <v>1451.8336274317239</v>
      </c>
      <c r="G38" s="1">
        <f t="shared" si="5"/>
        <v>1446.0707927894919</v>
      </c>
      <c r="H38" s="1">
        <f t="shared" si="5"/>
        <v>1440.3079581472598</v>
      </c>
      <c r="I38" s="1">
        <f t="shared" si="5"/>
        <v>1434.5451235050277</v>
      </c>
      <c r="J38" s="1">
        <f t="shared" si="5"/>
        <v>1428.7822888627957</v>
      </c>
      <c r="K38" s="1">
        <f t="shared" si="5"/>
        <v>1428.3085500414572</v>
      </c>
      <c r="L38" s="1">
        <f t="shared" si="5"/>
        <v>1422.4737549250247</v>
      </c>
      <c r="M38" s="1">
        <f t="shared" si="5"/>
        <v>1416.6389598085921</v>
      </c>
      <c r="N38" s="1">
        <f t="shared" si="5"/>
        <v>1410.8041646921595</v>
      </c>
      <c r="O38" s="1">
        <f t="shared" si="5"/>
        <v>1404.9693695757269</v>
      </c>
      <c r="P38" s="1">
        <f t="shared" si="5"/>
        <v>1399.1345744592941</v>
      </c>
      <c r="Q38" s="1">
        <f>SUM(E38:P38)</f>
        <v>17141.465638196973</v>
      </c>
    </row>
    <row r="39" spans="1:17" x14ac:dyDescent="0.25">
      <c r="A39" s="200"/>
      <c r="B39" s="23" t="s">
        <v>262</v>
      </c>
      <c r="C39" s="23" t="s">
        <v>160</v>
      </c>
      <c r="E39" s="1">
        <f>E38*1/13</f>
        <v>112.12280568910923</v>
      </c>
      <c r="F39" s="1">
        <f t="shared" ref="F39:P39" si="6">F38*1/13</f>
        <v>111.67950980244031</v>
      </c>
      <c r="G39" s="1">
        <f t="shared" si="6"/>
        <v>111.23621482996091</v>
      </c>
      <c r="H39" s="1">
        <f t="shared" si="6"/>
        <v>110.79291985748152</v>
      </c>
      <c r="I39" s="1">
        <f t="shared" si="6"/>
        <v>110.34962488500213</v>
      </c>
      <c r="J39" s="1">
        <f t="shared" si="6"/>
        <v>109.90632991252275</v>
      </c>
      <c r="K39" s="1">
        <f t="shared" si="6"/>
        <v>109.86988846472748</v>
      </c>
      <c r="L39" s="1">
        <f t="shared" si="6"/>
        <v>109.42105807115574</v>
      </c>
      <c r="M39" s="1">
        <f t="shared" si="6"/>
        <v>108.972227677584</v>
      </c>
      <c r="N39" s="1">
        <f t="shared" si="6"/>
        <v>108.52339728401226</v>
      </c>
      <c r="O39" s="1">
        <f t="shared" si="6"/>
        <v>108.07456689044054</v>
      </c>
      <c r="P39" s="1">
        <f t="shared" si="6"/>
        <v>107.62573649686877</v>
      </c>
      <c r="Q39" s="1">
        <f>SUM(E39:P39)</f>
        <v>1318.5742798613055</v>
      </c>
    </row>
    <row r="40" spans="1:17" x14ac:dyDescent="0.25">
      <c r="A40" s="200"/>
      <c r="B40" s="23" t="s">
        <v>264</v>
      </c>
      <c r="C40" s="23" t="s">
        <v>161</v>
      </c>
      <c r="E40" s="1">
        <f t="shared" ref="E40:P40" si="7">E38-E39</f>
        <v>1345.4736682693106</v>
      </c>
      <c r="F40" s="1">
        <f t="shared" si="7"/>
        <v>1340.1541176292835</v>
      </c>
      <c r="G40" s="1">
        <f t="shared" si="7"/>
        <v>1334.8345779595309</v>
      </c>
      <c r="H40" s="1">
        <f t="shared" si="7"/>
        <v>1329.5150382897782</v>
      </c>
      <c r="I40" s="1">
        <f t="shared" si="7"/>
        <v>1324.1954986200255</v>
      </c>
      <c r="J40" s="1">
        <f t="shared" si="7"/>
        <v>1318.8759589502729</v>
      </c>
      <c r="K40" s="1">
        <f t="shared" si="7"/>
        <v>1318.4386615767298</v>
      </c>
      <c r="L40" s="1">
        <f t="shared" si="7"/>
        <v>1313.0526968538688</v>
      </c>
      <c r="M40" s="1">
        <f t="shared" si="7"/>
        <v>1307.6667321310081</v>
      </c>
      <c r="N40" s="1">
        <f t="shared" si="7"/>
        <v>1302.2807674081473</v>
      </c>
      <c r="O40" s="1">
        <f t="shared" si="7"/>
        <v>1296.8948026852863</v>
      </c>
      <c r="P40" s="1">
        <f t="shared" si="7"/>
        <v>1291.5088379624253</v>
      </c>
      <c r="Q40" s="1">
        <f>SUM(E40:P40)</f>
        <v>15822.891358335666</v>
      </c>
    </row>
    <row r="41" spans="1:17" x14ac:dyDescent="0.25">
      <c r="A41" s="200"/>
      <c r="B41" s="20"/>
      <c r="C41" s="202"/>
    </row>
    <row r="42" spans="1:17" x14ac:dyDescent="0.25">
      <c r="A42" s="13">
        <v>10</v>
      </c>
      <c r="B42" s="23" t="s">
        <v>287</v>
      </c>
      <c r="E42" s="203">
        <v>1</v>
      </c>
      <c r="F42" s="203">
        <v>1</v>
      </c>
      <c r="G42" s="203">
        <v>1</v>
      </c>
      <c r="H42" s="203">
        <v>1</v>
      </c>
      <c r="I42" s="203">
        <v>1</v>
      </c>
      <c r="J42" s="203">
        <v>1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</row>
    <row r="43" spans="1:17" x14ac:dyDescent="0.25">
      <c r="A43" s="13">
        <v>11</v>
      </c>
      <c r="B43" s="23" t="s">
        <v>288</v>
      </c>
      <c r="E43" s="203">
        <v>0.9723427</v>
      </c>
      <c r="F43" s="203">
        <v>0.9723427</v>
      </c>
      <c r="G43" s="203">
        <v>0.9723427</v>
      </c>
      <c r="H43" s="203">
        <v>0.9723427</v>
      </c>
      <c r="I43" s="203">
        <v>0.9723427</v>
      </c>
      <c r="J43" s="203">
        <v>0.9723427</v>
      </c>
      <c r="K43" s="203">
        <v>0.9723427</v>
      </c>
      <c r="L43" s="203">
        <v>0.9723427</v>
      </c>
      <c r="M43" s="203">
        <v>0.9723427</v>
      </c>
      <c r="N43" s="203">
        <v>0.9723427</v>
      </c>
      <c r="O43" s="203">
        <v>0.9723427</v>
      </c>
      <c r="P43" s="203">
        <v>0.9723427</v>
      </c>
    </row>
    <row r="44" spans="1:17" x14ac:dyDescent="0.25">
      <c r="A44" s="13"/>
      <c r="B44" s="23"/>
      <c r="C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7" x14ac:dyDescent="0.25">
      <c r="A45" s="13">
        <v>12</v>
      </c>
      <c r="B45" s="23" t="s">
        <v>289</v>
      </c>
      <c r="E45" s="1">
        <v>112.25735305593616</v>
      </c>
      <c r="F45" s="1">
        <v>111.81352521420325</v>
      </c>
      <c r="G45" s="1">
        <v>111.36969828775688</v>
      </c>
      <c r="H45" s="1">
        <v>110.92587136131051</v>
      </c>
      <c r="I45" s="1">
        <v>110.48204443486414</v>
      </c>
      <c r="J45" s="1">
        <v>110.03821750841779</v>
      </c>
      <c r="K45" s="1">
        <v>110.00173233088516</v>
      </c>
      <c r="L45" s="1">
        <v>109.55236334084114</v>
      </c>
      <c r="M45" s="1">
        <v>109.10299435079712</v>
      </c>
      <c r="N45" s="1">
        <v>108.65362536075308</v>
      </c>
      <c r="O45" s="1">
        <v>108.20425637070907</v>
      </c>
      <c r="P45" s="1">
        <v>107.75488738066502</v>
      </c>
      <c r="Q45" s="1">
        <f>SUM(E45:P45)</f>
        <v>1320.1565689971392</v>
      </c>
    </row>
    <row r="46" spans="1:17" x14ac:dyDescent="0.25">
      <c r="A46" s="13">
        <v>13</v>
      </c>
      <c r="B46" s="23" t="s">
        <v>290</v>
      </c>
      <c r="E46" s="199">
        <f>E40*E43</f>
        <v>1308.2614993838858</v>
      </c>
      <c r="F46" s="199">
        <f t="shared" ref="F46:P46" si="8">F40*F43</f>
        <v>1303.0890731517752</v>
      </c>
      <c r="G46" s="199">
        <f t="shared" si="8"/>
        <v>1297.9166575865308</v>
      </c>
      <c r="H46" s="199">
        <f t="shared" si="8"/>
        <v>1292.7442420212863</v>
      </c>
      <c r="I46" s="199">
        <f t="shared" si="8"/>
        <v>1287.5718264560419</v>
      </c>
      <c r="J46" s="199">
        <f t="shared" si="8"/>
        <v>1282.3994108907975</v>
      </c>
      <c r="K46" s="199">
        <f t="shared" si="8"/>
        <v>1281.9742079819036</v>
      </c>
      <c r="L46" s="199">
        <f t="shared" si="8"/>
        <v>1276.7372045011723</v>
      </c>
      <c r="M46" s="199">
        <f t="shared" si="8"/>
        <v>1271.5002010204412</v>
      </c>
      <c r="N46" s="199">
        <f t="shared" si="8"/>
        <v>1266.2631975397101</v>
      </c>
      <c r="O46" s="199">
        <f t="shared" si="8"/>
        <v>1261.0261940589785</v>
      </c>
      <c r="P46" s="199">
        <f t="shared" si="8"/>
        <v>1255.7891905782471</v>
      </c>
      <c r="Q46" s="199">
        <f>SUM(E46:P46)</f>
        <v>15385.272905170772</v>
      </c>
    </row>
    <row r="47" spans="1:17" ht="13" thickBot="1" x14ac:dyDescent="0.3">
      <c r="A47" s="13">
        <v>14</v>
      </c>
      <c r="B47" s="23" t="s">
        <v>291</v>
      </c>
      <c r="E47" s="204">
        <f>E45+E46</f>
        <v>1420.518852439822</v>
      </c>
      <c r="F47" s="204">
        <f t="shared" ref="F47:P47" si="9">F45+F46</f>
        <v>1414.9025983659785</v>
      </c>
      <c r="G47" s="204">
        <f t="shared" si="9"/>
        <v>1409.2863558742877</v>
      </c>
      <c r="H47" s="204">
        <f t="shared" si="9"/>
        <v>1403.6701133825968</v>
      </c>
      <c r="I47" s="204">
        <f t="shared" si="9"/>
        <v>1398.053870890906</v>
      </c>
      <c r="J47" s="204">
        <f t="shared" si="9"/>
        <v>1392.4376283992153</v>
      </c>
      <c r="K47" s="204">
        <f t="shared" si="9"/>
        <v>1391.9759403127889</v>
      </c>
      <c r="L47" s="204">
        <f t="shared" si="9"/>
        <v>1386.2895678420134</v>
      </c>
      <c r="M47" s="204">
        <f t="shared" si="9"/>
        <v>1380.6031953712384</v>
      </c>
      <c r="N47" s="204">
        <f t="shared" si="9"/>
        <v>1374.9168229004631</v>
      </c>
      <c r="O47" s="204">
        <f t="shared" si="9"/>
        <v>1369.2304504296876</v>
      </c>
      <c r="P47" s="204">
        <f t="shared" si="9"/>
        <v>1363.5440779589121</v>
      </c>
      <c r="Q47" s="204">
        <f>Q45+Q46</f>
        <v>16705.429474167911</v>
      </c>
    </row>
    <row r="48" spans="1:17" ht="13" thickTop="1" x14ac:dyDescent="0.25">
      <c r="A48" s="200"/>
      <c r="B48" s="20"/>
    </row>
    <row r="49" spans="1:17" x14ac:dyDescent="0.25">
      <c r="A49" s="5" t="s">
        <v>76</v>
      </c>
      <c r="B49" s="23"/>
    </row>
    <row r="50" spans="1:17" x14ac:dyDescent="0.25">
      <c r="A50" s="23" t="s">
        <v>168</v>
      </c>
      <c r="B50" s="23" t="s">
        <v>292</v>
      </c>
    </row>
    <row r="51" spans="1:17" x14ac:dyDescent="0.25">
      <c r="A51" s="23" t="s">
        <v>170</v>
      </c>
      <c r="B51" s="23" t="s">
        <v>293</v>
      </c>
    </row>
    <row r="52" spans="1:17" x14ac:dyDescent="0.25">
      <c r="A52" s="23" t="s">
        <v>255</v>
      </c>
      <c r="B52" s="23" t="s">
        <v>294</v>
      </c>
    </row>
    <row r="53" spans="1:17" x14ac:dyDescent="0.25">
      <c r="A53" s="23" t="s">
        <v>295</v>
      </c>
      <c r="B53" s="23" t="s">
        <v>296</v>
      </c>
    </row>
    <row r="54" spans="1:17" x14ac:dyDescent="0.25">
      <c r="A54" s="23" t="s">
        <v>297</v>
      </c>
      <c r="B54" s="11" t="s">
        <v>298</v>
      </c>
    </row>
    <row r="55" spans="1:17" x14ac:dyDescent="0.25">
      <c r="A55" s="23" t="s">
        <v>299</v>
      </c>
      <c r="B55" s="11" t="s">
        <v>300</v>
      </c>
      <c r="F55" s="205"/>
    </row>
    <row r="56" spans="1:17" x14ac:dyDescent="0.25">
      <c r="A56" s="23" t="s">
        <v>301</v>
      </c>
      <c r="B56" s="23" t="s">
        <v>302</v>
      </c>
    </row>
    <row r="57" spans="1:17" x14ac:dyDescent="0.25">
      <c r="A57" s="23" t="s">
        <v>303</v>
      </c>
      <c r="B57" s="23" t="s">
        <v>304</v>
      </c>
    </row>
    <row r="58" spans="1:17" x14ac:dyDescent="0.25">
      <c r="A58" s="23" t="s">
        <v>305</v>
      </c>
      <c r="B58" s="23" t="s">
        <v>306</v>
      </c>
    </row>
    <row r="59" spans="1:17" x14ac:dyDescent="0.25">
      <c r="A59" s="11" t="s">
        <v>307</v>
      </c>
      <c r="B59" s="23" t="s">
        <v>308</v>
      </c>
    </row>
    <row r="60" spans="1:17" x14ac:dyDescent="0.25">
      <c r="A60" s="11" t="s">
        <v>309</v>
      </c>
      <c r="B60" s="23" t="s">
        <v>310</v>
      </c>
    </row>
    <row r="62" spans="1:17" ht="13" x14ac:dyDescent="0.3">
      <c r="A62" s="186"/>
      <c r="B62" s="187"/>
      <c r="C62" s="187"/>
      <c r="D62" s="187"/>
      <c r="E62" s="187"/>
      <c r="F62" s="187"/>
      <c r="G62" s="187"/>
      <c r="H62" s="188"/>
      <c r="I62" s="187"/>
      <c r="J62" s="187"/>
      <c r="K62" s="187"/>
      <c r="L62" s="187"/>
      <c r="M62" s="187"/>
      <c r="N62" s="187"/>
      <c r="O62" s="187"/>
      <c r="P62" s="187"/>
      <c r="Q62" s="187"/>
    </row>
    <row r="63" spans="1:17" ht="13" x14ac:dyDescent="0.3">
      <c r="A63" s="188"/>
      <c r="B63" s="186"/>
      <c r="C63" s="186"/>
      <c r="D63" s="186"/>
      <c r="E63" s="186"/>
      <c r="F63" s="186"/>
      <c r="G63" s="186"/>
      <c r="H63" s="188"/>
      <c r="I63" s="186"/>
      <c r="J63" s="186"/>
      <c r="K63" s="186"/>
      <c r="L63" s="186"/>
      <c r="M63" s="186"/>
      <c r="N63" s="186"/>
      <c r="O63" s="186"/>
      <c r="P63" s="186"/>
      <c r="Q63" s="186"/>
    </row>
    <row r="64" spans="1:17" ht="13" x14ac:dyDescent="0.3">
      <c r="A64" s="188"/>
      <c r="B64" s="186"/>
      <c r="C64" s="186"/>
      <c r="D64" s="186"/>
      <c r="E64" s="186"/>
      <c r="F64" s="186"/>
      <c r="G64" s="186"/>
      <c r="H64" s="188"/>
      <c r="I64" s="186"/>
      <c r="J64" s="186"/>
      <c r="K64" s="186"/>
      <c r="L64" s="186"/>
      <c r="M64" s="186"/>
      <c r="N64" s="186"/>
      <c r="O64" s="186"/>
      <c r="P64" s="186"/>
      <c r="Q64" s="186"/>
    </row>
    <row r="65" spans="1:17" ht="13" x14ac:dyDescent="0.3">
      <c r="A65" s="186"/>
      <c r="B65" s="186"/>
      <c r="C65" s="186"/>
      <c r="D65" s="186"/>
      <c r="E65" s="186"/>
      <c r="F65" s="186"/>
      <c r="G65" s="186"/>
      <c r="H65" s="188"/>
      <c r="I65" s="186"/>
      <c r="J65" s="186"/>
      <c r="K65" s="186"/>
      <c r="L65" s="186"/>
      <c r="M65" s="186"/>
      <c r="N65" s="186"/>
      <c r="O65" s="186"/>
      <c r="P65" s="186"/>
      <c r="Q65" s="186"/>
    </row>
    <row r="66" spans="1:17" ht="13" x14ac:dyDescent="0.3">
      <c r="A66" s="188"/>
      <c r="B66" s="186"/>
      <c r="C66" s="186"/>
      <c r="D66" s="186"/>
      <c r="E66" s="186"/>
      <c r="F66" s="186"/>
      <c r="G66" s="186"/>
      <c r="H66" s="188"/>
      <c r="I66" s="186"/>
      <c r="J66" s="186"/>
      <c r="K66" s="186"/>
      <c r="L66" s="186"/>
      <c r="M66" s="186"/>
      <c r="N66" s="186"/>
      <c r="O66" s="186"/>
      <c r="P66" s="186"/>
      <c r="Q66" s="186"/>
    </row>
    <row r="67" spans="1:17" x14ac:dyDescent="0.25">
      <c r="C67" s="188"/>
      <c r="F67" s="5"/>
      <c r="H67" s="188"/>
      <c r="I67" s="23"/>
      <c r="J67" s="5"/>
      <c r="K67" s="5"/>
      <c r="L67" s="5"/>
      <c r="M67" s="5"/>
      <c r="N67" s="5"/>
      <c r="O67" s="5"/>
      <c r="P67" s="5"/>
    </row>
    <row r="68" spans="1:17" x14ac:dyDescent="0.25">
      <c r="B68" s="206"/>
      <c r="C68" s="188"/>
      <c r="D68" s="188"/>
      <c r="E68" s="188"/>
      <c r="F68" s="188"/>
      <c r="H68" s="188"/>
      <c r="I68" s="188"/>
    </row>
    <row r="69" spans="1:17" x14ac:dyDescent="0.25">
      <c r="B69" s="206"/>
      <c r="C69" s="188"/>
      <c r="D69" s="188"/>
      <c r="E69" s="188"/>
      <c r="F69" s="206"/>
      <c r="H69" s="206"/>
      <c r="I69" s="206"/>
    </row>
    <row r="70" spans="1:17" x14ac:dyDescent="0.25">
      <c r="A70" s="206"/>
      <c r="B70" s="206"/>
      <c r="C70" s="188"/>
      <c r="D70" s="188"/>
      <c r="E70" s="188"/>
      <c r="F70" s="202"/>
      <c r="G70" s="202"/>
      <c r="H70" s="202"/>
      <c r="I70" s="202"/>
    </row>
    <row r="71" spans="1:17" x14ac:dyDescent="0.2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5">
      <c r="A72" s="207"/>
      <c r="B72" s="207"/>
      <c r="C72" s="20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200"/>
      <c r="B73" s="202"/>
    </row>
    <row r="74" spans="1:17" x14ac:dyDescent="0.25">
      <c r="A74" s="200"/>
      <c r="B74" s="20"/>
      <c r="C74" s="202"/>
    </row>
    <row r="75" spans="1:17" x14ac:dyDescent="0.25">
      <c r="A75" s="200"/>
      <c r="B75" s="20"/>
      <c r="C75" s="202"/>
    </row>
    <row r="76" spans="1:17" x14ac:dyDescent="0.25">
      <c r="A76" s="200"/>
      <c r="B76" s="20"/>
      <c r="C76" s="202"/>
    </row>
    <row r="77" spans="1:17" x14ac:dyDescent="0.25">
      <c r="A77" s="200"/>
      <c r="B77" s="20"/>
      <c r="C77" s="202"/>
    </row>
    <row r="78" spans="1:17" x14ac:dyDescent="0.25">
      <c r="A78" s="200"/>
      <c r="B78" s="16"/>
      <c r="C78" s="202"/>
    </row>
    <row r="79" spans="1:17" x14ac:dyDescent="0.25">
      <c r="A79" s="200"/>
      <c r="B79" s="16"/>
    </row>
    <row r="80" spans="1:17" x14ac:dyDescent="0.25">
      <c r="A80" s="200"/>
      <c r="B80" s="16"/>
    </row>
    <row r="81" spans="1:16" x14ac:dyDescent="0.25">
      <c r="A81" s="200"/>
      <c r="B81" s="202"/>
    </row>
    <row r="82" spans="1:16" x14ac:dyDescent="0.25">
      <c r="A82" s="200"/>
      <c r="B82" s="202"/>
    </row>
    <row r="83" spans="1:16" x14ac:dyDescent="0.25">
      <c r="A83" s="200"/>
      <c r="B83" s="200"/>
      <c r="C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x14ac:dyDescent="0.25">
      <c r="A84" s="200"/>
      <c r="B84" s="202"/>
    </row>
    <row r="85" spans="1:16" x14ac:dyDescent="0.25">
      <c r="A85" s="200"/>
      <c r="B85" s="202"/>
    </row>
    <row r="86" spans="1:16" x14ac:dyDescent="0.25">
      <c r="A86" s="200"/>
      <c r="B86" s="202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</row>
    <row r="87" spans="1:16" x14ac:dyDescent="0.25">
      <c r="A87" s="200"/>
      <c r="B87" s="202"/>
      <c r="C87" s="16"/>
    </row>
    <row r="88" spans="1:16" x14ac:dyDescent="0.25">
      <c r="A88" s="200"/>
      <c r="B88" s="202"/>
      <c r="C88" s="16"/>
    </row>
    <row r="89" spans="1:16" x14ac:dyDescent="0.25">
      <c r="A89" s="200"/>
      <c r="B89" s="202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x14ac:dyDescent="0.25">
      <c r="A90" s="200"/>
      <c r="B90" s="202"/>
    </row>
    <row r="91" spans="1:16" x14ac:dyDescent="0.25">
      <c r="A91" s="200"/>
      <c r="B91" s="202"/>
      <c r="C91" s="16"/>
    </row>
    <row r="92" spans="1:16" x14ac:dyDescent="0.25">
      <c r="A92" s="200"/>
      <c r="B92" s="202"/>
      <c r="C92" s="16"/>
    </row>
    <row r="93" spans="1:16" x14ac:dyDescent="0.25">
      <c r="A93" s="200"/>
      <c r="B93" s="202"/>
      <c r="C93" s="202"/>
    </row>
    <row r="94" spans="1:16" x14ac:dyDescent="0.25">
      <c r="A94" s="200"/>
      <c r="B94" s="202"/>
      <c r="C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 x14ac:dyDescent="0.25">
      <c r="A95" s="200"/>
      <c r="B95" s="202"/>
      <c r="C95" s="16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x14ac:dyDescent="0.25">
      <c r="A96" s="200"/>
      <c r="B96" s="202"/>
      <c r="C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6" x14ac:dyDescent="0.25">
      <c r="A97" s="200"/>
      <c r="B97" s="20"/>
      <c r="C97" s="202"/>
    </row>
    <row r="98" spans="1:16" x14ac:dyDescent="0.25">
      <c r="A98" s="200"/>
      <c r="B98" s="202"/>
      <c r="C98" s="20"/>
    </row>
    <row r="99" spans="1:16" x14ac:dyDescent="0.25">
      <c r="A99" s="200"/>
      <c r="B99" s="202"/>
      <c r="C99" s="20"/>
    </row>
    <row r="100" spans="1:16" x14ac:dyDescent="0.25">
      <c r="A100" s="200"/>
      <c r="B100" s="200"/>
      <c r="C100" s="202"/>
    </row>
    <row r="101" spans="1:16" x14ac:dyDescent="0.25">
      <c r="A101" s="200"/>
      <c r="B101" s="202"/>
      <c r="C101" s="202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</row>
    <row r="102" spans="1:16" x14ac:dyDescent="0.25">
      <c r="A102" s="200"/>
      <c r="B102" s="202"/>
      <c r="C102" s="202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</row>
    <row r="103" spans="1:16" x14ac:dyDescent="0.25">
      <c r="A103" s="200"/>
      <c r="B103" s="200"/>
      <c r="C103" s="202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1:16" x14ac:dyDescent="0.25">
      <c r="A104" s="200"/>
      <c r="B104" s="16"/>
    </row>
    <row r="105" spans="1:16" x14ac:dyDescent="0.25">
      <c r="A105" s="200"/>
      <c r="B105" s="16"/>
    </row>
    <row r="106" spans="1:16" x14ac:dyDescent="0.25">
      <c r="A106" s="200"/>
      <c r="B106" s="202"/>
    </row>
    <row r="107" spans="1:16" x14ac:dyDescent="0.25">
      <c r="A107" s="200"/>
      <c r="B107" s="200"/>
    </row>
    <row r="108" spans="1:16" x14ac:dyDescent="0.25">
      <c r="A108" s="208"/>
      <c r="B108" s="208"/>
    </row>
    <row r="109" spans="1:16" x14ac:dyDescent="0.25">
      <c r="A109" s="20"/>
      <c r="B109" s="202"/>
      <c r="C109" s="202"/>
    </row>
    <row r="110" spans="1:16" x14ac:dyDescent="0.25">
      <c r="A110" s="20"/>
      <c r="B110" s="16"/>
      <c r="C110" s="202"/>
    </row>
    <row r="111" spans="1:16" x14ac:dyDescent="0.25">
      <c r="A111" s="20"/>
      <c r="B111" s="20"/>
      <c r="C111" s="202"/>
    </row>
    <row r="112" spans="1:16" x14ac:dyDescent="0.25">
      <c r="A112" s="20"/>
      <c r="B112" s="202"/>
      <c r="C112" s="202"/>
    </row>
    <row r="113" spans="1:9" x14ac:dyDescent="0.25">
      <c r="A113" s="20"/>
      <c r="C113" s="202"/>
    </row>
    <row r="114" spans="1:9" x14ac:dyDescent="0.25">
      <c r="A114" s="20"/>
      <c r="B114" s="23"/>
      <c r="C114" s="202"/>
    </row>
    <row r="115" spans="1:9" x14ac:dyDescent="0.25">
      <c r="A115" s="16"/>
    </row>
    <row r="116" spans="1:9" x14ac:dyDescent="0.25">
      <c r="A116" s="16"/>
      <c r="B116" s="16"/>
    </row>
    <row r="117" spans="1:9" x14ac:dyDescent="0.25">
      <c r="A117" s="16"/>
      <c r="B117" s="202"/>
    </row>
    <row r="118" spans="1:9" x14ac:dyDescent="0.25">
      <c r="A118" s="21"/>
    </row>
    <row r="119" spans="1:9" x14ac:dyDescent="0.25">
      <c r="A119" s="16"/>
    </row>
    <row r="123" spans="1:9" ht="13" x14ac:dyDescent="0.3">
      <c r="B123" s="187"/>
      <c r="C123" s="188"/>
      <c r="D123" s="188"/>
      <c r="E123" s="188"/>
      <c r="F123" s="188"/>
      <c r="G123" s="188"/>
      <c r="H123" s="187"/>
      <c r="I123" s="188"/>
    </row>
    <row r="124" spans="1:9" x14ac:dyDescent="0.25">
      <c r="B124" s="188"/>
      <c r="C124" s="188"/>
      <c r="D124" s="188"/>
      <c r="E124" s="188"/>
      <c r="F124" s="188"/>
      <c r="G124" s="188"/>
      <c r="H124" s="188"/>
      <c r="I124" s="188"/>
    </row>
    <row r="125" spans="1:9" x14ac:dyDescent="0.25">
      <c r="B125" s="188"/>
      <c r="C125" s="188"/>
      <c r="D125" s="188"/>
      <c r="E125" s="188"/>
      <c r="F125" s="188"/>
      <c r="G125" s="188"/>
      <c r="H125" s="188"/>
      <c r="I125" s="188"/>
    </row>
    <row r="126" spans="1:9" ht="13" x14ac:dyDescent="0.3">
      <c r="B126" s="186"/>
      <c r="C126" s="188"/>
      <c r="D126" s="188"/>
      <c r="E126" s="188"/>
      <c r="F126" s="188"/>
      <c r="G126" s="188"/>
      <c r="H126" s="186"/>
      <c r="I126" s="188"/>
    </row>
    <row r="127" spans="1:9" x14ac:dyDescent="0.25">
      <c r="B127" s="188"/>
      <c r="C127" s="188"/>
      <c r="D127" s="188"/>
      <c r="E127" s="188"/>
      <c r="F127" s="188"/>
      <c r="G127" s="188"/>
      <c r="H127" s="188"/>
      <c r="I127" s="188"/>
    </row>
    <row r="128" spans="1:9" x14ac:dyDescent="0.25">
      <c r="B128" s="188"/>
      <c r="C128" s="188"/>
      <c r="D128" s="188"/>
      <c r="E128" s="188"/>
      <c r="F128" s="188"/>
      <c r="G128" s="188"/>
      <c r="H128" s="188"/>
      <c r="I128" s="188"/>
    </row>
    <row r="129" spans="1:17" x14ac:dyDescent="0.25">
      <c r="B129" s="188"/>
      <c r="C129" s="188"/>
      <c r="F129" s="188"/>
      <c r="G129" s="188"/>
      <c r="H129" s="188"/>
      <c r="I129" s="19"/>
      <c r="J129" s="209"/>
    </row>
    <row r="130" spans="1:17" x14ac:dyDescent="0.25">
      <c r="A130" s="206"/>
      <c r="B130" s="206"/>
      <c r="C130" s="188"/>
      <c r="D130" s="188"/>
      <c r="E130" s="188"/>
      <c r="F130" s="188"/>
      <c r="G130" s="188"/>
    </row>
    <row r="131" spans="1:17" x14ac:dyDescent="0.25">
      <c r="B131" s="188"/>
      <c r="C131" s="188"/>
      <c r="D131" s="188"/>
      <c r="E131" s="188"/>
      <c r="F131" s="188"/>
      <c r="G131" s="188"/>
      <c r="H131" s="188"/>
      <c r="I131" s="188"/>
    </row>
    <row r="132" spans="1:17" x14ac:dyDescent="0.25">
      <c r="A132" s="206"/>
      <c r="B132" s="206"/>
      <c r="C132" s="188"/>
      <c r="D132" s="188"/>
      <c r="E132" s="188"/>
      <c r="F132" s="188"/>
      <c r="G132" s="188"/>
      <c r="H132" s="188"/>
      <c r="I132" s="188"/>
    </row>
    <row r="133" spans="1:17" x14ac:dyDescent="0.25">
      <c r="B133" s="2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5">
      <c r="A134" s="5"/>
      <c r="B134" s="21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5">
      <c r="A135" s="13"/>
      <c r="B135" s="23"/>
      <c r="C135" s="13"/>
    </row>
    <row r="136" spans="1:17" x14ac:dyDescent="0.25">
      <c r="A136" s="13"/>
      <c r="B136" s="23"/>
      <c r="C136" s="23"/>
    </row>
    <row r="137" spans="1:17" x14ac:dyDescent="0.25">
      <c r="A137" s="13"/>
      <c r="B137" s="23"/>
      <c r="C137" s="23"/>
    </row>
    <row r="138" spans="1:17" x14ac:dyDescent="0.25">
      <c r="A138" s="13"/>
      <c r="B138" s="23"/>
      <c r="C138" s="23"/>
    </row>
    <row r="139" spans="1:17" x14ac:dyDescent="0.25">
      <c r="A139" s="13"/>
      <c r="B139" s="23"/>
      <c r="C139" s="23"/>
    </row>
    <row r="140" spans="1:17" x14ac:dyDescent="0.25">
      <c r="A140" s="13"/>
      <c r="B140" s="23"/>
      <c r="C140" s="23"/>
    </row>
    <row r="141" spans="1:17" x14ac:dyDescent="0.25">
      <c r="A141" s="13"/>
      <c r="B141" s="23"/>
      <c r="C141" s="13"/>
    </row>
    <row r="142" spans="1:17" x14ac:dyDescent="0.25">
      <c r="A142" s="13"/>
      <c r="B142" s="23"/>
      <c r="C142" s="13"/>
    </row>
    <row r="143" spans="1:17" x14ac:dyDescent="0.25">
      <c r="A143" s="13"/>
      <c r="B143" s="23"/>
      <c r="C143" s="13"/>
    </row>
    <row r="144" spans="1:17" x14ac:dyDescent="0.25">
      <c r="A144" s="13"/>
      <c r="B144" s="23"/>
      <c r="C144" s="13"/>
    </row>
    <row r="145" spans="1:16" x14ac:dyDescent="0.25">
      <c r="A145" s="13"/>
      <c r="B145" s="23"/>
    </row>
    <row r="146" spans="1:16" x14ac:dyDescent="0.25">
      <c r="A146" s="13"/>
      <c r="B146" s="13"/>
      <c r="C146" s="23"/>
    </row>
    <row r="147" spans="1:16" x14ac:dyDescent="0.25">
      <c r="A147" s="200"/>
      <c r="B147" s="20"/>
    </row>
    <row r="148" spans="1:16" x14ac:dyDescent="0.25">
      <c r="A148" s="13"/>
      <c r="B148" s="23"/>
      <c r="C148" s="23"/>
      <c r="E148" s="201"/>
      <c r="F148" s="201"/>
      <c r="G148" s="201"/>
      <c r="H148" s="201"/>
      <c r="I148" s="201"/>
    </row>
    <row r="149" spans="1:16" x14ac:dyDescent="0.25">
      <c r="A149" s="200"/>
      <c r="B149" s="13"/>
      <c r="C149" s="23"/>
    </row>
    <row r="150" spans="1:16" x14ac:dyDescent="0.25">
      <c r="A150" s="200"/>
      <c r="B150" s="13"/>
      <c r="C150" s="23"/>
    </row>
    <row r="151" spans="1:16" x14ac:dyDescent="0.25">
      <c r="A151" s="200"/>
      <c r="B151" s="20"/>
      <c r="E151" s="201"/>
      <c r="F151" s="201"/>
      <c r="G151" s="201"/>
      <c r="H151" s="201"/>
      <c r="I151" s="201"/>
    </row>
    <row r="152" spans="1:16" x14ac:dyDescent="0.25">
      <c r="A152" s="13"/>
      <c r="B152" s="23"/>
    </row>
    <row r="153" spans="1:16" x14ac:dyDescent="0.25">
      <c r="A153" s="200"/>
      <c r="B153" s="13"/>
      <c r="C153" s="23"/>
    </row>
    <row r="154" spans="1:16" x14ac:dyDescent="0.25">
      <c r="A154" s="200"/>
      <c r="B154" s="13"/>
      <c r="C154" s="23"/>
    </row>
    <row r="155" spans="1:16" x14ac:dyDescent="0.25">
      <c r="A155" s="200"/>
      <c r="B155" s="13"/>
      <c r="C155" s="23"/>
    </row>
    <row r="156" spans="1:16" x14ac:dyDescent="0.25">
      <c r="A156" s="200"/>
      <c r="B156" s="13"/>
      <c r="C156" s="23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</row>
    <row r="157" spans="1:16" x14ac:dyDescent="0.25">
      <c r="A157" s="200"/>
      <c r="B157" s="23"/>
      <c r="C157" s="23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</row>
    <row r="158" spans="1:16" x14ac:dyDescent="0.25">
      <c r="A158" s="200"/>
      <c r="B158" s="20"/>
      <c r="C158" s="202"/>
      <c r="E158" s="202"/>
      <c r="F158" s="202"/>
      <c r="G158" s="202"/>
      <c r="H158" s="202"/>
      <c r="I158" s="202"/>
    </row>
    <row r="159" spans="1:16" x14ac:dyDescent="0.25">
      <c r="A159" s="13"/>
      <c r="B159" s="23"/>
      <c r="C159" s="202"/>
    </row>
    <row r="160" spans="1:16" x14ac:dyDescent="0.25">
      <c r="A160" s="13"/>
      <c r="B160" s="13"/>
      <c r="C160" s="23"/>
    </row>
    <row r="161" spans="1:16" x14ac:dyDescent="0.25">
      <c r="A161" s="13"/>
      <c r="B161" s="13"/>
      <c r="C161" s="23"/>
    </row>
    <row r="162" spans="1:16" x14ac:dyDescent="0.25">
      <c r="A162" s="13"/>
      <c r="B162" s="23"/>
      <c r="C162" s="202"/>
    </row>
    <row r="163" spans="1:16" x14ac:dyDescent="0.25">
      <c r="A163" s="13"/>
      <c r="B163" s="23"/>
      <c r="C163" s="202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</row>
    <row r="164" spans="1:16" x14ac:dyDescent="0.25">
      <c r="A164" s="13"/>
      <c r="B164" s="23"/>
      <c r="C164" s="202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</row>
    <row r="165" spans="1:16" x14ac:dyDescent="0.25">
      <c r="A165" s="200"/>
      <c r="B165" s="20"/>
      <c r="C165" s="202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</row>
    <row r="166" spans="1:16" x14ac:dyDescent="0.25">
      <c r="A166" s="13"/>
      <c r="B166" s="23"/>
    </row>
    <row r="167" spans="1:16" x14ac:dyDescent="0.25">
      <c r="A167" s="13"/>
      <c r="B167" s="23"/>
    </row>
    <row r="168" spans="1:16" x14ac:dyDescent="0.25">
      <c r="A168" s="13"/>
      <c r="B168" s="23"/>
    </row>
    <row r="169" spans="1:16" x14ac:dyDescent="0.25">
      <c r="A169" s="13"/>
      <c r="B169" s="23"/>
    </row>
    <row r="170" spans="1:16" x14ac:dyDescent="0.25">
      <c r="A170" s="13"/>
      <c r="B170" s="23"/>
    </row>
    <row r="171" spans="1:16" x14ac:dyDescent="0.25">
      <c r="A171" s="13"/>
      <c r="B171" s="23"/>
    </row>
    <row r="172" spans="1:16" x14ac:dyDescent="0.25">
      <c r="A172" s="13"/>
      <c r="B172" s="23"/>
    </row>
    <row r="173" spans="1:16" x14ac:dyDescent="0.25">
      <c r="A173" s="13"/>
      <c r="B173" s="23"/>
    </row>
    <row r="174" spans="1:16" x14ac:dyDescent="0.25">
      <c r="A174" s="13"/>
      <c r="B174" s="23"/>
    </row>
    <row r="175" spans="1:16" x14ac:dyDescent="0.25">
      <c r="A175" s="13"/>
      <c r="B175" s="23"/>
    </row>
    <row r="176" spans="1:16" x14ac:dyDescent="0.25">
      <c r="A176" s="13"/>
      <c r="B176" s="23"/>
    </row>
    <row r="177" spans="1:2" x14ac:dyDescent="0.25">
      <c r="A177" s="13"/>
      <c r="B177" s="23"/>
    </row>
    <row r="178" spans="1:2" x14ac:dyDescent="0.25">
      <c r="A178" s="13"/>
      <c r="B178" s="23"/>
    </row>
    <row r="179" spans="1:2" x14ac:dyDescent="0.25">
      <c r="A179" s="13"/>
      <c r="B179" s="23"/>
    </row>
    <row r="180" spans="1:2" x14ac:dyDescent="0.25">
      <c r="A180" s="13"/>
      <c r="B180" s="23"/>
    </row>
    <row r="181" spans="1:2" x14ac:dyDescent="0.25">
      <c r="A181" s="13"/>
      <c r="B181" s="23"/>
    </row>
  </sheetData>
  <pageMargins left="0.5" right="0.5" top="1" bottom="0.75" header="0.55000000000000004" footer="0.3"/>
  <pageSetup scale="58" fitToWidth="0" fitToHeight="0" orientation="landscape" r:id="rId1"/>
  <headerFooter alignWithMargins="0">
    <oddHeader>&amp;C&amp;"Arial,Regular"&amp;8GULF POWER COMPANY
 ENVIRONMENTAL COST RECOVERY CLAUSE
 RETURN ON CAPITAL INVESTMENTS, DEPRECIATION AND TAXES &amp;R&amp;"Arial,Regular"&amp;8FORM 42-8E</oddHeader>
  </headerFooter>
  <rowBreaks count="1" manualBreakCount="1">
    <brk id="11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BA5D-ED34-4699-84F6-429320332999}">
  <sheetPr transitionEvaluation="1" transitionEntry="1"/>
  <dimension ref="A1:XFD336"/>
  <sheetViews>
    <sheetView showGridLines="0" defaultGridColor="0" view="pageBreakPreview" colorId="8" zoomScale="88" zoomScaleNormal="100" zoomScaleSheetLayoutView="88" workbookViewId="0">
      <selection activeCell="Q28" sqref="Q28"/>
    </sheetView>
  </sheetViews>
  <sheetFormatPr defaultColWidth="11.58203125" defaultRowHeight="12.5" x14ac:dyDescent="0.25"/>
  <cols>
    <col min="1" max="1" width="5.08203125" style="1" customWidth="1"/>
    <col min="2" max="2" width="3.58203125" style="1" customWidth="1"/>
    <col min="3" max="3" width="33.58203125" style="1" customWidth="1"/>
    <col min="4" max="4" width="15.5" style="1" customWidth="1"/>
    <col min="5" max="11" width="11.83203125" style="1" customWidth="1"/>
    <col min="12" max="12" width="11.75" style="1" customWidth="1"/>
    <col min="13" max="13" width="13.58203125" style="1" bestFit="1" customWidth="1"/>
    <col min="14" max="14" width="11.75" style="1" customWidth="1"/>
    <col min="15" max="15" width="11.33203125" style="1" customWidth="1"/>
    <col min="16" max="16" width="11.83203125" style="1" customWidth="1"/>
    <col min="17" max="17" width="12.08203125" style="1" customWidth="1"/>
    <col min="18" max="18" width="6.58203125" style="1" bestFit="1" customWidth="1"/>
    <col min="19" max="19" width="11.83203125" style="1" bestFit="1" customWidth="1"/>
    <col min="20" max="20" width="13.58203125" style="1" bestFit="1" customWidth="1"/>
    <col min="21" max="22" width="12.33203125" style="1" bestFit="1" customWidth="1"/>
    <col min="23" max="23" width="3.83203125" style="1" customWidth="1"/>
    <col min="24" max="32" width="12.33203125" style="1" bestFit="1" customWidth="1"/>
    <col min="33" max="16384" width="11.58203125" style="1"/>
  </cols>
  <sheetData>
    <row r="1" spans="1:19" ht="13" x14ac:dyDescent="0.3">
      <c r="Q1" s="2"/>
    </row>
    <row r="2" spans="1:19" ht="13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S2" s="1">
        <v>2</v>
      </c>
    </row>
    <row r="3" spans="1:19" ht="13" hidden="1" x14ac:dyDescent="0.3">
      <c r="A3" s="186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9" hidden="1" x14ac:dyDescent="0.25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hidden="1" x14ac:dyDescent="0.25">
      <c r="A5" s="188" t="s">
        <v>396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ht="16.5" customHeight="1" x14ac:dyDescent="0.3">
      <c r="A6" s="186" t="s">
        <v>397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9" ht="7.5" hidden="1" customHeight="1" x14ac:dyDescent="0.25">
      <c r="A7" s="188" t="s">
        <v>579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9" x14ac:dyDescent="0.25">
      <c r="A8" s="211" t="s">
        <v>311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9" hidden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9" hidden="1" x14ac:dyDescent="0.25">
      <c r="A10" s="211">
        <f>'42-8_Project 1'!$H$69</f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9" ht="13" thickBot="1" x14ac:dyDescent="0.3">
      <c r="A11" s="212"/>
      <c r="B11" s="212"/>
      <c r="C11" s="196"/>
      <c r="D11" s="196"/>
      <c r="E11" s="196"/>
      <c r="F11" s="196"/>
      <c r="G11" s="196"/>
      <c r="H11" s="196"/>
      <c r="I11" s="196"/>
      <c r="J11" s="184"/>
      <c r="K11" s="184"/>
      <c r="L11" s="184"/>
      <c r="M11" s="184"/>
      <c r="N11" s="184"/>
      <c r="O11" s="184"/>
      <c r="P11" s="184"/>
      <c r="Q11" s="184"/>
    </row>
    <row r="12" spans="1:19" x14ac:dyDescent="0.25">
      <c r="A12" s="191"/>
      <c r="C12" s="192"/>
      <c r="D12" s="193" t="s">
        <v>257</v>
      </c>
      <c r="E12" s="193" t="str">
        <f>'42-8_Project 1'!E12</f>
        <v xml:space="preserve">Actual </v>
      </c>
      <c r="F12" s="193" t="str">
        <f>'42-8_Project 1'!F12</f>
        <v xml:space="preserve">Actual </v>
      </c>
      <c r="G12" s="193" t="str">
        <f>'42-8_Project 1'!G12</f>
        <v xml:space="preserve">Actual </v>
      </c>
      <c r="H12" s="193" t="str">
        <f>'42-8_Project 1'!H12</f>
        <v xml:space="preserve">Actual </v>
      </c>
      <c r="I12" s="193" t="str">
        <f>'42-8_Project 1'!I12</f>
        <v xml:space="preserve">Actual </v>
      </c>
      <c r="J12" s="193" t="str">
        <f>'42-8_Project 1'!J12</f>
        <v>Estimated</v>
      </c>
      <c r="K12" s="193" t="str">
        <f>'42-8_Project 1'!K12</f>
        <v>Estimated</v>
      </c>
      <c r="L12" s="193" t="str">
        <f>'42-8_Project 1'!L12</f>
        <v>Estimated</v>
      </c>
      <c r="M12" s="193" t="str">
        <f>'42-8_Project 1'!M12</f>
        <v>Estimated</v>
      </c>
      <c r="N12" s="193" t="str">
        <f>'42-8_Project 1'!N12</f>
        <v>Estimated</v>
      </c>
      <c r="O12" s="193" t="str">
        <f>'42-8_Project 1'!O12</f>
        <v>Estimated</v>
      </c>
      <c r="P12" s="193" t="str">
        <f>'42-8_Project 1'!P12</f>
        <v>Estimated</v>
      </c>
      <c r="Q12" s="194" t="s">
        <v>258</v>
      </c>
    </row>
    <row r="13" spans="1:19" ht="13" thickBot="1" x14ac:dyDescent="0.3">
      <c r="A13" s="195" t="s">
        <v>126</v>
      </c>
      <c r="B13" s="196"/>
      <c r="C13" s="197" t="s">
        <v>259</v>
      </c>
      <c r="D13" s="197" t="s">
        <v>260</v>
      </c>
      <c r="E13" s="197" t="s">
        <v>15</v>
      </c>
      <c r="F13" s="197" t="s">
        <v>16</v>
      </c>
      <c r="G13" s="197" t="s">
        <v>17</v>
      </c>
      <c r="H13" s="197" t="s">
        <v>18</v>
      </c>
      <c r="I13" s="197" t="s">
        <v>19</v>
      </c>
      <c r="J13" s="197" t="s">
        <v>20</v>
      </c>
      <c r="K13" s="197" t="s">
        <v>21</v>
      </c>
      <c r="L13" s="197" t="s">
        <v>22</v>
      </c>
      <c r="M13" s="197" t="s">
        <v>23</v>
      </c>
      <c r="N13" s="197" t="s">
        <v>24</v>
      </c>
      <c r="O13" s="197" t="s">
        <v>25</v>
      </c>
      <c r="P13" s="197" t="s">
        <v>26</v>
      </c>
      <c r="Q13" s="197" t="s">
        <v>117</v>
      </c>
    </row>
    <row r="14" spans="1:19" x14ac:dyDescent="0.25">
      <c r="A14" s="13">
        <v>1</v>
      </c>
      <c r="B14" s="23" t="s">
        <v>261</v>
      </c>
      <c r="C14" s="13"/>
    </row>
    <row r="15" spans="1:19" x14ac:dyDescent="0.25">
      <c r="A15" s="13"/>
      <c r="B15" s="23" t="s">
        <v>262</v>
      </c>
      <c r="C15" s="23" t="s">
        <v>263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ref="Q15:Q20" si="0">SUM(E15:P15)</f>
        <v>0</v>
      </c>
    </row>
    <row r="16" spans="1:19" x14ac:dyDescent="0.25">
      <c r="A16" s="13"/>
      <c r="B16" s="23" t="s">
        <v>264</v>
      </c>
      <c r="C16" s="23" t="s">
        <v>265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6384" x14ac:dyDescent="0.25">
      <c r="A17" s="13"/>
      <c r="B17" s="23" t="s">
        <v>266</v>
      </c>
      <c r="C17" s="23" t="s">
        <v>267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25118763.289999999</v>
      </c>
      <c r="O17" s="1">
        <v>0</v>
      </c>
      <c r="P17" s="1">
        <v>0</v>
      </c>
      <c r="Q17" s="1">
        <f t="shared" si="0"/>
        <v>25118763.289999999</v>
      </c>
    </row>
    <row r="18" spans="1:16384" x14ac:dyDescent="0.25">
      <c r="A18" s="13"/>
      <c r="B18" s="23" t="s">
        <v>268</v>
      </c>
      <c r="C18" s="23" t="s">
        <v>269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N17*-1*0</f>
        <v>0</v>
      </c>
      <c r="O18" s="1">
        <v>0</v>
      </c>
      <c r="P18" s="1">
        <v>0</v>
      </c>
      <c r="Q18" s="1">
        <f t="shared" si="0"/>
        <v>0</v>
      </c>
    </row>
    <row r="19" spans="1:16384" x14ac:dyDescent="0.25">
      <c r="A19" s="13"/>
      <c r="B19" s="23" t="s">
        <v>270</v>
      </c>
      <c r="C19" s="23" t="s">
        <v>312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6384" x14ac:dyDescent="0.25">
      <c r="A20" s="13"/>
      <c r="B20" s="23" t="s">
        <v>313</v>
      </c>
      <c r="C20" s="23" t="s">
        <v>314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-21928144.594516665</v>
      </c>
      <c r="O20" s="1">
        <v>0</v>
      </c>
      <c r="P20" s="1">
        <v>0</v>
      </c>
      <c r="Q20" s="1">
        <f t="shared" si="0"/>
        <v>-21928144.594516665</v>
      </c>
    </row>
    <row r="21" spans="1:16384" x14ac:dyDescent="0.25">
      <c r="A21" s="13">
        <v>2</v>
      </c>
      <c r="B21" s="23" t="s">
        <v>272</v>
      </c>
      <c r="C21" s="13"/>
      <c r="D21" s="1">
        <v>33657086.649999991</v>
      </c>
      <c r="E21" s="1">
        <f t="shared" ref="E21:L21" si="1">D21+E16-E17</f>
        <v>33657086.649999991</v>
      </c>
      <c r="F21" s="1">
        <f t="shared" si="1"/>
        <v>33657086.649999991</v>
      </c>
      <c r="G21" s="1">
        <f>F21+G16-G17</f>
        <v>33657086.649999991</v>
      </c>
      <c r="H21" s="1">
        <f>G21+H16-H17</f>
        <v>33657086.649999991</v>
      </c>
      <c r="I21" s="1">
        <f t="shared" si="1"/>
        <v>33657086.649999991</v>
      </c>
      <c r="J21" s="1">
        <f t="shared" si="1"/>
        <v>33657086.649999991</v>
      </c>
      <c r="K21" s="1">
        <f t="shared" si="1"/>
        <v>33657086.649999991</v>
      </c>
      <c r="L21" s="1">
        <f t="shared" si="1"/>
        <v>33657086.649999991</v>
      </c>
      <c r="M21" s="1">
        <f>L21+M16-M17</f>
        <v>33657086.649999991</v>
      </c>
      <c r="N21" s="1">
        <f>M21+N16-N17</f>
        <v>8538323.359999992</v>
      </c>
      <c r="O21" s="1">
        <f>N21+O16-O17</f>
        <v>8538323.359999992</v>
      </c>
      <c r="P21" s="1">
        <f>O21+P16-P17</f>
        <v>8538323.359999992</v>
      </c>
      <c r="T21" s="1">
        <f>SUM(U21:AF21)</f>
        <v>0</v>
      </c>
      <c r="U21" s="1">
        <v>0</v>
      </c>
      <c r="V21" s="1">
        <f>SUM(W21:AH21)</f>
        <v>0</v>
      </c>
      <c r="W21" s="1">
        <v>0</v>
      </c>
      <c r="X21" s="1">
        <f>SUM(Y21:AJ21)</f>
        <v>0</v>
      </c>
      <c r="Y21" s="1">
        <v>0</v>
      </c>
      <c r="Z21" s="1">
        <f>SUM(AA21:AL21)</f>
        <v>0</v>
      </c>
      <c r="AA21" s="1">
        <v>0</v>
      </c>
      <c r="AB21" s="1">
        <f>SUM(AC21:AN21)</f>
        <v>0</v>
      </c>
      <c r="AC21" s="1">
        <v>0</v>
      </c>
      <c r="AD21" s="1">
        <f>SUM(AE21:AP21)</f>
        <v>0</v>
      </c>
      <c r="AE21" s="1">
        <v>0</v>
      </c>
      <c r="AF21" s="1">
        <f>SUM(AG21:AR21)</f>
        <v>0</v>
      </c>
    </row>
    <row r="22" spans="1:16384" x14ac:dyDescent="0.25">
      <c r="A22" s="13">
        <v>3</v>
      </c>
      <c r="B22" s="23" t="s">
        <v>273</v>
      </c>
      <c r="C22" s="13"/>
      <c r="D22" s="21">
        <v>1086224.7826521543</v>
      </c>
      <c r="E22" s="1">
        <f t="shared" ref="E22:L22" si="2">D22-E34-E35-E36+E17+E18-E19</f>
        <v>974034.49494072387</v>
      </c>
      <c r="F22" s="1">
        <f t="shared" si="2"/>
        <v>861844.20722929342</v>
      </c>
      <c r="G22" s="1">
        <f t="shared" si="2"/>
        <v>749653.91951786296</v>
      </c>
      <c r="H22" s="1">
        <f t="shared" si="2"/>
        <v>637463.6318064325</v>
      </c>
      <c r="I22" s="1">
        <f t="shared" si="2"/>
        <v>525273.34409500204</v>
      </c>
      <c r="J22" s="1">
        <f t="shared" si="2"/>
        <v>413083.05638357165</v>
      </c>
      <c r="K22" s="1">
        <f t="shared" si="2"/>
        <v>300892.76867214125</v>
      </c>
      <c r="L22" s="1">
        <f t="shared" si="2"/>
        <v>188702.48096071085</v>
      </c>
      <c r="M22" s="1">
        <f>L22-M34-M35-M36+M17+M18-M19</f>
        <v>76512.193249280434</v>
      </c>
      <c r="N22" s="1">
        <f>M22-N34-N35-N36+N17+N18-N19+N20</f>
        <v>3196805.2060858719</v>
      </c>
      <c r="O22" s="1">
        <f>N22-O34-O35-O36+O17+O18-O19</f>
        <v>3168344.1285038162</v>
      </c>
      <c r="P22" s="1">
        <f>O22-P34-P35-P36+P17+P18-P19</f>
        <v>3139883.0509217605</v>
      </c>
      <c r="T22" s="1">
        <f>SUM(U22:AF22)</f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16384" x14ac:dyDescent="0.25">
      <c r="A23" s="13" t="s">
        <v>315</v>
      </c>
      <c r="B23" s="23" t="s">
        <v>316</v>
      </c>
      <c r="C23" s="13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21928144.594516665</v>
      </c>
      <c r="O23" s="1">
        <f>N23</f>
        <v>21928144.594516665</v>
      </c>
      <c r="P23" s="1">
        <f>O23</f>
        <v>21928144.594516665</v>
      </c>
      <c r="Q23" s="213"/>
      <c r="R23" s="213"/>
      <c r="S23" s="213"/>
      <c r="T23" s="1">
        <f>SUM(U23:AF23)</f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  <c r="XDV23" s="213"/>
      <c r="XDW23" s="213"/>
      <c r="XDX23" s="213"/>
      <c r="XDY23" s="213"/>
      <c r="XDZ23" s="213"/>
      <c r="XEA23" s="213"/>
      <c r="XEB23" s="213"/>
      <c r="XEC23" s="213"/>
      <c r="XED23" s="213"/>
      <c r="XEE23" s="213"/>
      <c r="XEF23" s="213"/>
      <c r="XEG23" s="213"/>
      <c r="XEH23" s="213"/>
      <c r="XEI23" s="213"/>
      <c r="XEJ23" s="213"/>
      <c r="XEK23" s="213"/>
      <c r="XEL23" s="213"/>
      <c r="XEM23" s="213"/>
      <c r="XEN23" s="213"/>
      <c r="XEO23" s="213"/>
      <c r="XEP23" s="213"/>
      <c r="XEQ23" s="213"/>
      <c r="XER23" s="213"/>
      <c r="XES23" s="213"/>
      <c r="XET23" s="213"/>
      <c r="XEU23" s="213"/>
      <c r="XEV23" s="213"/>
      <c r="XEW23" s="213"/>
      <c r="XEX23" s="213"/>
      <c r="XEY23" s="213"/>
      <c r="XEZ23" s="213"/>
      <c r="XFA23" s="213"/>
      <c r="XFB23" s="213"/>
      <c r="XFC23" s="213"/>
      <c r="XFD23" s="213"/>
    </row>
    <row r="24" spans="1:16384" x14ac:dyDescent="0.25">
      <c r="A24" s="13">
        <v>4</v>
      </c>
      <c r="B24" s="23" t="s">
        <v>274</v>
      </c>
      <c r="C24" s="13"/>
      <c r="D24" s="199">
        <v>0</v>
      </c>
      <c r="E24" s="199">
        <f t="shared" ref="E24:P24" si="3">D24+E15-E16</f>
        <v>0</v>
      </c>
      <c r="F24" s="199">
        <f t="shared" si="3"/>
        <v>0</v>
      </c>
      <c r="G24" s="199">
        <f t="shared" si="3"/>
        <v>0</v>
      </c>
      <c r="H24" s="199">
        <f t="shared" si="3"/>
        <v>0</v>
      </c>
      <c r="I24" s="199">
        <f t="shared" si="3"/>
        <v>0</v>
      </c>
      <c r="J24" s="199">
        <f t="shared" si="3"/>
        <v>0</v>
      </c>
      <c r="K24" s="199">
        <f t="shared" si="3"/>
        <v>0</v>
      </c>
      <c r="L24" s="199">
        <f t="shared" si="3"/>
        <v>0</v>
      </c>
      <c r="M24" s="199">
        <f t="shared" si="3"/>
        <v>0</v>
      </c>
      <c r="N24" s="199">
        <f t="shared" si="3"/>
        <v>0</v>
      </c>
      <c r="O24" s="199">
        <f t="shared" si="3"/>
        <v>0</v>
      </c>
      <c r="P24" s="199">
        <f t="shared" si="3"/>
        <v>0</v>
      </c>
    </row>
    <row r="25" spans="1:16384" x14ac:dyDescent="0.25">
      <c r="A25" s="13">
        <v>5</v>
      </c>
      <c r="B25" s="23" t="s">
        <v>275</v>
      </c>
      <c r="C25" s="13"/>
      <c r="D25" s="199">
        <f>SUM(D21:D24)</f>
        <v>34743311.432652146</v>
      </c>
      <c r="E25" s="199">
        <f>ROUND(SUM(E21:E24),2)</f>
        <v>34631121.140000001</v>
      </c>
      <c r="F25" s="199">
        <f>ROUND(SUM(F21:F24),2)</f>
        <v>34518930.859999999</v>
      </c>
      <c r="G25" s="199">
        <f t="shared" ref="G25:P25" si="4">SUM(G21:G24)</f>
        <v>34406740.569517851</v>
      </c>
      <c r="H25" s="199">
        <f t="shared" si="4"/>
        <v>34294550.281806424</v>
      </c>
      <c r="I25" s="199">
        <f t="shared" si="4"/>
        <v>34182359.99409499</v>
      </c>
      <c r="J25" s="199">
        <f t="shared" si="4"/>
        <v>34070169.706383564</v>
      </c>
      <c r="K25" s="199">
        <f t="shared" si="4"/>
        <v>33957979.41867213</v>
      </c>
      <c r="L25" s="199">
        <f t="shared" si="4"/>
        <v>33845789.130960703</v>
      </c>
      <c r="M25" s="199">
        <f t="shared" si="4"/>
        <v>33733598.843249269</v>
      </c>
      <c r="N25" s="199">
        <f>SUM(N21:N24)</f>
        <v>33663273.160602525</v>
      </c>
      <c r="O25" s="199">
        <f>SUM(O21:O24)</f>
        <v>33634812.083020471</v>
      </c>
      <c r="P25" s="199">
        <f t="shared" si="4"/>
        <v>33606351.005438417</v>
      </c>
    </row>
    <row r="26" spans="1:16384" x14ac:dyDescent="0.25">
      <c r="A26" s="13"/>
      <c r="B26" s="23"/>
    </row>
    <row r="27" spans="1:16384" x14ac:dyDescent="0.25">
      <c r="A27" s="13">
        <v>6</v>
      </c>
      <c r="B27" s="23" t="s">
        <v>276</v>
      </c>
      <c r="C27" s="23"/>
      <c r="E27" s="1">
        <f>(D25+E25)/2</f>
        <v>34687216.286326073</v>
      </c>
      <c r="F27" s="1">
        <f t="shared" ref="F27:P27" si="5">(E25+F25)/2</f>
        <v>34575026</v>
      </c>
      <c r="G27" s="1">
        <f t="shared" si="5"/>
        <v>34462835.714758925</v>
      </c>
      <c r="H27" s="1">
        <f t="shared" si="5"/>
        <v>34350645.425662138</v>
      </c>
      <c r="I27" s="1">
        <f t="shared" si="5"/>
        <v>34238455.137950704</v>
      </c>
      <c r="J27" s="1">
        <f t="shared" si="5"/>
        <v>34126264.850239277</v>
      </c>
      <c r="K27" s="1">
        <f t="shared" si="5"/>
        <v>34014074.56252785</v>
      </c>
      <c r="L27" s="1">
        <f t="shared" si="5"/>
        <v>33901884.274816416</v>
      </c>
      <c r="M27" s="1">
        <f t="shared" si="5"/>
        <v>33789693.987104982</v>
      </c>
      <c r="N27" s="1">
        <f t="shared" si="5"/>
        <v>33698436.001925901</v>
      </c>
      <c r="O27" s="1">
        <f t="shared" si="5"/>
        <v>33649042.621811494</v>
      </c>
      <c r="P27" s="1">
        <f t="shared" si="5"/>
        <v>33620581.544229448</v>
      </c>
    </row>
    <row r="28" spans="1:16384" x14ac:dyDescent="0.25">
      <c r="A28" s="200"/>
      <c r="B28" s="20"/>
    </row>
    <row r="29" spans="1:16384" x14ac:dyDescent="0.25">
      <c r="A29" s="13">
        <v>7</v>
      </c>
      <c r="B29" s="23" t="s">
        <v>277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6384" x14ac:dyDescent="0.25">
      <c r="A30" s="200"/>
      <c r="B30" s="23" t="s">
        <v>262</v>
      </c>
      <c r="C30" s="23" t="s">
        <v>278</v>
      </c>
      <c r="E30" s="1">
        <v>159699.94378224522</v>
      </c>
      <c r="F30" s="1">
        <v>159183.419704</v>
      </c>
      <c r="G30" s="1">
        <v>158666.89563075008</v>
      </c>
      <c r="H30" s="1">
        <v>158150.37153974848</v>
      </c>
      <c r="I30" s="1">
        <v>157633.84745512501</v>
      </c>
      <c r="J30" s="1">
        <v>157117.3233705016</v>
      </c>
      <c r="K30" s="1">
        <v>162893.40307994586</v>
      </c>
      <c r="L30" s="1">
        <v>162356.12379209581</v>
      </c>
      <c r="M30" s="1">
        <v>161818.84450424576</v>
      </c>
      <c r="N30" s="1">
        <v>161381.81001322312</v>
      </c>
      <c r="O30" s="1">
        <v>161145.26511585523</v>
      </c>
      <c r="P30" s="1">
        <v>161008.96501531481</v>
      </c>
      <c r="Q30" s="1">
        <f>ROUND(SUM(E30:P30),2)</f>
        <v>1921056.21</v>
      </c>
    </row>
    <row r="31" spans="1:16384" x14ac:dyDescent="0.25">
      <c r="A31" s="200"/>
      <c r="B31" s="23" t="s">
        <v>264</v>
      </c>
      <c r="C31" s="23" t="s">
        <v>279</v>
      </c>
      <c r="E31" s="1">
        <v>40306.545324710896</v>
      </c>
      <c r="F31" s="1">
        <v>40176.180211999999</v>
      </c>
      <c r="G31" s="1">
        <v>40045.815100549873</v>
      </c>
      <c r="H31" s="1">
        <v>39915.449984619408</v>
      </c>
      <c r="I31" s="1">
        <v>39785.08487029872</v>
      </c>
      <c r="J31" s="1">
        <v>39654.71975597804</v>
      </c>
      <c r="K31" s="1">
        <v>35680.764216091717</v>
      </c>
      <c r="L31" s="1">
        <v>35563.076604282418</v>
      </c>
      <c r="M31" s="1">
        <v>35445.388992473127</v>
      </c>
      <c r="N31" s="1">
        <v>35349.659366020271</v>
      </c>
      <c r="O31" s="1">
        <v>35297.845710280257</v>
      </c>
      <c r="P31" s="1">
        <v>35267.990039896693</v>
      </c>
      <c r="Q31" s="1">
        <f>ROUND(SUM(E31:P31),2)</f>
        <v>452488.52</v>
      </c>
    </row>
    <row r="32" spans="1:16384" x14ac:dyDescent="0.25">
      <c r="A32" s="200"/>
      <c r="B32" s="2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7" x14ac:dyDescent="0.25">
      <c r="A33" s="13">
        <v>8</v>
      </c>
      <c r="B33" s="23" t="s">
        <v>280</v>
      </c>
    </row>
    <row r="34" spans="1:17" x14ac:dyDescent="0.25">
      <c r="A34" s="200"/>
      <c r="B34" s="23" t="s">
        <v>262</v>
      </c>
      <c r="C34" s="23" t="s">
        <v>281</v>
      </c>
      <c r="D34" s="21"/>
      <c r="E34" s="1">
        <v>112190.28771143041</v>
      </c>
      <c r="F34" s="1">
        <v>112190.28771143041</v>
      </c>
      <c r="G34" s="1">
        <v>112190.28771143041</v>
      </c>
      <c r="H34" s="1">
        <v>112190.28771143041</v>
      </c>
      <c r="I34" s="1">
        <v>112190.28771143041</v>
      </c>
      <c r="J34" s="1">
        <v>112190.28771143041</v>
      </c>
      <c r="K34" s="1">
        <v>112190.28771143041</v>
      </c>
      <c r="L34" s="1">
        <v>112190.28771143041</v>
      </c>
      <c r="M34" s="1">
        <v>112190.28771143041</v>
      </c>
      <c r="N34" s="1">
        <v>70325.682646743138</v>
      </c>
      <c r="O34" s="1">
        <v>28461.077582055863</v>
      </c>
      <c r="P34" s="1">
        <v>28461.077582055863</v>
      </c>
      <c r="Q34" s="1">
        <f>ROUND(SUM(E34:P34),2)</f>
        <v>1136960.43</v>
      </c>
    </row>
    <row r="35" spans="1:17" x14ac:dyDescent="0.25">
      <c r="A35" s="200"/>
      <c r="B35" s="23" t="s">
        <v>264</v>
      </c>
      <c r="C35" s="23" t="s">
        <v>282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ROUND(SUM(E35:P35),2)</f>
        <v>0</v>
      </c>
    </row>
    <row r="36" spans="1:17" x14ac:dyDescent="0.25">
      <c r="A36" s="200"/>
      <c r="B36" s="23" t="s">
        <v>266</v>
      </c>
      <c r="C36" s="23" t="s">
        <v>283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>ROUND(SUM(E36:P36),2)</f>
        <v>0</v>
      </c>
    </row>
    <row r="37" spans="1:17" x14ac:dyDescent="0.25">
      <c r="A37" s="200"/>
      <c r="B37" s="23" t="s">
        <v>268</v>
      </c>
      <c r="C37" s="23" t="s">
        <v>284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ROUND(SUM(E37:P37),2)</f>
        <v>0</v>
      </c>
    </row>
    <row r="38" spans="1:17" x14ac:dyDescent="0.25">
      <c r="A38" s="200"/>
      <c r="B38" s="23" t="s">
        <v>270</v>
      </c>
      <c r="C38" s="23" t="s">
        <v>285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f>SUM(E38:P38)</f>
        <v>0</v>
      </c>
    </row>
    <row r="39" spans="1:17" x14ac:dyDescent="0.25">
      <c r="A39" s="200"/>
      <c r="B39" s="20"/>
      <c r="C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x14ac:dyDescent="0.25">
      <c r="A40" s="13">
        <v>9</v>
      </c>
      <c r="B40" s="23" t="s">
        <v>286</v>
      </c>
      <c r="E40" s="1">
        <f>SUM(E30:E38)</f>
        <v>312196.77681838651</v>
      </c>
      <c r="F40" s="1">
        <f t="shared" ref="F40:P40" si="6">SUM(F30:F38)</f>
        <v>311549.88762743043</v>
      </c>
      <c r="G40" s="1">
        <f>SUM(G30:G38)</f>
        <v>310902.99844273034</v>
      </c>
      <c r="H40" s="1">
        <f>SUM(H30:H38)</f>
        <v>310256.1092357983</v>
      </c>
      <c r="I40" s="1">
        <f t="shared" si="6"/>
        <v>309609.22003685415</v>
      </c>
      <c r="J40" s="1">
        <f t="shared" si="6"/>
        <v>308962.33083791006</v>
      </c>
      <c r="K40" s="1">
        <f t="shared" si="6"/>
        <v>310764.455007468</v>
      </c>
      <c r="L40" s="1">
        <f>SUM(L30:L38)</f>
        <v>310109.48810780863</v>
      </c>
      <c r="M40" s="1">
        <f>SUM(M30:M38)</f>
        <v>309454.52120814932</v>
      </c>
      <c r="N40" s="1">
        <f t="shared" si="6"/>
        <v>267057.15202598652</v>
      </c>
      <c r="O40" s="1">
        <f t="shared" si="6"/>
        <v>224904.18840819137</v>
      </c>
      <c r="P40" s="1">
        <f t="shared" si="6"/>
        <v>224738.03263726737</v>
      </c>
      <c r="Q40" s="1">
        <f>SUM(E40:P40)</f>
        <v>3510505.1603939813</v>
      </c>
    </row>
    <row r="41" spans="1:17" x14ac:dyDescent="0.25">
      <c r="A41" s="200"/>
      <c r="B41" s="23" t="s">
        <v>262</v>
      </c>
      <c r="C41" s="23" t="s">
        <v>160</v>
      </c>
      <c r="E41" s="1">
        <f>E40*1/13</f>
        <v>24015.136678337425</v>
      </c>
      <c r="F41" s="1">
        <f t="shared" ref="F41:P41" si="7">F40*1/13</f>
        <v>23965.375971340804</v>
      </c>
      <c r="G41" s="1">
        <f t="shared" si="7"/>
        <v>23915.61526482541</v>
      </c>
      <c r="H41" s="1">
        <f t="shared" si="7"/>
        <v>23865.854556599868</v>
      </c>
      <c r="I41" s="1">
        <f t="shared" si="7"/>
        <v>23816.093848988781</v>
      </c>
      <c r="J41" s="1">
        <f t="shared" si="7"/>
        <v>23766.333141377698</v>
      </c>
      <c r="K41" s="1">
        <f t="shared" si="7"/>
        <v>23904.95807749754</v>
      </c>
      <c r="L41" s="1">
        <f t="shared" si="7"/>
        <v>23854.57600829297</v>
      </c>
      <c r="M41" s="1">
        <f t="shared" si="7"/>
        <v>23804.193939088411</v>
      </c>
      <c r="N41" s="1">
        <f t="shared" si="7"/>
        <v>20542.857848152809</v>
      </c>
      <c r="O41" s="1">
        <f t="shared" si="7"/>
        <v>17300.322185245492</v>
      </c>
      <c r="P41" s="1">
        <f t="shared" si="7"/>
        <v>17287.540972097489</v>
      </c>
      <c r="Q41" s="1">
        <f>SUM(E41:P41)</f>
        <v>270038.85849184467</v>
      </c>
    </row>
    <row r="42" spans="1:17" x14ac:dyDescent="0.25">
      <c r="A42" s="200"/>
      <c r="B42" s="23" t="s">
        <v>264</v>
      </c>
      <c r="C42" s="23" t="s">
        <v>161</v>
      </c>
      <c r="E42" s="1">
        <f t="shared" ref="E42:P42" si="8">E40-E41</f>
        <v>288181.6401400491</v>
      </c>
      <c r="F42" s="1">
        <f t="shared" si="8"/>
        <v>287584.51165608963</v>
      </c>
      <c r="G42" s="1">
        <f t="shared" si="8"/>
        <v>286987.38317790494</v>
      </c>
      <c r="H42" s="1">
        <f t="shared" si="8"/>
        <v>286390.25467919844</v>
      </c>
      <c r="I42" s="1">
        <f t="shared" si="8"/>
        <v>285793.12618786539</v>
      </c>
      <c r="J42" s="1">
        <f t="shared" si="8"/>
        <v>285195.99769653234</v>
      </c>
      <c r="K42" s="1">
        <f t="shared" si="8"/>
        <v>286859.49692997045</v>
      </c>
      <c r="L42" s="1">
        <f t="shared" si="8"/>
        <v>286254.91209951567</v>
      </c>
      <c r="M42" s="1">
        <f t="shared" si="8"/>
        <v>285650.32726906089</v>
      </c>
      <c r="N42" s="1">
        <f t="shared" si="8"/>
        <v>246514.29417783371</v>
      </c>
      <c r="O42" s="1">
        <f t="shared" si="8"/>
        <v>207603.86622294589</v>
      </c>
      <c r="P42" s="1">
        <f t="shared" si="8"/>
        <v>207450.49166516989</v>
      </c>
      <c r="Q42" s="1">
        <f>SUM(E42:P42)</f>
        <v>3240466.3019021363</v>
      </c>
    </row>
    <row r="43" spans="1:17" x14ac:dyDescent="0.25">
      <c r="A43" s="200"/>
      <c r="B43" s="20"/>
      <c r="C43" s="202"/>
    </row>
    <row r="44" spans="1:17" x14ac:dyDescent="0.25">
      <c r="A44" s="13">
        <v>10</v>
      </c>
      <c r="B44" s="23" t="s">
        <v>287</v>
      </c>
      <c r="E44" s="203">
        <v>1</v>
      </c>
      <c r="F44" s="203">
        <v>1</v>
      </c>
      <c r="G44" s="203">
        <v>1</v>
      </c>
      <c r="H44" s="203">
        <v>1</v>
      </c>
      <c r="I44" s="203">
        <v>1</v>
      </c>
      <c r="J44" s="203">
        <v>1</v>
      </c>
      <c r="K44" s="203">
        <v>1</v>
      </c>
      <c r="L44" s="203">
        <v>1</v>
      </c>
      <c r="M44" s="203">
        <v>1</v>
      </c>
      <c r="N44" s="203">
        <v>1</v>
      </c>
      <c r="O44" s="203">
        <v>1</v>
      </c>
      <c r="P44" s="203">
        <v>1</v>
      </c>
    </row>
    <row r="45" spans="1:17" x14ac:dyDescent="0.25">
      <c r="A45" s="13">
        <v>11</v>
      </c>
      <c r="B45" s="23" t="s">
        <v>288</v>
      </c>
      <c r="E45" s="203">
        <v>0.9723427</v>
      </c>
      <c r="F45" s="203">
        <v>0.9723427</v>
      </c>
      <c r="G45" s="203">
        <v>0.9723427</v>
      </c>
      <c r="H45" s="203">
        <v>0.9723427</v>
      </c>
      <c r="I45" s="203">
        <v>0.9723427</v>
      </c>
      <c r="J45" s="203">
        <v>0.9723427</v>
      </c>
      <c r="K45" s="203">
        <v>0.9723427</v>
      </c>
      <c r="L45" s="203">
        <v>0.9723427</v>
      </c>
      <c r="M45" s="203">
        <v>0.9723427</v>
      </c>
      <c r="N45" s="203">
        <v>0.9723427</v>
      </c>
      <c r="O45" s="203">
        <v>0.9723427</v>
      </c>
      <c r="P45" s="203">
        <v>0.9723427</v>
      </c>
    </row>
    <row r="46" spans="1:17" x14ac:dyDescent="0.25">
      <c r="A46" s="13"/>
      <c r="B46" s="23"/>
      <c r="C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7" x14ac:dyDescent="0.25">
      <c r="A47" s="13">
        <v>12</v>
      </c>
      <c r="B47" s="23" t="s">
        <v>289</v>
      </c>
      <c r="E47" s="1">
        <v>24043.954842351432</v>
      </c>
      <c r="F47" s="1">
        <v>23994.134422506413</v>
      </c>
      <c r="G47" s="1">
        <v>23944.314003143201</v>
      </c>
      <c r="H47" s="1">
        <v>23894.493582067789</v>
      </c>
      <c r="I47" s="1">
        <v>23844.67316160757</v>
      </c>
      <c r="J47" s="1">
        <v>23794.852741147351</v>
      </c>
      <c r="K47" s="1">
        <v>23933.644027190538</v>
      </c>
      <c r="L47" s="1">
        <v>23883.201499502924</v>
      </c>
      <c r="M47" s="1">
        <v>23832.758971815318</v>
      </c>
      <c r="N47" s="1">
        <v>20567.509277570596</v>
      </c>
      <c r="O47" s="1">
        <v>17321.082571867788</v>
      </c>
      <c r="P47" s="1">
        <v>17308.286021264008</v>
      </c>
      <c r="Q47" s="1">
        <f>ROUND(SUM(E47:P47),2)</f>
        <v>270362.90999999997</v>
      </c>
    </row>
    <row r="48" spans="1:17" x14ac:dyDescent="0.25">
      <c r="A48" s="13">
        <v>13</v>
      </c>
      <c r="B48" s="23" t="s">
        <v>290</v>
      </c>
      <c r="E48" s="199">
        <f>E42*E45</f>
        <v>280211.3140642037</v>
      </c>
      <c r="F48" s="199">
        <f t="shared" ref="F48:P48" si="9">F42*F45</f>
        <v>279630.70054186368</v>
      </c>
      <c r="G48" s="199">
        <f t="shared" si="9"/>
        <v>279050.08702513867</v>
      </c>
      <c r="H48" s="199">
        <f t="shared" si="9"/>
        <v>278469.47348845942</v>
      </c>
      <c r="I48" s="199">
        <f t="shared" si="9"/>
        <v>277888.85995894973</v>
      </c>
      <c r="J48" s="199">
        <f t="shared" si="9"/>
        <v>277308.24642944004</v>
      </c>
      <c r="K48" s="199">
        <f t="shared" si="9"/>
        <v>278925.73776552919</v>
      </c>
      <c r="L48" s="199">
        <f t="shared" si="9"/>
        <v>278337.87411910575</v>
      </c>
      <c r="M48" s="199">
        <f t="shared" si="9"/>
        <v>277750.0104726823</v>
      </c>
      <c r="N48" s="199">
        <f t="shared" si="9"/>
        <v>239696.3743894691</v>
      </c>
      <c r="O48" s="199">
        <f t="shared" si="9"/>
        <v>201862.103813658</v>
      </c>
      <c r="P48" s="199">
        <f t="shared" si="9"/>
        <v>201712.97118203877</v>
      </c>
      <c r="Q48" s="199">
        <f>SUM(E48:P48)</f>
        <v>3150843.7532505384</v>
      </c>
    </row>
    <row r="49" spans="1:17" ht="13" thickBot="1" x14ac:dyDescent="0.3">
      <c r="A49" s="13">
        <v>14</v>
      </c>
      <c r="B49" s="23" t="s">
        <v>291</v>
      </c>
      <c r="E49" s="204">
        <f t="shared" ref="E49:P49" si="10">ROUND(+E47+E48,2)</f>
        <v>304255.27</v>
      </c>
      <c r="F49" s="204">
        <f t="shared" si="10"/>
        <v>303624.83</v>
      </c>
      <c r="G49" s="204">
        <f t="shared" si="10"/>
        <v>302994.40000000002</v>
      </c>
      <c r="H49" s="204">
        <f t="shared" si="10"/>
        <v>302363.96999999997</v>
      </c>
      <c r="I49" s="204">
        <f t="shared" si="10"/>
        <v>301733.53000000003</v>
      </c>
      <c r="J49" s="204">
        <f t="shared" si="10"/>
        <v>301103.09999999998</v>
      </c>
      <c r="K49" s="204">
        <f t="shared" si="10"/>
        <v>302859.38</v>
      </c>
      <c r="L49" s="204">
        <f t="shared" si="10"/>
        <v>302221.08</v>
      </c>
      <c r="M49" s="204">
        <f t="shared" si="10"/>
        <v>301582.77</v>
      </c>
      <c r="N49" s="204">
        <f t="shared" si="10"/>
        <v>260263.88</v>
      </c>
      <c r="O49" s="204">
        <f t="shared" si="10"/>
        <v>219183.19</v>
      </c>
      <c r="P49" s="204">
        <f t="shared" si="10"/>
        <v>219021.26</v>
      </c>
      <c r="Q49" s="204">
        <f>Q47+Q48</f>
        <v>3421206.6632505385</v>
      </c>
    </row>
    <row r="50" spans="1:17" ht="13" thickTop="1" x14ac:dyDescent="0.25">
      <c r="A50" s="200"/>
      <c r="B50" s="20"/>
    </row>
    <row r="51" spans="1:17" x14ac:dyDescent="0.25">
      <c r="A51" s="210" t="s">
        <v>76</v>
      </c>
      <c r="B51" s="23"/>
    </row>
    <row r="52" spans="1:17" x14ac:dyDescent="0.25">
      <c r="A52" s="23" t="s">
        <v>168</v>
      </c>
      <c r="B52" s="23" t="s">
        <v>292</v>
      </c>
    </row>
    <row r="53" spans="1:17" x14ac:dyDescent="0.25">
      <c r="A53" s="23" t="s">
        <v>170</v>
      </c>
      <c r="B53" s="23" t="s">
        <v>293</v>
      </c>
    </row>
    <row r="54" spans="1:17" x14ac:dyDescent="0.25">
      <c r="A54" s="23" t="s">
        <v>255</v>
      </c>
      <c r="B54" s="23" t="s">
        <v>294</v>
      </c>
    </row>
    <row r="55" spans="1:17" x14ac:dyDescent="0.25">
      <c r="A55" s="23" t="s">
        <v>295</v>
      </c>
      <c r="B55" s="23" t="s">
        <v>296</v>
      </c>
    </row>
    <row r="56" spans="1:17" x14ac:dyDescent="0.25">
      <c r="A56" s="23" t="s">
        <v>297</v>
      </c>
      <c r="B56" s="11" t="s">
        <v>298</v>
      </c>
    </row>
    <row r="57" spans="1:17" x14ac:dyDescent="0.25">
      <c r="A57" s="23" t="s">
        <v>299</v>
      </c>
      <c r="B57" s="23" t="s">
        <v>300</v>
      </c>
    </row>
    <row r="58" spans="1:17" x14ac:dyDescent="0.25">
      <c r="A58" s="23" t="s">
        <v>301</v>
      </c>
      <c r="B58" s="23" t="s">
        <v>302</v>
      </c>
    </row>
    <row r="59" spans="1:17" x14ac:dyDescent="0.25">
      <c r="A59" s="23" t="s">
        <v>303</v>
      </c>
      <c r="B59" s="23" t="s">
        <v>304</v>
      </c>
    </row>
    <row r="60" spans="1:17" x14ac:dyDescent="0.25">
      <c r="A60" s="23" t="s">
        <v>305</v>
      </c>
      <c r="B60" s="23" t="s">
        <v>306</v>
      </c>
    </row>
    <row r="61" spans="1:17" x14ac:dyDescent="0.25">
      <c r="A61" s="11" t="s">
        <v>307</v>
      </c>
      <c r="B61" s="23" t="s">
        <v>308</v>
      </c>
    </row>
    <row r="62" spans="1:17" x14ac:dyDescent="0.25">
      <c r="A62" s="11" t="s">
        <v>309</v>
      </c>
      <c r="B62" s="23" t="s">
        <v>310</v>
      </c>
    </row>
    <row r="63" spans="1:17" x14ac:dyDescent="0.25">
      <c r="A63" s="23"/>
      <c r="B63" s="23"/>
    </row>
    <row r="64" spans="1:17" x14ac:dyDescent="0.25">
      <c r="A64" s="23"/>
      <c r="B64" s="23"/>
    </row>
    <row r="65" spans="1:9" x14ac:dyDescent="0.25">
      <c r="A65" s="23"/>
      <c r="B65" s="23"/>
    </row>
    <row r="66" spans="1:9" x14ac:dyDescent="0.25">
      <c r="A66" s="23"/>
      <c r="B66" s="23"/>
    </row>
    <row r="67" spans="1:9" x14ac:dyDescent="0.25">
      <c r="A67" s="23"/>
      <c r="B67" s="23"/>
    </row>
    <row r="68" spans="1:9" x14ac:dyDescent="0.25">
      <c r="A68" s="23"/>
      <c r="B68" s="23"/>
    </row>
    <row r="69" spans="1:9" x14ac:dyDescent="0.25">
      <c r="A69" s="23"/>
      <c r="B69" s="23"/>
    </row>
    <row r="70" spans="1:9" x14ac:dyDescent="0.25">
      <c r="A70" s="23"/>
      <c r="B70" s="23"/>
    </row>
    <row r="71" spans="1:9" ht="13" x14ac:dyDescent="0.3">
      <c r="B71" s="214"/>
      <c r="C71" s="13"/>
      <c r="D71" s="13"/>
      <c r="E71" s="13"/>
      <c r="F71" s="13"/>
      <c r="G71" s="13"/>
      <c r="H71" s="214"/>
      <c r="I71" s="13"/>
    </row>
    <row r="72" spans="1:9" x14ac:dyDescent="0.25"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B73" s="13"/>
      <c r="C73" s="13"/>
      <c r="D73" s="13"/>
      <c r="E73" s="13"/>
      <c r="F73" s="13"/>
      <c r="G73" s="13"/>
      <c r="H73" s="13"/>
      <c r="I73" s="13"/>
    </row>
    <row r="74" spans="1:9" ht="13" x14ac:dyDescent="0.3">
      <c r="B74" s="215"/>
      <c r="C74" s="13"/>
      <c r="D74" s="13"/>
      <c r="E74" s="13"/>
      <c r="F74" s="13"/>
      <c r="G74" s="13"/>
      <c r="H74" s="215"/>
      <c r="I74" s="13"/>
    </row>
    <row r="75" spans="1:9" x14ac:dyDescent="0.25"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B76" s="13"/>
      <c r="C76" s="13"/>
      <c r="D76" s="13"/>
      <c r="E76" s="13"/>
      <c r="F76" s="13"/>
      <c r="G76" s="13"/>
      <c r="H76" s="13"/>
      <c r="I76" s="13"/>
    </row>
    <row r="77" spans="1:9" x14ac:dyDescent="0.25">
      <c r="B77" s="13"/>
      <c r="C77" s="13"/>
      <c r="F77" s="13"/>
      <c r="G77" s="13"/>
      <c r="H77" s="13"/>
      <c r="I77" s="23"/>
    </row>
    <row r="78" spans="1:9" x14ac:dyDescent="0.25">
      <c r="B78" s="200"/>
      <c r="C78" s="13"/>
      <c r="D78" s="13"/>
      <c r="E78" s="13"/>
      <c r="F78" s="13"/>
      <c r="G78" s="13"/>
      <c r="H78" s="13"/>
      <c r="I78" s="13"/>
    </row>
    <row r="79" spans="1:9" x14ac:dyDescent="0.25"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200"/>
      <c r="B80" s="200"/>
      <c r="C80" s="13"/>
      <c r="D80" s="13"/>
      <c r="E80" s="13"/>
      <c r="F80" s="13"/>
      <c r="G80" s="13"/>
      <c r="H80" s="13"/>
      <c r="I80" s="13"/>
    </row>
    <row r="81" spans="1:17" x14ac:dyDescent="0.2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5">
      <c r="A82" s="5"/>
      <c r="B82" s="5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5">
      <c r="A83" s="13"/>
      <c r="B83" s="23"/>
      <c r="C83" s="23"/>
    </row>
    <row r="84" spans="1:17" x14ac:dyDescent="0.25">
      <c r="A84" s="13"/>
      <c r="B84" s="23"/>
      <c r="C84" s="23"/>
    </row>
    <row r="85" spans="1:17" x14ac:dyDescent="0.25">
      <c r="A85" s="13"/>
      <c r="B85" s="23"/>
      <c r="C85" s="23"/>
    </row>
    <row r="86" spans="1:17" x14ac:dyDescent="0.25">
      <c r="A86" s="13"/>
      <c r="B86" s="23"/>
      <c r="C86" s="23"/>
    </row>
    <row r="87" spans="1:17" x14ac:dyDescent="0.25">
      <c r="A87" s="13"/>
      <c r="B87" s="23"/>
      <c r="C87" s="23"/>
    </row>
    <row r="88" spans="1:17" x14ac:dyDescent="0.25">
      <c r="A88" s="13"/>
      <c r="B88" s="23"/>
      <c r="C88" s="23"/>
    </row>
    <row r="89" spans="1:17" x14ac:dyDescent="0.25">
      <c r="A89" s="13"/>
      <c r="B89" s="23"/>
      <c r="C89" s="23"/>
    </row>
    <row r="90" spans="1:17" x14ac:dyDescent="0.25">
      <c r="A90" s="13"/>
      <c r="B90" s="23"/>
      <c r="C90" s="23"/>
    </row>
    <row r="91" spans="1:17" x14ac:dyDescent="0.25">
      <c r="A91" s="13"/>
      <c r="B91" s="23"/>
      <c r="C91" s="23"/>
    </row>
    <row r="92" spans="1:17" x14ac:dyDescent="0.25">
      <c r="A92" s="13"/>
      <c r="B92" s="23"/>
      <c r="C92" s="23"/>
      <c r="M92" s="24"/>
    </row>
    <row r="93" spans="1:17" x14ac:dyDescent="0.25">
      <c r="A93" s="13"/>
      <c r="B93" s="23"/>
      <c r="C93" s="23"/>
    </row>
    <row r="94" spans="1:17" x14ac:dyDescent="0.25">
      <c r="A94" s="13"/>
      <c r="B94" s="23"/>
      <c r="C94" s="23"/>
    </row>
    <row r="95" spans="1:17" x14ac:dyDescent="0.25">
      <c r="A95" s="13"/>
      <c r="B95" s="23"/>
      <c r="C95" s="23"/>
    </row>
    <row r="96" spans="1:17" x14ac:dyDescent="0.25">
      <c r="A96" s="13"/>
      <c r="B96" s="23"/>
      <c r="C96" s="23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</row>
    <row r="97" spans="1:16" x14ac:dyDescent="0.25">
      <c r="A97" s="13"/>
      <c r="B97" s="23"/>
      <c r="C97" s="23"/>
    </row>
    <row r="98" spans="1:16" x14ac:dyDescent="0.25">
      <c r="A98" s="13"/>
      <c r="B98" s="23"/>
      <c r="C98" s="23"/>
    </row>
    <row r="99" spans="1:16" x14ac:dyDescent="0.25">
      <c r="A99" s="13"/>
      <c r="B99" s="23"/>
      <c r="C99" s="23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</row>
    <row r="100" spans="1:16" x14ac:dyDescent="0.25">
      <c r="A100" s="13"/>
      <c r="B100" s="23"/>
      <c r="C100" s="23"/>
    </row>
    <row r="101" spans="1:16" x14ac:dyDescent="0.25">
      <c r="A101" s="13"/>
      <c r="B101" s="23"/>
      <c r="C101" s="23"/>
      <c r="M101" s="24"/>
    </row>
    <row r="102" spans="1:16" x14ac:dyDescent="0.25">
      <c r="A102" s="13"/>
      <c r="B102" s="23"/>
      <c r="C102" s="23"/>
    </row>
    <row r="103" spans="1:16" x14ac:dyDescent="0.25">
      <c r="A103" s="13"/>
      <c r="B103" s="23"/>
      <c r="C103" s="23"/>
    </row>
    <row r="104" spans="1:16" x14ac:dyDescent="0.25">
      <c r="A104" s="13"/>
      <c r="B104" s="23"/>
      <c r="C104" s="23"/>
    </row>
    <row r="105" spans="1:16" x14ac:dyDescent="0.25">
      <c r="A105" s="13"/>
      <c r="B105" s="23"/>
      <c r="C105" s="23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</row>
    <row r="106" spans="1:16" x14ac:dyDescent="0.25">
      <c r="A106" s="13"/>
      <c r="B106" s="23"/>
      <c r="C106" s="23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</row>
    <row r="107" spans="1:16" x14ac:dyDescent="0.25">
      <c r="A107" s="13"/>
      <c r="B107" s="23"/>
      <c r="C107" s="23"/>
    </row>
    <row r="108" spans="1:16" x14ac:dyDescent="0.25">
      <c r="A108" s="13"/>
      <c r="B108" s="23"/>
      <c r="C108" s="23"/>
    </row>
    <row r="109" spans="1:16" x14ac:dyDescent="0.25">
      <c r="A109" s="13"/>
      <c r="B109" s="23"/>
      <c r="C109" s="23"/>
    </row>
    <row r="110" spans="1:16" x14ac:dyDescent="0.25">
      <c r="A110" s="13"/>
      <c r="B110" s="23"/>
      <c r="C110" s="23"/>
    </row>
    <row r="111" spans="1:16" x14ac:dyDescent="0.25">
      <c r="A111" s="13"/>
      <c r="B111" s="23"/>
      <c r="C111" s="2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</row>
    <row r="112" spans="1:16" x14ac:dyDescent="0.25">
      <c r="A112" s="13"/>
      <c r="B112" s="23"/>
      <c r="C112" s="2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</row>
    <row r="113" spans="1:16" x14ac:dyDescent="0.25">
      <c r="A113" s="13"/>
      <c r="B113" s="23"/>
      <c r="C113" s="2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</row>
    <row r="114" spans="1:16" x14ac:dyDescent="0.25">
      <c r="A114" s="13"/>
      <c r="B114" s="23"/>
      <c r="C114" s="23"/>
    </row>
    <row r="115" spans="1:16" x14ac:dyDescent="0.25">
      <c r="A115" s="13"/>
      <c r="B115" s="23"/>
      <c r="C115" s="23"/>
    </row>
    <row r="116" spans="1:16" x14ac:dyDescent="0.25">
      <c r="A116" s="13"/>
      <c r="B116" s="23"/>
      <c r="C116" s="23"/>
    </row>
    <row r="117" spans="1:16" x14ac:dyDescent="0.25">
      <c r="A117" s="13"/>
      <c r="B117" s="23"/>
      <c r="C117" s="23"/>
    </row>
    <row r="118" spans="1:16" x14ac:dyDescent="0.25">
      <c r="A118" s="13"/>
      <c r="B118" s="23"/>
      <c r="C118" s="23"/>
    </row>
    <row r="119" spans="1:16" x14ac:dyDescent="0.25">
      <c r="A119" s="13"/>
      <c r="B119" s="23"/>
      <c r="C119" s="23"/>
    </row>
    <row r="120" spans="1:16" ht="13" x14ac:dyDescent="0.3">
      <c r="A120" s="13"/>
      <c r="B120" s="23"/>
      <c r="C120" s="23"/>
      <c r="H120" s="214"/>
    </row>
    <row r="121" spans="1:16" x14ac:dyDescent="0.25">
      <c r="A121" s="13"/>
      <c r="B121" s="23"/>
      <c r="C121" s="23"/>
      <c r="H121" s="13"/>
    </row>
    <row r="122" spans="1:16" x14ac:dyDescent="0.25">
      <c r="A122" s="13"/>
      <c r="B122" s="23"/>
      <c r="C122" s="23"/>
      <c r="H122" s="13"/>
    </row>
    <row r="123" spans="1:16" ht="13" x14ac:dyDescent="0.3">
      <c r="A123" s="13"/>
      <c r="B123" s="23"/>
      <c r="C123" s="23"/>
      <c r="H123" s="215"/>
    </row>
    <row r="124" spans="1:16" x14ac:dyDescent="0.25">
      <c r="A124" s="13"/>
      <c r="B124" s="23"/>
      <c r="C124" s="23"/>
      <c r="H124" s="13"/>
    </row>
    <row r="125" spans="1:16" x14ac:dyDescent="0.25">
      <c r="A125" s="13"/>
      <c r="B125" s="23"/>
      <c r="C125" s="23"/>
      <c r="H125" s="13"/>
    </row>
    <row r="126" spans="1:16" x14ac:dyDescent="0.25">
      <c r="B126" s="13"/>
      <c r="C126" s="13"/>
      <c r="F126" s="13"/>
      <c r="G126" s="13"/>
      <c r="H126" s="13"/>
    </row>
    <row r="127" spans="1:16" x14ac:dyDescent="0.25">
      <c r="B127" s="200"/>
      <c r="C127" s="13"/>
      <c r="D127" s="13"/>
      <c r="E127" s="13"/>
      <c r="F127" s="13"/>
      <c r="G127" s="13"/>
      <c r="H127" s="200"/>
      <c r="I127" s="13"/>
    </row>
    <row r="128" spans="1:16" x14ac:dyDescent="0.25">
      <c r="B128" s="13"/>
      <c r="C128" s="13"/>
      <c r="D128" s="13"/>
      <c r="E128" s="13"/>
      <c r="F128" s="13"/>
      <c r="G128" s="13"/>
      <c r="H128" s="13"/>
      <c r="I128" s="13"/>
    </row>
    <row r="129" spans="1:17" x14ac:dyDescent="0.25">
      <c r="A129" s="200"/>
      <c r="B129" s="200"/>
      <c r="C129" s="13"/>
      <c r="D129" s="13"/>
      <c r="E129" s="13"/>
      <c r="F129" s="13"/>
      <c r="G129" s="13"/>
      <c r="H129" s="13"/>
      <c r="I129" s="13"/>
    </row>
    <row r="130" spans="1:17" x14ac:dyDescent="0.2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5">
      <c r="A132" s="13"/>
      <c r="B132" s="23"/>
      <c r="C132" s="13"/>
    </row>
    <row r="133" spans="1:17" x14ac:dyDescent="0.25">
      <c r="A133" s="13"/>
      <c r="B133" s="23"/>
      <c r="C133" s="23"/>
    </row>
    <row r="134" spans="1:17" x14ac:dyDescent="0.25">
      <c r="A134" s="13"/>
      <c r="B134" s="23"/>
      <c r="C134" s="23"/>
    </row>
    <row r="135" spans="1:17" x14ac:dyDescent="0.25">
      <c r="A135" s="13"/>
      <c r="B135" s="23"/>
      <c r="C135" s="23"/>
    </row>
    <row r="136" spans="1:17" x14ac:dyDescent="0.25">
      <c r="A136" s="13"/>
      <c r="B136" s="23"/>
      <c r="C136" s="23"/>
    </row>
    <row r="137" spans="1:17" x14ac:dyDescent="0.25">
      <c r="A137" s="13"/>
      <c r="B137" s="23"/>
      <c r="C137" s="23"/>
    </row>
    <row r="138" spans="1:17" x14ac:dyDescent="0.25">
      <c r="A138" s="13"/>
      <c r="B138" s="23"/>
      <c r="C138" s="13"/>
      <c r="M138" s="24"/>
    </row>
    <row r="139" spans="1:17" x14ac:dyDescent="0.25">
      <c r="A139" s="13"/>
      <c r="B139" s="23"/>
      <c r="C139" s="13"/>
      <c r="M139" s="24"/>
    </row>
    <row r="140" spans="1:17" x14ac:dyDescent="0.25">
      <c r="A140" s="13"/>
      <c r="B140" s="23"/>
      <c r="C140" s="13"/>
    </row>
    <row r="141" spans="1:17" x14ac:dyDescent="0.25">
      <c r="A141" s="13"/>
      <c r="B141" s="23"/>
      <c r="C141" s="13"/>
    </row>
    <row r="142" spans="1:17" x14ac:dyDescent="0.25">
      <c r="A142" s="13"/>
      <c r="B142" s="23"/>
    </row>
    <row r="143" spans="1:17" x14ac:dyDescent="0.25">
      <c r="A143" s="13"/>
      <c r="B143" s="23"/>
      <c r="C143" s="23"/>
    </row>
    <row r="144" spans="1:17" x14ac:dyDescent="0.25">
      <c r="A144" s="200"/>
      <c r="B144" s="20"/>
    </row>
    <row r="145" spans="1:17" x14ac:dyDescent="0.25">
      <c r="A145" s="13"/>
      <c r="B145" s="23"/>
      <c r="E145" s="201"/>
      <c r="F145" s="201"/>
      <c r="G145" s="201"/>
      <c r="H145" s="201"/>
      <c r="I145" s="201"/>
    </row>
    <row r="146" spans="1:17" x14ac:dyDescent="0.25">
      <c r="A146" s="200"/>
      <c r="B146" s="23"/>
      <c r="C146" s="23"/>
    </row>
    <row r="147" spans="1:17" x14ac:dyDescent="0.25">
      <c r="A147" s="200"/>
      <c r="B147" s="23"/>
      <c r="C147" s="23"/>
    </row>
    <row r="148" spans="1:17" x14ac:dyDescent="0.25">
      <c r="A148" s="200"/>
      <c r="B148" s="20"/>
      <c r="E148" s="201"/>
      <c r="F148" s="201"/>
      <c r="G148" s="201"/>
      <c r="H148" s="201"/>
      <c r="I148" s="201"/>
    </row>
    <row r="149" spans="1:17" x14ac:dyDescent="0.25">
      <c r="A149" s="13"/>
      <c r="B149" s="23"/>
    </row>
    <row r="150" spans="1:17" x14ac:dyDescent="0.25">
      <c r="B150" s="23"/>
      <c r="C150" s="23"/>
    </row>
    <row r="151" spans="1:17" x14ac:dyDescent="0.25">
      <c r="A151" s="200"/>
      <c r="B151" s="23"/>
      <c r="C151" s="23"/>
    </row>
    <row r="152" spans="1:17" x14ac:dyDescent="0.25">
      <c r="A152" s="200"/>
      <c r="B152" s="23"/>
      <c r="C152" s="23"/>
    </row>
    <row r="153" spans="1:17" x14ac:dyDescent="0.25">
      <c r="A153" s="200"/>
      <c r="B153" s="23"/>
      <c r="C153" s="2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</row>
    <row r="154" spans="1:17" x14ac:dyDescent="0.25">
      <c r="A154" s="200"/>
      <c r="B154" s="23"/>
      <c r="C154" s="2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1:17" x14ac:dyDescent="0.25">
      <c r="A155" s="200"/>
      <c r="B155" s="20"/>
      <c r="C155" s="202"/>
      <c r="E155" s="202"/>
      <c r="F155" s="202"/>
      <c r="G155" s="202"/>
      <c r="H155" s="202"/>
      <c r="I155" s="202"/>
    </row>
    <row r="156" spans="1:17" x14ac:dyDescent="0.25">
      <c r="A156" s="13"/>
      <c r="B156" s="23"/>
      <c r="C156" s="202"/>
    </row>
    <row r="157" spans="1:17" x14ac:dyDescent="0.25">
      <c r="A157" s="13"/>
      <c r="B157" s="23"/>
      <c r="C157" s="23"/>
    </row>
    <row r="158" spans="1:17" x14ac:dyDescent="0.25">
      <c r="A158" s="13"/>
      <c r="B158" s="23"/>
      <c r="C158" s="23"/>
    </row>
    <row r="159" spans="1:17" x14ac:dyDescent="0.25">
      <c r="A159" s="13"/>
      <c r="B159" s="23"/>
      <c r="C159" s="202"/>
    </row>
    <row r="160" spans="1:17" x14ac:dyDescent="0.25">
      <c r="A160" s="13"/>
      <c r="B160" s="23"/>
      <c r="C160" s="202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16" x14ac:dyDescent="0.25">
      <c r="A161" s="13"/>
      <c r="B161" s="23"/>
      <c r="C161" s="202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</row>
    <row r="162" spans="1:16" x14ac:dyDescent="0.25">
      <c r="A162" s="200"/>
      <c r="B162" s="20"/>
      <c r="C162" s="202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</row>
    <row r="163" spans="1:16" x14ac:dyDescent="0.25">
      <c r="A163" s="13"/>
      <c r="B163" s="23"/>
    </row>
    <row r="164" spans="1:16" x14ac:dyDescent="0.25">
      <c r="A164" s="13"/>
      <c r="B164" s="23"/>
    </row>
    <row r="165" spans="1:16" x14ac:dyDescent="0.25">
      <c r="A165" s="13"/>
      <c r="B165" s="23"/>
    </row>
    <row r="166" spans="1:16" x14ac:dyDescent="0.25">
      <c r="A166" s="13"/>
      <c r="B166" s="23"/>
    </row>
    <row r="167" spans="1:16" x14ac:dyDescent="0.25">
      <c r="A167" s="13"/>
      <c r="B167" s="23"/>
    </row>
    <row r="168" spans="1:16" x14ac:dyDescent="0.25">
      <c r="A168" s="13"/>
      <c r="B168" s="23"/>
    </row>
    <row r="169" spans="1:16" x14ac:dyDescent="0.25">
      <c r="A169" s="13"/>
      <c r="B169" s="23"/>
    </row>
    <row r="170" spans="1:16" ht="13" x14ac:dyDescent="0.3">
      <c r="B170" s="214"/>
      <c r="C170" s="13"/>
      <c r="D170" s="13"/>
      <c r="E170" s="13"/>
      <c r="F170" s="13"/>
      <c r="G170" s="13"/>
      <c r="H170" s="214"/>
      <c r="I170" s="13"/>
    </row>
    <row r="171" spans="1:16" x14ac:dyDescent="0.25">
      <c r="B171" s="13"/>
      <c r="C171" s="13"/>
      <c r="D171" s="13"/>
      <c r="E171" s="13"/>
      <c r="F171" s="13"/>
      <c r="G171" s="13"/>
      <c r="H171" s="13"/>
      <c r="I171" s="13"/>
    </row>
    <row r="172" spans="1:16" x14ac:dyDescent="0.25">
      <c r="B172" s="13"/>
      <c r="C172" s="13"/>
      <c r="D172" s="13"/>
      <c r="E172" s="13"/>
      <c r="F172" s="13"/>
      <c r="G172" s="13"/>
      <c r="H172" s="13"/>
      <c r="I172" s="13"/>
    </row>
    <row r="173" spans="1:16" ht="13" x14ac:dyDescent="0.3">
      <c r="B173" s="215"/>
      <c r="C173" s="13"/>
      <c r="D173" s="13"/>
      <c r="E173" s="13"/>
      <c r="F173" s="13"/>
      <c r="G173" s="13"/>
      <c r="H173" s="215"/>
      <c r="I173" s="13"/>
    </row>
    <row r="174" spans="1:16" x14ac:dyDescent="0.25">
      <c r="B174" s="13"/>
      <c r="C174" s="13"/>
      <c r="D174" s="13"/>
      <c r="E174" s="13"/>
      <c r="F174" s="13"/>
      <c r="G174" s="13"/>
      <c r="H174" s="13"/>
      <c r="I174" s="13"/>
    </row>
    <row r="175" spans="1:16" x14ac:dyDescent="0.25">
      <c r="B175" s="13"/>
      <c r="C175" s="13"/>
      <c r="D175" s="13"/>
      <c r="E175" s="13"/>
      <c r="F175" s="13"/>
      <c r="G175" s="13"/>
      <c r="H175" s="13"/>
      <c r="I175" s="13"/>
    </row>
    <row r="176" spans="1:16" x14ac:dyDescent="0.25">
      <c r="B176" s="13"/>
      <c r="C176" s="13"/>
      <c r="F176" s="13"/>
      <c r="G176" s="13"/>
      <c r="H176" s="13"/>
    </row>
    <row r="177" spans="1:17" x14ac:dyDescent="0.25">
      <c r="B177" s="200"/>
      <c r="C177" s="13"/>
      <c r="D177" s="13"/>
      <c r="E177" s="13"/>
      <c r="F177" s="13"/>
      <c r="G177" s="13"/>
      <c r="H177" s="200"/>
      <c r="I177" s="13"/>
    </row>
    <row r="178" spans="1:17" x14ac:dyDescent="0.25">
      <c r="B178" s="13"/>
      <c r="C178" s="13"/>
      <c r="D178" s="13"/>
      <c r="E178" s="13"/>
      <c r="F178" s="13"/>
      <c r="G178" s="13"/>
      <c r="H178" s="13"/>
      <c r="I178" s="13"/>
    </row>
    <row r="179" spans="1:17" x14ac:dyDescent="0.25">
      <c r="A179" s="200"/>
      <c r="B179" s="200"/>
      <c r="C179" s="13"/>
      <c r="D179" s="13"/>
      <c r="E179" s="13"/>
      <c r="F179" s="13"/>
      <c r="G179" s="13"/>
      <c r="H179" s="13"/>
      <c r="I179" s="13"/>
    </row>
    <row r="180" spans="1:17" x14ac:dyDescent="0.25">
      <c r="B180" s="2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25">
      <c r="A181" s="5"/>
      <c r="B181" s="21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5">
      <c r="A182" s="13"/>
      <c r="B182" s="23"/>
      <c r="C182" s="13"/>
    </row>
    <row r="183" spans="1:17" x14ac:dyDescent="0.25">
      <c r="A183" s="13"/>
      <c r="B183" s="23"/>
      <c r="C183" s="23"/>
    </row>
    <row r="184" spans="1:17" x14ac:dyDescent="0.25">
      <c r="A184" s="13"/>
      <c r="B184" s="23"/>
      <c r="C184" s="23"/>
    </row>
    <row r="185" spans="1:17" x14ac:dyDescent="0.25">
      <c r="A185" s="13"/>
      <c r="B185" s="23"/>
      <c r="C185" s="23"/>
    </row>
    <row r="186" spans="1:17" x14ac:dyDescent="0.25">
      <c r="A186" s="13"/>
      <c r="B186" s="23"/>
      <c r="C186" s="23"/>
    </row>
    <row r="187" spans="1:17" x14ac:dyDescent="0.25">
      <c r="A187" s="13"/>
      <c r="B187" s="23"/>
      <c r="C187" s="23"/>
    </row>
    <row r="188" spans="1:17" x14ac:dyDescent="0.25">
      <c r="A188" s="13"/>
      <c r="B188" s="23"/>
      <c r="C188" s="13"/>
    </row>
    <row r="189" spans="1:17" x14ac:dyDescent="0.25">
      <c r="A189" s="13"/>
      <c r="B189" s="23"/>
      <c r="C189" s="13"/>
    </row>
    <row r="190" spans="1:17" x14ac:dyDescent="0.25">
      <c r="A190" s="13"/>
      <c r="B190" s="23"/>
      <c r="C190" s="13"/>
    </row>
    <row r="191" spans="1:17" x14ac:dyDescent="0.25">
      <c r="A191" s="13"/>
      <c r="B191" s="23"/>
      <c r="C191" s="13"/>
    </row>
    <row r="192" spans="1:17" x14ac:dyDescent="0.25">
      <c r="A192" s="13"/>
      <c r="B192" s="23"/>
    </row>
    <row r="193" spans="1:17" x14ac:dyDescent="0.25">
      <c r="A193" s="13"/>
      <c r="B193" s="23"/>
      <c r="C193" s="23"/>
    </row>
    <row r="194" spans="1:17" x14ac:dyDescent="0.25">
      <c r="A194" s="200"/>
      <c r="B194" s="20"/>
    </row>
    <row r="195" spans="1:17" x14ac:dyDescent="0.25">
      <c r="A195" s="13"/>
      <c r="B195" s="23"/>
      <c r="E195" s="201"/>
      <c r="F195" s="201"/>
      <c r="G195" s="201"/>
      <c r="H195" s="201"/>
      <c r="I195" s="201"/>
    </row>
    <row r="196" spans="1:17" x14ac:dyDescent="0.25">
      <c r="A196" s="200"/>
      <c r="B196" s="23"/>
      <c r="C196" s="23"/>
    </row>
    <row r="197" spans="1:17" x14ac:dyDescent="0.25">
      <c r="A197" s="200"/>
      <c r="B197" s="23"/>
      <c r="C197" s="23"/>
    </row>
    <row r="198" spans="1:17" x14ac:dyDescent="0.25">
      <c r="A198" s="200"/>
      <c r="B198" s="20"/>
      <c r="E198" s="201"/>
      <c r="F198" s="201"/>
      <c r="G198" s="201"/>
      <c r="H198" s="201"/>
      <c r="I198" s="201"/>
    </row>
    <row r="199" spans="1:17" x14ac:dyDescent="0.25">
      <c r="A199" s="13"/>
      <c r="B199" s="23"/>
    </row>
    <row r="200" spans="1:17" x14ac:dyDescent="0.25">
      <c r="A200" s="200"/>
      <c r="B200" s="23"/>
      <c r="C200" s="23"/>
    </row>
    <row r="201" spans="1:17" x14ac:dyDescent="0.25">
      <c r="A201" s="200"/>
      <c r="B201" s="23"/>
      <c r="C201" s="23"/>
    </row>
    <row r="202" spans="1:17" x14ac:dyDescent="0.25">
      <c r="A202" s="200"/>
      <c r="B202" s="23"/>
      <c r="C202" s="23"/>
    </row>
    <row r="203" spans="1:17" x14ac:dyDescent="0.25">
      <c r="A203" s="200"/>
      <c r="B203" s="23"/>
      <c r="C203" s="23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</row>
    <row r="204" spans="1:17" x14ac:dyDescent="0.25">
      <c r="A204" s="200"/>
      <c r="B204" s="23"/>
      <c r="C204" s="23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</row>
    <row r="205" spans="1:17" x14ac:dyDescent="0.25">
      <c r="A205" s="200"/>
      <c r="B205" s="20"/>
      <c r="C205" s="202"/>
      <c r="E205" s="202"/>
      <c r="F205" s="202"/>
      <c r="G205" s="202"/>
      <c r="H205" s="202"/>
      <c r="I205" s="202"/>
    </row>
    <row r="206" spans="1:17" x14ac:dyDescent="0.25">
      <c r="A206" s="13"/>
      <c r="B206" s="23"/>
      <c r="C206" s="202"/>
    </row>
    <row r="207" spans="1:17" x14ac:dyDescent="0.25">
      <c r="A207" s="13"/>
      <c r="B207" s="23"/>
      <c r="C207" s="23"/>
    </row>
    <row r="208" spans="1:17" x14ac:dyDescent="0.25">
      <c r="A208" s="13"/>
      <c r="B208" s="23"/>
      <c r="C208" s="23"/>
    </row>
    <row r="209" spans="1:16" x14ac:dyDescent="0.25">
      <c r="A209" s="13"/>
      <c r="B209" s="23"/>
      <c r="C209" s="202"/>
    </row>
    <row r="210" spans="1:16" x14ac:dyDescent="0.25">
      <c r="A210" s="13"/>
      <c r="B210" s="23"/>
      <c r="C210" s="202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</row>
    <row r="211" spans="1:16" x14ac:dyDescent="0.25">
      <c r="A211" s="13"/>
      <c r="B211" s="23"/>
      <c r="C211" s="202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</row>
    <row r="212" spans="1:16" x14ac:dyDescent="0.25">
      <c r="A212" s="200"/>
      <c r="B212" s="20"/>
      <c r="C212" s="202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</row>
    <row r="213" spans="1:16" x14ac:dyDescent="0.25">
      <c r="A213" s="13"/>
      <c r="B213" s="23"/>
    </row>
    <row r="214" spans="1:16" x14ac:dyDescent="0.25">
      <c r="A214" s="13"/>
      <c r="B214" s="23"/>
    </row>
    <row r="215" spans="1:16" x14ac:dyDescent="0.25">
      <c r="A215" s="13"/>
      <c r="B215" s="23"/>
    </row>
    <row r="216" spans="1:16" x14ac:dyDescent="0.25">
      <c r="A216" s="13"/>
      <c r="B216" s="23"/>
    </row>
    <row r="217" spans="1:16" x14ac:dyDescent="0.25">
      <c r="A217" s="13"/>
      <c r="B217" s="23"/>
    </row>
    <row r="218" spans="1:16" ht="13" x14ac:dyDescent="0.3">
      <c r="B218" s="214"/>
      <c r="C218" s="13"/>
      <c r="D218" s="13"/>
      <c r="E218" s="13"/>
      <c r="F218" s="13"/>
      <c r="G218" s="13"/>
      <c r="H218" s="214"/>
      <c r="I218" s="13"/>
    </row>
    <row r="219" spans="1:16" x14ac:dyDescent="0.25">
      <c r="B219" s="13"/>
      <c r="C219" s="13"/>
      <c r="D219" s="13"/>
      <c r="E219" s="13"/>
      <c r="F219" s="13"/>
      <c r="G219" s="13"/>
      <c r="H219" s="13"/>
      <c r="I219" s="13"/>
    </row>
    <row r="220" spans="1:16" x14ac:dyDescent="0.25">
      <c r="B220" s="13"/>
      <c r="C220" s="13"/>
      <c r="D220" s="13"/>
      <c r="E220" s="13"/>
      <c r="F220" s="13"/>
      <c r="G220" s="13"/>
      <c r="H220" s="13"/>
      <c r="I220" s="13"/>
    </row>
    <row r="221" spans="1:16" ht="13" x14ac:dyDescent="0.3">
      <c r="B221" s="215"/>
      <c r="C221" s="13"/>
      <c r="D221" s="13"/>
      <c r="E221" s="13"/>
      <c r="F221" s="13"/>
      <c r="G221" s="13"/>
      <c r="H221" s="215"/>
      <c r="I221" s="13"/>
    </row>
    <row r="222" spans="1:16" x14ac:dyDescent="0.25">
      <c r="B222" s="13"/>
      <c r="C222" s="13"/>
      <c r="D222" s="13"/>
      <c r="E222" s="13"/>
      <c r="F222" s="13"/>
      <c r="G222" s="13"/>
      <c r="H222" s="13"/>
      <c r="I222" s="13"/>
    </row>
    <row r="223" spans="1:16" x14ac:dyDescent="0.25">
      <c r="B223" s="13"/>
      <c r="C223" s="13"/>
      <c r="D223" s="13"/>
      <c r="E223" s="13"/>
      <c r="F223" s="13"/>
      <c r="G223" s="13"/>
      <c r="H223" s="13"/>
      <c r="I223" s="13"/>
    </row>
    <row r="224" spans="1:16" x14ac:dyDescent="0.25">
      <c r="B224" s="13"/>
      <c r="C224" s="13"/>
      <c r="F224" s="13"/>
      <c r="G224" s="13"/>
      <c r="H224" s="13"/>
    </row>
    <row r="225" spans="1:17" x14ac:dyDescent="0.25">
      <c r="B225" s="200"/>
      <c r="C225" s="13"/>
      <c r="D225" s="13"/>
      <c r="E225" s="13"/>
      <c r="F225" s="13"/>
      <c r="G225" s="13"/>
      <c r="H225" s="200"/>
      <c r="I225" s="13"/>
    </row>
    <row r="226" spans="1:17" x14ac:dyDescent="0.25">
      <c r="B226" s="13"/>
      <c r="C226" s="13"/>
      <c r="D226" s="13"/>
      <c r="E226" s="13"/>
      <c r="F226" s="13"/>
      <c r="G226" s="13"/>
      <c r="H226" s="13"/>
      <c r="I226" s="13"/>
    </row>
    <row r="227" spans="1:17" x14ac:dyDescent="0.25">
      <c r="A227" s="200"/>
      <c r="B227" s="200"/>
      <c r="C227" s="13"/>
      <c r="D227" s="13"/>
      <c r="E227" s="13"/>
      <c r="F227" s="13"/>
      <c r="G227" s="13"/>
      <c r="H227" s="13"/>
      <c r="I227" s="13"/>
    </row>
    <row r="228" spans="1:17" x14ac:dyDescent="0.25">
      <c r="B228" s="2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x14ac:dyDescent="0.25">
      <c r="A229" s="5"/>
      <c r="B229" s="210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x14ac:dyDescent="0.25">
      <c r="A230" s="13"/>
      <c r="B230" s="23"/>
      <c r="C230" s="13"/>
    </row>
    <row r="231" spans="1:17" x14ac:dyDescent="0.25">
      <c r="A231" s="13"/>
      <c r="B231" s="23"/>
      <c r="C231" s="23"/>
    </row>
    <row r="232" spans="1:17" x14ac:dyDescent="0.25">
      <c r="A232" s="13"/>
      <c r="B232" s="23"/>
      <c r="C232" s="23"/>
    </row>
    <row r="233" spans="1:17" x14ac:dyDescent="0.25">
      <c r="A233" s="13"/>
      <c r="B233" s="23"/>
      <c r="C233" s="23"/>
    </row>
    <row r="234" spans="1:17" x14ac:dyDescent="0.25">
      <c r="A234" s="13"/>
      <c r="B234" s="23"/>
      <c r="C234" s="23"/>
    </row>
    <row r="235" spans="1:17" x14ac:dyDescent="0.25">
      <c r="A235" s="13"/>
      <c r="B235" s="23"/>
      <c r="C235" s="23"/>
    </row>
    <row r="236" spans="1:17" x14ac:dyDescent="0.25">
      <c r="A236" s="13"/>
      <c r="B236" s="23"/>
      <c r="C236" s="13"/>
    </row>
    <row r="237" spans="1:17" x14ac:dyDescent="0.25">
      <c r="A237" s="13"/>
      <c r="B237" s="23"/>
      <c r="C237" s="13"/>
    </row>
    <row r="238" spans="1:17" x14ac:dyDescent="0.25">
      <c r="A238" s="13"/>
      <c r="B238" s="23"/>
      <c r="C238" s="13"/>
    </row>
    <row r="239" spans="1:17" x14ac:dyDescent="0.25">
      <c r="A239" s="13"/>
      <c r="B239" s="23"/>
      <c r="C239" s="13"/>
    </row>
    <row r="240" spans="1:17" x14ac:dyDescent="0.25">
      <c r="A240" s="13"/>
      <c r="B240" s="23"/>
    </row>
    <row r="241" spans="1:17" x14ac:dyDescent="0.25">
      <c r="A241" s="13"/>
      <c r="B241" s="23"/>
      <c r="C241" s="23"/>
    </row>
    <row r="242" spans="1:17" x14ac:dyDescent="0.25">
      <c r="A242" s="200"/>
      <c r="B242" s="20"/>
    </row>
    <row r="243" spans="1:17" x14ac:dyDescent="0.25">
      <c r="A243" s="13"/>
      <c r="B243" s="23"/>
      <c r="E243" s="201"/>
      <c r="F243" s="201"/>
      <c r="G243" s="201"/>
      <c r="H243" s="201"/>
      <c r="I243" s="201"/>
    </row>
    <row r="244" spans="1:17" x14ac:dyDescent="0.25">
      <c r="A244" s="200"/>
      <c r="B244" s="23"/>
      <c r="C244" s="23"/>
    </row>
    <row r="245" spans="1:17" x14ac:dyDescent="0.25">
      <c r="A245" s="200"/>
      <c r="B245" s="23"/>
      <c r="C245" s="23"/>
    </row>
    <row r="246" spans="1:17" x14ac:dyDescent="0.25">
      <c r="A246" s="200"/>
      <c r="B246" s="20"/>
      <c r="E246" s="201"/>
      <c r="F246" s="201"/>
      <c r="G246" s="201"/>
      <c r="H246" s="201"/>
      <c r="I246" s="201"/>
    </row>
    <row r="247" spans="1:17" x14ac:dyDescent="0.25">
      <c r="A247" s="13"/>
      <c r="B247" s="23"/>
    </row>
    <row r="248" spans="1:17" x14ac:dyDescent="0.25">
      <c r="A248" s="200"/>
      <c r="B248" s="23"/>
      <c r="C248" s="23"/>
    </row>
    <row r="249" spans="1:17" x14ac:dyDescent="0.25">
      <c r="A249" s="200"/>
      <c r="B249" s="23"/>
      <c r="C249" s="23"/>
    </row>
    <row r="250" spans="1:17" x14ac:dyDescent="0.25">
      <c r="A250" s="200"/>
      <c r="B250" s="23"/>
      <c r="C250" s="23"/>
    </row>
    <row r="251" spans="1:17" x14ac:dyDescent="0.25">
      <c r="A251" s="200"/>
      <c r="B251" s="23"/>
      <c r="C251" s="23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</row>
    <row r="252" spans="1:17" x14ac:dyDescent="0.25">
      <c r="A252" s="200"/>
      <c r="B252" s="23"/>
      <c r="C252" s="23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</row>
    <row r="253" spans="1:17" x14ac:dyDescent="0.25">
      <c r="A253" s="200"/>
      <c r="B253" s="20"/>
      <c r="C253" s="202"/>
      <c r="E253" s="202"/>
      <c r="F253" s="202"/>
      <c r="G253" s="202"/>
      <c r="H253" s="202"/>
      <c r="I253" s="202"/>
    </row>
    <row r="254" spans="1:17" x14ac:dyDescent="0.25">
      <c r="A254" s="13"/>
      <c r="B254" s="23"/>
      <c r="C254" s="202"/>
    </row>
    <row r="255" spans="1:17" x14ac:dyDescent="0.25">
      <c r="A255" s="13"/>
      <c r="B255" s="23"/>
      <c r="C255" s="23"/>
    </row>
    <row r="256" spans="1:17" x14ac:dyDescent="0.25">
      <c r="A256" s="13"/>
      <c r="B256" s="23"/>
      <c r="C256" s="23"/>
    </row>
    <row r="257" spans="1:16" x14ac:dyDescent="0.25">
      <c r="A257" s="13"/>
      <c r="B257" s="23"/>
      <c r="C257" s="202"/>
    </row>
    <row r="258" spans="1:16" x14ac:dyDescent="0.25">
      <c r="A258" s="13"/>
      <c r="B258" s="23"/>
      <c r="C258" s="202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</row>
    <row r="259" spans="1:16" x14ac:dyDescent="0.25">
      <c r="A259" s="13"/>
      <c r="B259" s="23"/>
      <c r="C259" s="202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</row>
    <row r="260" spans="1:16" x14ac:dyDescent="0.25">
      <c r="A260" s="200"/>
      <c r="B260" s="20"/>
      <c r="C260" s="202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</row>
    <row r="261" spans="1:16" x14ac:dyDescent="0.25">
      <c r="A261" s="13"/>
      <c r="B261" s="23"/>
    </row>
    <row r="262" spans="1:16" x14ac:dyDescent="0.25">
      <c r="A262" s="13"/>
      <c r="B262" s="23"/>
    </row>
    <row r="263" spans="1:16" x14ac:dyDescent="0.25">
      <c r="A263" s="13"/>
      <c r="B263" s="23"/>
    </row>
    <row r="264" spans="1:16" x14ac:dyDescent="0.25">
      <c r="B264" s="23"/>
    </row>
    <row r="265" spans="1:16" x14ac:dyDescent="0.25">
      <c r="B265" s="23"/>
    </row>
    <row r="266" spans="1:16" x14ac:dyDescent="0.25">
      <c r="B266" s="23"/>
      <c r="C266" s="10"/>
    </row>
    <row r="267" spans="1:16" x14ac:dyDescent="0.25">
      <c r="B267" s="23"/>
    </row>
    <row r="268" spans="1:16" x14ac:dyDescent="0.25">
      <c r="B268" s="23"/>
    </row>
    <row r="269" spans="1:16" x14ac:dyDescent="0.25">
      <c r="B269" s="23"/>
    </row>
    <row r="270" spans="1:16" x14ac:dyDescent="0.25">
      <c r="B270" s="23"/>
    </row>
    <row r="271" spans="1:16" x14ac:dyDescent="0.25">
      <c r="B271" s="23"/>
    </row>
    <row r="272" spans="1:16" x14ac:dyDescent="0.25">
      <c r="B272" s="23"/>
    </row>
    <row r="273" spans="1:17" x14ac:dyDescent="0.25">
      <c r="B273" s="23"/>
    </row>
    <row r="274" spans="1:17" x14ac:dyDescent="0.25">
      <c r="B274" s="23"/>
    </row>
    <row r="275" spans="1:17" x14ac:dyDescent="0.25">
      <c r="B275" s="23"/>
    </row>
    <row r="276" spans="1:17" x14ac:dyDescent="0.25">
      <c r="B276" s="23"/>
    </row>
    <row r="277" spans="1:17" x14ac:dyDescent="0.25">
      <c r="B277" s="23"/>
    </row>
    <row r="278" spans="1:17" ht="13" x14ac:dyDescent="0.3">
      <c r="B278" s="214"/>
      <c r="C278" s="13"/>
      <c r="D278" s="13"/>
      <c r="E278" s="13"/>
      <c r="F278" s="13"/>
      <c r="G278" s="13"/>
      <c r="H278" s="214"/>
      <c r="I278" s="13"/>
    </row>
    <row r="279" spans="1:17" x14ac:dyDescent="0.25">
      <c r="B279" s="13"/>
      <c r="C279" s="13"/>
      <c r="D279" s="13"/>
      <c r="E279" s="13"/>
      <c r="F279" s="13"/>
      <c r="G279" s="13"/>
      <c r="H279" s="13"/>
      <c r="I279" s="13"/>
    </row>
    <row r="280" spans="1:17" x14ac:dyDescent="0.25">
      <c r="B280" s="13"/>
      <c r="C280" s="13"/>
      <c r="D280" s="13"/>
      <c r="E280" s="13"/>
      <c r="F280" s="13"/>
      <c r="G280" s="13"/>
      <c r="H280" s="13"/>
      <c r="I280" s="13"/>
    </row>
    <row r="281" spans="1:17" ht="13" x14ac:dyDescent="0.3">
      <c r="B281" s="215"/>
      <c r="C281" s="13"/>
      <c r="D281" s="13"/>
      <c r="E281" s="13"/>
      <c r="F281" s="13"/>
      <c r="G281" s="13"/>
      <c r="H281" s="215"/>
      <c r="I281" s="13"/>
    </row>
    <row r="282" spans="1:17" x14ac:dyDescent="0.25">
      <c r="B282" s="13"/>
      <c r="C282" s="13"/>
      <c r="D282" s="13"/>
      <c r="E282" s="13"/>
      <c r="F282" s="13"/>
      <c r="G282" s="13"/>
      <c r="H282" s="13"/>
      <c r="I282" s="13"/>
    </row>
    <row r="283" spans="1:17" x14ac:dyDescent="0.25">
      <c r="B283" s="13"/>
      <c r="C283" s="13"/>
      <c r="D283" s="13"/>
      <c r="E283" s="13"/>
      <c r="F283" s="13"/>
      <c r="G283" s="13"/>
      <c r="H283" s="13"/>
      <c r="I283" s="13"/>
    </row>
    <row r="284" spans="1:17" x14ac:dyDescent="0.25">
      <c r="B284" s="13"/>
      <c r="C284" s="13"/>
      <c r="F284" s="13"/>
      <c r="G284" s="13"/>
      <c r="H284" s="13"/>
    </row>
    <row r="285" spans="1:17" x14ac:dyDescent="0.25">
      <c r="B285" s="200"/>
      <c r="C285" s="13"/>
      <c r="D285" s="13"/>
      <c r="E285" s="13"/>
      <c r="F285" s="13"/>
      <c r="G285" s="13"/>
      <c r="H285" s="200"/>
      <c r="I285" s="13"/>
    </row>
    <row r="286" spans="1:17" x14ac:dyDescent="0.25">
      <c r="B286" s="13"/>
      <c r="C286" s="13"/>
      <c r="D286" s="13"/>
      <c r="E286" s="13"/>
      <c r="F286" s="13"/>
      <c r="G286" s="13"/>
      <c r="H286" s="13"/>
      <c r="I286" s="13"/>
    </row>
    <row r="287" spans="1:17" x14ac:dyDescent="0.25">
      <c r="A287" s="200"/>
      <c r="B287" s="200"/>
      <c r="C287" s="13"/>
      <c r="D287" s="13"/>
      <c r="E287" s="13"/>
      <c r="F287" s="13"/>
      <c r="G287" s="13"/>
      <c r="H287" s="13"/>
      <c r="I287" s="13"/>
    </row>
    <row r="288" spans="1:17" x14ac:dyDescent="0.25">
      <c r="B288" s="2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x14ac:dyDescent="0.25">
      <c r="A289" s="5"/>
      <c r="B289" s="21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x14ac:dyDescent="0.25">
      <c r="A290" s="13"/>
      <c r="B290" s="23"/>
      <c r="C290" s="13"/>
    </row>
    <row r="291" spans="1:17" x14ac:dyDescent="0.25">
      <c r="A291" s="13"/>
      <c r="B291" s="23"/>
      <c r="C291" s="23"/>
    </row>
    <row r="292" spans="1:17" x14ac:dyDescent="0.25">
      <c r="A292" s="13"/>
      <c r="B292" s="23"/>
      <c r="C292" s="23"/>
    </row>
    <row r="293" spans="1:17" x14ac:dyDescent="0.25">
      <c r="A293" s="13"/>
      <c r="B293" s="23"/>
      <c r="C293" s="23"/>
    </row>
    <row r="294" spans="1:17" x14ac:dyDescent="0.25">
      <c r="A294" s="13"/>
      <c r="B294" s="23"/>
      <c r="C294" s="23"/>
    </row>
    <row r="295" spans="1:17" x14ac:dyDescent="0.25">
      <c r="A295" s="13"/>
      <c r="B295" s="23"/>
      <c r="C295" s="23"/>
    </row>
    <row r="296" spans="1:17" x14ac:dyDescent="0.25">
      <c r="A296" s="13"/>
      <c r="B296" s="23"/>
      <c r="C296" s="13"/>
      <c r="M296" s="24"/>
    </row>
    <row r="297" spans="1:17" x14ac:dyDescent="0.25">
      <c r="A297" s="13"/>
      <c r="B297" s="23"/>
      <c r="C297" s="13"/>
      <c r="M297" s="24"/>
    </row>
    <row r="298" spans="1:17" x14ac:dyDescent="0.25">
      <c r="A298" s="13"/>
      <c r="B298" s="23"/>
      <c r="C298" s="13"/>
    </row>
    <row r="299" spans="1:17" x14ac:dyDescent="0.25">
      <c r="A299" s="13"/>
      <c r="B299" s="23"/>
      <c r="C299" s="13"/>
    </row>
    <row r="300" spans="1:17" x14ac:dyDescent="0.25">
      <c r="A300" s="13"/>
      <c r="B300" s="23"/>
    </row>
    <row r="301" spans="1:17" x14ac:dyDescent="0.25">
      <c r="A301" s="13"/>
      <c r="B301" s="23"/>
      <c r="C301" s="23"/>
    </row>
    <row r="302" spans="1:17" x14ac:dyDescent="0.25">
      <c r="A302" s="200"/>
      <c r="B302" s="20"/>
    </row>
    <row r="303" spans="1:17" x14ac:dyDescent="0.25">
      <c r="A303" s="13"/>
      <c r="B303" s="23"/>
      <c r="E303" s="201"/>
      <c r="F303" s="201"/>
      <c r="G303" s="201"/>
      <c r="H303" s="201"/>
      <c r="I303" s="201"/>
    </row>
    <row r="304" spans="1:17" x14ac:dyDescent="0.25">
      <c r="A304" s="200"/>
      <c r="B304" s="23"/>
      <c r="C304" s="23"/>
    </row>
    <row r="305" spans="1:16" x14ac:dyDescent="0.25">
      <c r="A305" s="200"/>
      <c r="B305" s="23"/>
      <c r="C305" s="23"/>
    </row>
    <row r="306" spans="1:16" x14ac:dyDescent="0.25">
      <c r="A306" s="200"/>
      <c r="B306" s="20"/>
      <c r="E306" s="201"/>
      <c r="F306" s="201"/>
      <c r="G306" s="201"/>
      <c r="H306" s="201"/>
      <c r="I306" s="201"/>
    </row>
    <row r="307" spans="1:16" x14ac:dyDescent="0.25">
      <c r="A307" s="13"/>
      <c r="B307" s="23"/>
    </row>
    <row r="308" spans="1:16" x14ac:dyDescent="0.25">
      <c r="A308" s="200"/>
      <c r="B308" s="23"/>
      <c r="C308" s="23"/>
    </row>
    <row r="309" spans="1:16" x14ac:dyDescent="0.25">
      <c r="A309" s="200"/>
      <c r="B309" s="23"/>
      <c r="C309" s="23"/>
    </row>
    <row r="310" spans="1:16" x14ac:dyDescent="0.25">
      <c r="A310" s="200"/>
      <c r="B310" s="23"/>
      <c r="C310" s="23"/>
    </row>
    <row r="311" spans="1:16" x14ac:dyDescent="0.25">
      <c r="A311" s="200"/>
      <c r="B311" s="23"/>
      <c r="C311" s="23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</row>
    <row r="312" spans="1:16" x14ac:dyDescent="0.25">
      <c r="A312" s="200"/>
      <c r="B312" s="23"/>
      <c r="C312" s="23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</row>
    <row r="313" spans="1:16" x14ac:dyDescent="0.25">
      <c r="A313" s="200"/>
      <c r="B313" s="20"/>
      <c r="C313" s="202"/>
      <c r="E313" s="202"/>
      <c r="F313" s="202"/>
      <c r="G313" s="202"/>
      <c r="H313" s="202"/>
      <c r="I313" s="202"/>
    </row>
    <row r="314" spans="1:16" x14ac:dyDescent="0.25">
      <c r="A314" s="13"/>
      <c r="B314" s="23"/>
      <c r="C314" s="202"/>
    </row>
    <row r="315" spans="1:16" x14ac:dyDescent="0.25">
      <c r="A315" s="13"/>
      <c r="B315" s="23"/>
      <c r="C315" s="23"/>
    </row>
    <row r="316" spans="1:16" x14ac:dyDescent="0.25">
      <c r="A316" s="13"/>
      <c r="B316" s="23"/>
      <c r="C316" s="23"/>
    </row>
    <row r="317" spans="1:16" x14ac:dyDescent="0.25">
      <c r="A317" s="13"/>
      <c r="B317" s="23"/>
      <c r="C317" s="202"/>
    </row>
    <row r="318" spans="1:16" x14ac:dyDescent="0.25">
      <c r="A318" s="13"/>
      <c r="B318" s="23"/>
      <c r="C318" s="202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</row>
    <row r="319" spans="1:16" x14ac:dyDescent="0.25">
      <c r="A319" s="13"/>
      <c r="B319" s="23"/>
      <c r="C319" s="202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</row>
    <row r="320" spans="1:16" x14ac:dyDescent="0.25">
      <c r="A320" s="200"/>
      <c r="B320" s="20"/>
      <c r="C320" s="202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</row>
    <row r="321" spans="1:2" x14ac:dyDescent="0.25">
      <c r="A321" s="13"/>
      <c r="B321" s="23"/>
    </row>
    <row r="322" spans="1:2" x14ac:dyDescent="0.25">
      <c r="A322" s="13"/>
      <c r="B322" s="23"/>
    </row>
    <row r="323" spans="1:2" x14ac:dyDescent="0.25">
      <c r="A323" s="13"/>
      <c r="B323" s="23"/>
    </row>
    <row r="324" spans="1:2" x14ac:dyDescent="0.25">
      <c r="B324" s="23"/>
    </row>
    <row r="325" spans="1:2" x14ac:dyDescent="0.25">
      <c r="B325" s="23"/>
    </row>
    <row r="326" spans="1:2" x14ac:dyDescent="0.25">
      <c r="B326" s="23"/>
    </row>
    <row r="327" spans="1:2" x14ac:dyDescent="0.25">
      <c r="B327" s="23"/>
    </row>
    <row r="328" spans="1:2" x14ac:dyDescent="0.25">
      <c r="B328" s="23"/>
    </row>
    <row r="329" spans="1:2" x14ac:dyDescent="0.25">
      <c r="B329" s="23"/>
    </row>
    <row r="330" spans="1:2" x14ac:dyDescent="0.25">
      <c r="B330" s="23"/>
    </row>
    <row r="331" spans="1:2" x14ac:dyDescent="0.25">
      <c r="B331" s="23"/>
    </row>
    <row r="332" spans="1:2" x14ac:dyDescent="0.25">
      <c r="B332" s="23"/>
    </row>
    <row r="333" spans="1:2" x14ac:dyDescent="0.25">
      <c r="B333" s="23"/>
    </row>
    <row r="334" spans="1:2" x14ac:dyDescent="0.25">
      <c r="B334" s="23"/>
    </row>
    <row r="335" spans="1:2" x14ac:dyDescent="0.25">
      <c r="B335" s="23"/>
    </row>
    <row r="336" spans="1:2" x14ac:dyDescent="0.25">
      <c r="B336" s="23"/>
    </row>
  </sheetData>
  <mergeCells count="3">
    <mergeCell ref="A8:Q8"/>
    <mergeCell ref="A9:Q9"/>
    <mergeCell ref="A10:Q10"/>
  </mergeCells>
  <pageMargins left="0.5" right="0.5" top="1" bottom="0.75" header="0.55000000000000004" footer="0.3"/>
  <pageSetup scale="56" fitToWidth="0" orientation="landscape" r:id="rId1"/>
  <headerFooter alignWithMargins="0">
    <oddHeader>&amp;C&amp;"Arial,Regular"&amp;8GULF POWER COMPANY
 ENVIRONMENTAL COST RECOVERY CLAUSE
 RETURN ON CAPITAL INVESTMENTS, DEPRECIATION AND TAXES &amp;R&amp;"Arial,Regular"&amp;8REVISED FORM 42-8E</oddHeader>
  </headerFooter>
  <rowBreaks count="5" manualBreakCount="5">
    <brk id="65" max="16" man="1"/>
    <brk id="118" max="16" man="1"/>
    <brk id="167" max="16" man="1"/>
    <brk id="215" max="16" man="1"/>
    <brk id="2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113</vt:i4>
      </vt:variant>
    </vt:vector>
  </HeadingPairs>
  <TitlesOfParts>
    <vt:vector size="157" baseType="lpstr">
      <vt:lpstr>42-1E</vt:lpstr>
      <vt:lpstr>42-2E</vt:lpstr>
      <vt:lpstr>42-3E</vt:lpstr>
      <vt:lpstr>42-4E</vt:lpstr>
      <vt:lpstr>42-5E</vt:lpstr>
      <vt:lpstr>42-6E</vt:lpstr>
      <vt:lpstr>42-7E</vt:lpstr>
      <vt:lpstr>42-8_Project 1</vt:lpstr>
      <vt:lpstr>42-8_Project 2</vt:lpstr>
      <vt:lpstr>42-8_Project 3</vt:lpstr>
      <vt:lpstr>42-8_Project 4</vt:lpstr>
      <vt:lpstr>42-8_Project 5</vt:lpstr>
      <vt:lpstr>42-8_Project 6</vt:lpstr>
      <vt:lpstr>42-8 Project_7</vt:lpstr>
      <vt:lpstr>42-8_Project 8</vt:lpstr>
      <vt:lpstr>42-8_Project 9</vt:lpstr>
      <vt:lpstr>42-8_Project 10</vt:lpstr>
      <vt:lpstr>42-8_Project_11</vt:lpstr>
      <vt:lpstr>42-8_Project 12</vt:lpstr>
      <vt:lpstr>42-8_Project 13</vt:lpstr>
      <vt:lpstr>42-8_Project 14</vt:lpstr>
      <vt:lpstr>42-8_Project 15</vt:lpstr>
      <vt:lpstr>42-8_Project 16</vt:lpstr>
      <vt:lpstr>42-8_Project 17</vt:lpstr>
      <vt:lpstr>42-8_Project 18</vt:lpstr>
      <vt:lpstr>42-8_Project 19</vt:lpstr>
      <vt:lpstr>42-8_Project 20</vt:lpstr>
      <vt:lpstr>42-8_Project 21</vt:lpstr>
      <vt:lpstr>42-8_Project 22</vt:lpstr>
      <vt:lpstr>42-8_Project 23</vt:lpstr>
      <vt:lpstr>42-8_Project 24</vt:lpstr>
      <vt:lpstr>42-8_Project 25</vt:lpstr>
      <vt:lpstr>42-8_Project 26</vt:lpstr>
      <vt:lpstr>42-8_Project 27</vt:lpstr>
      <vt:lpstr>42-8_Project_28</vt:lpstr>
      <vt:lpstr>42-8_Project 29</vt:lpstr>
      <vt:lpstr>42-8_Project 30</vt:lpstr>
      <vt:lpstr>42-8_Ann_NOx</vt:lpstr>
      <vt:lpstr>42-8_SO2</vt:lpstr>
      <vt:lpstr>42-8_Seas_NOx</vt:lpstr>
      <vt:lpstr>42-8_Smith Reg Asset</vt:lpstr>
      <vt:lpstr>42-8E Depr Schedule</vt:lpstr>
      <vt:lpstr>42-9E</vt:lpstr>
      <vt:lpstr>42-9E 2</vt:lpstr>
      <vt:lpstr>_1006</vt:lpstr>
      <vt:lpstr>'42-8 Project_7'!_1007</vt:lpstr>
      <vt:lpstr>_1007</vt:lpstr>
      <vt:lpstr>_1218</vt:lpstr>
      <vt:lpstr>_1227</vt:lpstr>
      <vt:lpstr>'42-8_Project 13'!_1228</vt:lpstr>
      <vt:lpstr>'42-8_Project 26'!_1228</vt:lpstr>
      <vt:lpstr>'42-8_Project 27'!_1228</vt:lpstr>
      <vt:lpstr>'42-8_Project 29'!_1228</vt:lpstr>
      <vt:lpstr>'42-8_Project 30'!_1228</vt:lpstr>
      <vt:lpstr>'42-8_Project_28'!_1228</vt:lpstr>
      <vt:lpstr>_1228</vt:lpstr>
      <vt:lpstr>_1232</vt:lpstr>
      <vt:lpstr>_1248</vt:lpstr>
      <vt:lpstr>_1270</vt:lpstr>
      <vt:lpstr>'42-8_Project 20'!_1271</vt:lpstr>
      <vt:lpstr>_1271</vt:lpstr>
      <vt:lpstr>_1272</vt:lpstr>
      <vt:lpstr>'42-8_Project 21'!_1275</vt:lpstr>
      <vt:lpstr>_1275</vt:lpstr>
      <vt:lpstr>_1280</vt:lpstr>
      <vt:lpstr>_1297</vt:lpstr>
      <vt:lpstr>_1413</vt:lpstr>
      <vt:lpstr>_1446</vt:lpstr>
      <vt:lpstr>_1461</vt:lpstr>
      <vt:lpstr>_1462</vt:lpstr>
      <vt:lpstr>_1466</vt:lpstr>
      <vt:lpstr>'42-8_Project 17'!_1535</vt:lpstr>
      <vt:lpstr>_1535</vt:lpstr>
      <vt:lpstr>_1620</vt:lpstr>
      <vt:lpstr>_1658</vt:lpstr>
      <vt:lpstr>'42-8_Project 19'!_4397</vt:lpstr>
      <vt:lpstr>_4397</vt:lpstr>
      <vt:lpstr>_5EOM</vt:lpstr>
      <vt:lpstr>_7EINVSUMM</vt:lpstr>
      <vt:lpstr>'42-9E'!_9E</vt:lpstr>
      <vt:lpstr>'42-9E 2'!_9E</vt:lpstr>
      <vt:lpstr>_ALLOW</vt:lpstr>
      <vt:lpstr>AirQuality</vt:lpstr>
      <vt:lpstr>'42-8_Ann_NOx'!ALLOW</vt:lpstr>
      <vt:lpstr>'42-8_Seas_NOx'!ALLOW</vt:lpstr>
      <vt:lpstr>ALLOW</vt:lpstr>
      <vt:lpstr>Ann_NOx</vt:lpstr>
      <vt:lpstr>'42-8_Project 29'!CAIR_CAMR</vt:lpstr>
      <vt:lpstr>'42-8_Project 30'!CAIR_CAMR</vt:lpstr>
      <vt:lpstr>'42-8_Project_28'!CAIR_CAMR</vt:lpstr>
      <vt:lpstr>CAIR_CAMR</vt:lpstr>
      <vt:lpstr>CEMS</vt:lpstr>
      <vt:lpstr>CemsAll</vt:lpstr>
      <vt:lpstr>CEMSDET</vt:lpstr>
      <vt:lpstr>CondenserTubes</vt:lpstr>
      <vt:lpstr>Daniel_Ash</vt:lpstr>
      <vt:lpstr>DEP</vt:lpstr>
      <vt:lpstr>FlowMeter</vt:lpstr>
      <vt:lpstr>FlowMeterDet</vt:lpstr>
      <vt:lpstr>FlowMeters</vt:lpstr>
      <vt:lpstr>Ground_H20</vt:lpstr>
      <vt:lpstr>INVSUMM</vt:lpstr>
      <vt:lpstr>LOWNOX</vt:lpstr>
      <vt:lpstr>LOWNOXDET</vt:lpstr>
      <vt:lpstr>PRECIP</vt:lpstr>
      <vt:lpstr>Precip_Up</vt:lpstr>
      <vt:lpstr>PRECIPDET</vt:lpstr>
      <vt:lpstr>'42-2E'!Print_Area</vt:lpstr>
      <vt:lpstr>'42-3E'!Print_Area</vt:lpstr>
      <vt:lpstr>'42-4E'!Print_Area</vt:lpstr>
      <vt:lpstr>'42-5E'!Print_Area</vt:lpstr>
      <vt:lpstr>'42-6E'!Print_Area</vt:lpstr>
      <vt:lpstr>'42-7E'!Print_Area</vt:lpstr>
      <vt:lpstr>'42-8 Project_7'!Print_Area</vt:lpstr>
      <vt:lpstr>'42-8_Ann_NOx'!Print_Area</vt:lpstr>
      <vt:lpstr>'42-8_Project 1'!Print_Area</vt:lpstr>
      <vt:lpstr>'42-8_Project 10'!Print_Area</vt:lpstr>
      <vt:lpstr>'42-8_Project 12'!Print_Area</vt:lpstr>
      <vt:lpstr>'42-8_Project 13'!Print_Area</vt:lpstr>
      <vt:lpstr>'42-8_Project 14'!Print_Area</vt:lpstr>
      <vt:lpstr>'42-8_Project 15'!Print_Area</vt:lpstr>
      <vt:lpstr>'42-8_Project 16'!Print_Area</vt:lpstr>
      <vt:lpstr>'42-8_Project 17'!Print_Area</vt:lpstr>
      <vt:lpstr>'42-8_Project 18'!Print_Area</vt:lpstr>
      <vt:lpstr>'42-8_Project 19'!Print_Area</vt:lpstr>
      <vt:lpstr>'42-8_Project 2'!Print_Area</vt:lpstr>
      <vt:lpstr>'42-8_Project 20'!Print_Area</vt:lpstr>
      <vt:lpstr>'42-8_Project 21'!Print_Area</vt:lpstr>
      <vt:lpstr>'42-8_Project 22'!Print_Area</vt:lpstr>
      <vt:lpstr>'42-8_Project 23'!Print_Area</vt:lpstr>
      <vt:lpstr>'42-8_Project 24'!Print_Area</vt:lpstr>
      <vt:lpstr>'42-8_Project 25'!Print_Area</vt:lpstr>
      <vt:lpstr>'42-8_Project 26'!Print_Area</vt:lpstr>
      <vt:lpstr>'42-8_Project 27'!Print_Area</vt:lpstr>
      <vt:lpstr>'42-8_Project 29'!Print_Area</vt:lpstr>
      <vt:lpstr>'42-8_Project 3'!Print_Area</vt:lpstr>
      <vt:lpstr>'42-8_Project 30'!Print_Area</vt:lpstr>
      <vt:lpstr>'42-8_Project 4'!Print_Area</vt:lpstr>
      <vt:lpstr>'42-8_Project 5'!Print_Area</vt:lpstr>
      <vt:lpstr>'42-8_Project 6'!Print_Area</vt:lpstr>
      <vt:lpstr>'42-8_Project 8'!Print_Area</vt:lpstr>
      <vt:lpstr>'42-8_Project 9'!Print_Area</vt:lpstr>
      <vt:lpstr>'42-8_Project_11'!Print_Area</vt:lpstr>
      <vt:lpstr>'42-8_Project_28'!Print_Area</vt:lpstr>
      <vt:lpstr>'42-8_Seas_NOx'!Print_Area</vt:lpstr>
      <vt:lpstr>'42-8_Smith Reg Asset'!Print_Area</vt:lpstr>
      <vt:lpstr>'42-8_SO2'!Print_Area</vt:lpstr>
      <vt:lpstr>'42-8E Depr Schedule'!Print_Area</vt:lpstr>
      <vt:lpstr>'42-9E'!Print_Area</vt:lpstr>
      <vt:lpstr>'42-9E 2'!Print_Area</vt:lpstr>
      <vt:lpstr>Seas_NOx</vt:lpstr>
      <vt:lpstr>Smith_Waste</vt:lpstr>
      <vt:lpstr>Smith_Water</vt:lpstr>
      <vt:lpstr>Sodium_Inj</vt:lpstr>
      <vt:lpstr>'42-8 Project_7'!SubstCont</vt:lpstr>
      <vt:lpstr>SubstCont</vt:lpstr>
      <vt:lpstr>SubstContAll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2020-11-10T16:54:10Z</dcterms:created>
  <dcterms:modified xsi:type="dcterms:W3CDTF">2020-11-10T16:55:43Z</dcterms:modified>
</cp:coreProperties>
</file>