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honda\Desktop\"/>
    </mc:Choice>
  </mc:AlternateContent>
  <bookViews>
    <workbookView xWindow="0" yWindow="0" windowWidth="15360" windowHeight="9300" firstSheet="11" activeTab="12"/>
  </bookViews>
  <sheets>
    <sheet name="Summary Tables" sheetId="14" r:id="rId1"/>
    <sheet name="Chart-GWh Pct Error" sheetId="12" r:id="rId2"/>
    <sheet name="Chart-GWh Error" sheetId="11" r:id="rId3"/>
    <sheet name="Chart-Winter Peak MW Error" sheetId="9" r:id="rId4"/>
    <sheet name="Chart-Winter Peak Pct Error" sheetId="10" r:id="rId5"/>
    <sheet name="Chart-Summer Peak MW Error" sheetId="15" r:id="rId6"/>
    <sheet name="Chart-Summer Peak Pct Error" sheetId="16" r:id="rId7"/>
    <sheet name="GWh" sheetId="1" r:id="rId8"/>
    <sheet name="Customers" sheetId="4" r:id="rId9"/>
    <sheet name="Avg MWh per Customer" sheetId="5" r:id="rId10"/>
    <sheet name="Summer Peak" sheetId="2" r:id="rId11"/>
    <sheet name="Winter Peak" sheetId="3" r:id="rId12"/>
    <sheet name="System Peak and Requirements" sheetId="7" r:id="rId13"/>
    <sheet name="Capital Calcs" sheetId="8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5" l="1"/>
  <c r="R14" i="5"/>
  <c r="Q14" i="5"/>
  <c r="S13" i="5"/>
  <c r="R13" i="5"/>
  <c r="Q13" i="5"/>
  <c r="S12" i="5"/>
  <c r="R12" i="5"/>
  <c r="Q12" i="5"/>
  <c r="S11" i="5"/>
  <c r="R11" i="5"/>
  <c r="Q11" i="5"/>
  <c r="S10" i="5"/>
  <c r="R10" i="5"/>
  <c r="Q10" i="5"/>
  <c r="S9" i="5"/>
  <c r="R9" i="5"/>
  <c r="Q9" i="5"/>
  <c r="S8" i="5"/>
  <c r="R8" i="5"/>
  <c r="Q8" i="5"/>
  <c r="S7" i="5"/>
  <c r="R7" i="5"/>
  <c r="S6" i="5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S6" i="4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S6" i="1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S6" i="3"/>
  <c r="S14" i="2"/>
  <c r="S13" i="2"/>
  <c r="S12" i="2"/>
  <c r="S11" i="2"/>
  <c r="S10" i="2"/>
  <c r="S9" i="2"/>
  <c r="S8" i="2"/>
  <c r="S7" i="2"/>
  <c r="S6" i="2"/>
  <c r="R14" i="2"/>
  <c r="R13" i="2"/>
  <c r="R12" i="2"/>
  <c r="R11" i="2"/>
  <c r="R10" i="2"/>
  <c r="R9" i="2"/>
  <c r="R8" i="2"/>
  <c r="R7" i="2"/>
  <c r="Q14" i="2"/>
  <c r="Q13" i="2"/>
  <c r="Q12" i="2"/>
  <c r="Q11" i="2"/>
  <c r="Q10" i="2"/>
  <c r="Q9" i="2"/>
  <c r="Q8" i="2"/>
  <c r="K13" i="8"/>
  <c r="J13" i="8"/>
  <c r="I13" i="8"/>
  <c r="H13" i="8"/>
  <c r="G13" i="8"/>
  <c r="F13" i="8"/>
  <c r="E13" i="8"/>
  <c r="D13" i="8"/>
  <c r="C13" i="8"/>
  <c r="K12" i="8"/>
  <c r="J12" i="8"/>
  <c r="I12" i="8"/>
  <c r="H12" i="8"/>
  <c r="G12" i="8"/>
  <c r="F12" i="8"/>
  <c r="E12" i="8"/>
  <c r="D12" i="8"/>
  <c r="C12" i="8"/>
  <c r="K10" i="8"/>
  <c r="J10" i="8"/>
  <c r="I10" i="8"/>
  <c r="H10" i="8"/>
  <c r="G10" i="8"/>
  <c r="F10" i="8"/>
  <c r="E10" i="8"/>
  <c r="D10" i="8"/>
  <c r="C10" i="8"/>
  <c r="K9" i="8"/>
  <c r="J9" i="8"/>
  <c r="I9" i="8"/>
  <c r="H9" i="8"/>
  <c r="G9" i="8"/>
  <c r="F9" i="8"/>
  <c r="E9" i="8"/>
  <c r="D9" i="8"/>
  <c r="C9" i="8"/>
  <c r="K6" i="8"/>
  <c r="J6" i="8"/>
  <c r="I6" i="8"/>
  <c r="H6" i="8"/>
  <c r="G6" i="8"/>
  <c r="F6" i="8"/>
  <c r="E6" i="8"/>
  <c r="D6" i="8"/>
  <c r="C6" i="8"/>
  <c r="K5" i="8"/>
  <c r="J5" i="8"/>
  <c r="I5" i="8"/>
  <c r="H5" i="8"/>
  <c r="G5" i="8"/>
  <c r="F5" i="8"/>
  <c r="E5" i="8"/>
  <c r="D5" i="8"/>
  <c r="C5" i="8"/>
  <c r="B13" i="8"/>
  <c r="B12" i="8"/>
  <c r="B10" i="8"/>
  <c r="B9" i="8"/>
  <c r="B7" i="8"/>
  <c r="B6" i="8"/>
  <c r="B5" i="8"/>
  <c r="K3" i="8"/>
  <c r="J3" i="8"/>
  <c r="I3" i="8"/>
  <c r="H3" i="8"/>
  <c r="G3" i="8"/>
  <c r="F3" i="8"/>
  <c r="E3" i="8"/>
  <c r="D3" i="8"/>
  <c r="C3" i="8"/>
  <c r="K2" i="8"/>
  <c r="J2" i="8"/>
  <c r="I2" i="8"/>
  <c r="H2" i="8"/>
  <c r="G2" i="8"/>
  <c r="F2" i="8"/>
  <c r="E2" i="8"/>
  <c r="D2" i="8"/>
  <c r="C2" i="8"/>
  <c r="B3" i="8"/>
  <c r="H24" i="7" l="1"/>
  <c r="H23" i="7"/>
  <c r="H22" i="7"/>
  <c r="H21" i="7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C14" i="7"/>
  <c r="C13" i="7"/>
  <c r="C12" i="7"/>
  <c r="C11" i="7"/>
  <c r="C10" i="7"/>
  <c r="C9" i="7"/>
  <c r="C8" i="7"/>
  <c r="C7" i="7"/>
  <c r="E7" i="7" s="1"/>
  <c r="C6" i="7"/>
  <c r="E6" i="7" s="1"/>
  <c r="C5" i="7"/>
  <c r="E5" i="7" s="1"/>
  <c r="C4" i="7"/>
  <c r="E4" i="7" s="1"/>
  <c r="C3" i="7"/>
  <c r="E3" i="7" s="1"/>
  <c r="U14" i="5"/>
  <c r="U13" i="5"/>
  <c r="U12" i="5"/>
  <c r="U11" i="5"/>
  <c r="U10" i="5"/>
  <c r="U9" i="5"/>
  <c r="U8" i="5"/>
  <c r="U7" i="5"/>
  <c r="U6" i="5"/>
  <c r="U5" i="5"/>
  <c r="U4" i="5"/>
  <c r="U3" i="5"/>
  <c r="O24" i="5"/>
  <c r="O23" i="5"/>
  <c r="O22" i="5"/>
  <c r="O21" i="5"/>
  <c r="O20" i="5"/>
  <c r="O19" i="5"/>
  <c r="O18" i="5"/>
  <c r="O17" i="5"/>
  <c r="O16" i="5"/>
  <c r="O15" i="5"/>
  <c r="N23" i="5"/>
  <c r="N22" i="5"/>
  <c r="N21" i="5"/>
  <c r="N20" i="5"/>
  <c r="N19" i="5"/>
  <c r="N18" i="5"/>
  <c r="N17" i="5"/>
  <c r="N16" i="5"/>
  <c r="N15" i="5"/>
  <c r="N14" i="5"/>
  <c r="M22" i="5"/>
  <c r="M21" i="5"/>
  <c r="M20" i="5"/>
  <c r="M19" i="5"/>
  <c r="M18" i="5"/>
  <c r="M17" i="5"/>
  <c r="M16" i="5"/>
  <c r="M15" i="5"/>
  <c r="M14" i="5"/>
  <c r="M13" i="5"/>
  <c r="L21" i="5"/>
  <c r="L20" i="5"/>
  <c r="L19" i="5"/>
  <c r="L18" i="5"/>
  <c r="L17" i="5"/>
  <c r="L16" i="5"/>
  <c r="L15" i="5"/>
  <c r="L14" i="5"/>
  <c r="L13" i="5"/>
  <c r="L12" i="5"/>
  <c r="K20" i="5"/>
  <c r="K19" i="5"/>
  <c r="K18" i="5"/>
  <c r="K17" i="5"/>
  <c r="K16" i="5"/>
  <c r="K15" i="5"/>
  <c r="K14" i="5"/>
  <c r="K13" i="5"/>
  <c r="K12" i="5"/>
  <c r="K11" i="5"/>
  <c r="J19" i="5"/>
  <c r="J18" i="5"/>
  <c r="J17" i="5"/>
  <c r="J16" i="5"/>
  <c r="J15" i="5"/>
  <c r="J14" i="5"/>
  <c r="X14" i="5" s="1"/>
  <c r="AB14" i="5" s="1"/>
  <c r="J13" i="5"/>
  <c r="J12" i="5"/>
  <c r="J11" i="5"/>
  <c r="J10" i="5"/>
  <c r="I18" i="5"/>
  <c r="I17" i="5"/>
  <c r="I16" i="5"/>
  <c r="I15" i="5"/>
  <c r="I14" i="5"/>
  <c r="W14" i="5" s="1"/>
  <c r="AA14" i="5" s="1"/>
  <c r="I13" i="5"/>
  <c r="X13" i="5" s="1"/>
  <c r="AB13" i="5" s="1"/>
  <c r="I12" i="5"/>
  <c r="Y12" i="5" s="1"/>
  <c r="AC12" i="5" s="1"/>
  <c r="I11" i="5"/>
  <c r="I10" i="5"/>
  <c r="I9" i="5"/>
  <c r="H17" i="5"/>
  <c r="H16" i="5"/>
  <c r="H15" i="5"/>
  <c r="H14" i="5"/>
  <c r="H13" i="5"/>
  <c r="H12" i="5"/>
  <c r="H11" i="5"/>
  <c r="Y11" i="5" s="1"/>
  <c r="AC11" i="5" s="1"/>
  <c r="H10" i="5"/>
  <c r="H9" i="5"/>
  <c r="H8" i="5"/>
  <c r="G16" i="5"/>
  <c r="G15" i="5"/>
  <c r="G14" i="5"/>
  <c r="G13" i="5"/>
  <c r="G12" i="5"/>
  <c r="G11" i="5"/>
  <c r="G10" i="5"/>
  <c r="Y10" i="5" s="1"/>
  <c r="AC10" i="5" s="1"/>
  <c r="G9" i="5"/>
  <c r="G8" i="5"/>
  <c r="G7" i="5"/>
  <c r="F15" i="5"/>
  <c r="F14" i="5"/>
  <c r="F13" i="5"/>
  <c r="F12" i="5"/>
  <c r="F11" i="5"/>
  <c r="W11" i="5" s="1"/>
  <c r="AA11" i="5" s="1"/>
  <c r="F10" i="5"/>
  <c r="X10" i="5" s="1"/>
  <c r="AB10" i="5" s="1"/>
  <c r="F9" i="5"/>
  <c r="F8" i="5"/>
  <c r="F7" i="5"/>
  <c r="F6" i="5"/>
  <c r="E14" i="5"/>
  <c r="E13" i="5"/>
  <c r="E12" i="5"/>
  <c r="E11" i="5"/>
  <c r="E10" i="5"/>
  <c r="W10" i="5" s="1"/>
  <c r="AA10" i="5" s="1"/>
  <c r="E9" i="5"/>
  <c r="X9" i="5" s="1"/>
  <c r="AB9" i="5" s="1"/>
  <c r="E8" i="5"/>
  <c r="Y8" i="5" s="1"/>
  <c r="AC8" i="5" s="1"/>
  <c r="E7" i="5"/>
  <c r="E6" i="5"/>
  <c r="E5" i="5"/>
  <c r="D13" i="5"/>
  <c r="D12" i="5"/>
  <c r="D11" i="5"/>
  <c r="D10" i="5"/>
  <c r="D9" i="5"/>
  <c r="D8" i="5"/>
  <c r="D7" i="5"/>
  <c r="Y7" i="5" s="1"/>
  <c r="AC7" i="5" s="1"/>
  <c r="D6" i="5"/>
  <c r="D5" i="5"/>
  <c r="D4" i="5"/>
  <c r="C12" i="5"/>
  <c r="C11" i="5"/>
  <c r="C10" i="5"/>
  <c r="C9" i="5"/>
  <c r="C8" i="5"/>
  <c r="C7" i="5"/>
  <c r="C6" i="5"/>
  <c r="C5" i="5"/>
  <c r="C4" i="5"/>
  <c r="C3" i="5"/>
  <c r="AE14" i="2"/>
  <c r="AE13" i="2"/>
  <c r="AE12" i="2"/>
  <c r="AE11" i="2"/>
  <c r="AE10" i="2"/>
  <c r="AE9" i="2"/>
  <c r="AE8" i="2"/>
  <c r="AE7" i="2"/>
  <c r="AE6" i="2"/>
  <c r="AE5" i="2"/>
  <c r="AE4" i="2"/>
  <c r="AE3" i="2"/>
  <c r="AE14" i="3"/>
  <c r="AE10" i="3"/>
  <c r="AE9" i="3"/>
  <c r="AE6" i="3"/>
  <c r="AE5" i="3"/>
  <c r="AE13" i="3"/>
  <c r="AE12" i="3"/>
  <c r="AE11" i="3"/>
  <c r="AE8" i="3"/>
  <c r="AE7" i="3"/>
  <c r="AE4" i="3"/>
  <c r="AE3" i="3"/>
  <c r="AB14" i="3"/>
  <c r="Y14" i="3"/>
  <c r="AC14" i="3" s="1"/>
  <c r="X14" i="3"/>
  <c r="W14" i="3"/>
  <c r="AA14" i="3" s="1"/>
  <c r="AB13" i="3"/>
  <c r="Y13" i="3"/>
  <c r="AC13" i="3" s="1"/>
  <c r="X13" i="3"/>
  <c r="W13" i="3"/>
  <c r="AA13" i="3" s="1"/>
  <c r="AB12" i="3"/>
  <c r="Y12" i="3"/>
  <c r="AC12" i="3" s="1"/>
  <c r="X12" i="3"/>
  <c r="W12" i="3"/>
  <c r="AA12" i="3" s="1"/>
  <c r="AB11" i="3"/>
  <c r="Y11" i="3"/>
  <c r="AC11" i="3" s="1"/>
  <c r="X11" i="3"/>
  <c r="W11" i="3"/>
  <c r="AA11" i="3" s="1"/>
  <c r="AB10" i="3"/>
  <c r="Y10" i="3"/>
  <c r="AC10" i="3" s="1"/>
  <c r="X10" i="3"/>
  <c r="W10" i="3"/>
  <c r="AA10" i="3" s="1"/>
  <c r="AB9" i="3"/>
  <c r="AB28" i="3" s="1"/>
  <c r="Y9" i="3"/>
  <c r="X9" i="3"/>
  <c r="X28" i="3" s="1"/>
  <c r="W9" i="3"/>
  <c r="AB8" i="3"/>
  <c r="Y8" i="3"/>
  <c r="AC8" i="3" s="1"/>
  <c r="X8" i="3"/>
  <c r="W8" i="3"/>
  <c r="AA8" i="3" s="1"/>
  <c r="AB7" i="3"/>
  <c r="Y7" i="3"/>
  <c r="AC7" i="3" s="1"/>
  <c r="X7" i="3"/>
  <c r="Y6" i="3"/>
  <c r="AC6" i="3" s="1"/>
  <c r="AB14" i="2"/>
  <c r="Y14" i="2"/>
  <c r="AC14" i="2" s="1"/>
  <c r="X14" i="2"/>
  <c r="W14" i="2"/>
  <c r="AA14" i="2" s="1"/>
  <c r="AC13" i="2"/>
  <c r="AB13" i="2"/>
  <c r="Y13" i="2"/>
  <c r="X13" i="2"/>
  <c r="W13" i="2"/>
  <c r="AA13" i="2" s="1"/>
  <c r="AB12" i="2"/>
  <c r="AA12" i="2"/>
  <c r="Y12" i="2"/>
  <c r="AC12" i="2" s="1"/>
  <c r="X12" i="2"/>
  <c r="W12" i="2"/>
  <c r="AC11" i="2"/>
  <c r="AB11" i="2"/>
  <c r="Y11" i="2"/>
  <c r="X11" i="2"/>
  <c r="W11" i="2"/>
  <c r="AA11" i="2" s="1"/>
  <c r="AB10" i="2"/>
  <c r="AB28" i="2" s="1"/>
  <c r="Y10" i="2"/>
  <c r="AC10" i="2" s="1"/>
  <c r="AC28" i="2" s="1"/>
  <c r="X10" i="2"/>
  <c r="X28" i="2" s="1"/>
  <c r="W10" i="2"/>
  <c r="AA10" i="2" s="1"/>
  <c r="AA28" i="2" s="1"/>
  <c r="AC9" i="2"/>
  <c r="AB9" i="2"/>
  <c r="Y9" i="2"/>
  <c r="X9" i="2"/>
  <c r="W9" i="2"/>
  <c r="AA9" i="2" s="1"/>
  <c r="AB8" i="2"/>
  <c r="AA8" i="2"/>
  <c r="Y8" i="2"/>
  <c r="AC8" i="2" s="1"/>
  <c r="X8" i="2"/>
  <c r="W8" i="2"/>
  <c r="AC7" i="2"/>
  <c r="AB7" i="2"/>
  <c r="Y7" i="2"/>
  <c r="X7" i="2"/>
  <c r="Y6" i="2"/>
  <c r="AC6" i="2" s="1"/>
  <c r="AB14" i="4"/>
  <c r="AA14" i="4"/>
  <c r="Y14" i="4"/>
  <c r="AC14" i="4" s="1"/>
  <c r="X14" i="4"/>
  <c r="W14" i="4"/>
  <c r="AC13" i="4"/>
  <c r="AB13" i="4"/>
  <c r="Y13" i="4"/>
  <c r="X13" i="4"/>
  <c r="W13" i="4"/>
  <c r="AA13" i="4" s="1"/>
  <c r="AB12" i="4"/>
  <c r="AA12" i="4"/>
  <c r="Y12" i="4"/>
  <c r="AC12" i="4" s="1"/>
  <c r="X12" i="4"/>
  <c r="W12" i="4"/>
  <c r="AC11" i="4"/>
  <c r="AB11" i="4"/>
  <c r="Y11" i="4"/>
  <c r="X11" i="4"/>
  <c r="W11" i="4"/>
  <c r="AA11" i="4" s="1"/>
  <c r="AB10" i="4"/>
  <c r="AA10" i="4"/>
  <c r="Y10" i="4"/>
  <c r="AC10" i="4" s="1"/>
  <c r="X10" i="4"/>
  <c r="W10" i="4"/>
  <c r="AC9" i="4"/>
  <c r="AB9" i="4"/>
  <c r="Y9" i="4"/>
  <c r="X9" i="4"/>
  <c r="W9" i="4"/>
  <c r="AA9" i="4" s="1"/>
  <c r="AA8" i="4"/>
  <c r="Y8" i="4"/>
  <c r="AC8" i="4" s="1"/>
  <c r="X8" i="4"/>
  <c r="AB8" i="4" s="1"/>
  <c r="W8" i="4"/>
  <c r="AC7" i="4"/>
  <c r="AB7" i="4"/>
  <c r="Y7" i="4"/>
  <c r="X7" i="4"/>
  <c r="Y6" i="4"/>
  <c r="AC6" i="4" s="1"/>
  <c r="AA14" i="1"/>
  <c r="AA13" i="1"/>
  <c r="AA12" i="1"/>
  <c r="AA11" i="1"/>
  <c r="AA10" i="1"/>
  <c r="AA8" i="1"/>
  <c r="AB14" i="1"/>
  <c r="AB13" i="1"/>
  <c r="AB12" i="1"/>
  <c r="AB11" i="1"/>
  <c r="AB10" i="1"/>
  <c r="AB8" i="1"/>
  <c r="AB7" i="1"/>
  <c r="AC14" i="1"/>
  <c r="AC13" i="1"/>
  <c r="AC12" i="1"/>
  <c r="AC11" i="1"/>
  <c r="AC10" i="1"/>
  <c r="AC8" i="1"/>
  <c r="AC7" i="1"/>
  <c r="AC6" i="1"/>
  <c r="W14" i="1"/>
  <c r="W13" i="1"/>
  <c r="W12" i="1"/>
  <c r="W11" i="1"/>
  <c r="W10" i="1"/>
  <c r="W9" i="1"/>
  <c r="W28" i="1" s="1"/>
  <c r="W8" i="1"/>
  <c r="X14" i="1"/>
  <c r="X13" i="1"/>
  <c r="X12" i="1"/>
  <c r="X11" i="1"/>
  <c r="X10" i="1"/>
  <c r="X9" i="1"/>
  <c r="X28" i="1" s="1"/>
  <c r="X8" i="1"/>
  <c r="X7" i="1"/>
  <c r="Y14" i="1"/>
  <c r="Y13" i="1"/>
  <c r="Y12" i="1"/>
  <c r="Y11" i="1"/>
  <c r="Y10" i="1"/>
  <c r="Y9" i="1"/>
  <c r="AC9" i="1" s="1"/>
  <c r="Y8" i="1"/>
  <c r="Y7" i="1"/>
  <c r="Y6" i="1"/>
  <c r="AC9" i="3" l="1"/>
  <c r="AC28" i="3" s="1"/>
  <c r="Y28" i="3"/>
  <c r="AA9" i="3"/>
  <c r="AA28" i="3" s="1"/>
  <c r="W28" i="3"/>
  <c r="W28" i="2"/>
  <c r="Y28" i="2"/>
  <c r="Y6" i="5"/>
  <c r="AC6" i="5" s="1"/>
  <c r="AB9" i="1"/>
  <c r="AB28" i="1" s="1"/>
  <c r="Y28" i="1"/>
  <c r="AC28" i="1"/>
  <c r="AA9" i="1"/>
  <c r="AA28" i="1" s="1"/>
  <c r="Y14" i="5"/>
  <c r="AC14" i="5" s="1"/>
  <c r="X7" i="5"/>
  <c r="AB7" i="5" s="1"/>
  <c r="X11" i="5"/>
  <c r="AB11" i="5" s="1"/>
  <c r="W9" i="5"/>
  <c r="AA9" i="5" s="1"/>
  <c r="W13" i="5"/>
  <c r="AA13" i="5" s="1"/>
  <c r="Y9" i="5"/>
  <c r="AC9" i="5" s="1"/>
  <c r="Y13" i="5"/>
  <c r="AC13" i="5" s="1"/>
  <c r="W8" i="5"/>
  <c r="AA8" i="5" s="1"/>
  <c r="W12" i="5"/>
  <c r="AA12" i="5" s="1"/>
  <c r="X8" i="5"/>
  <c r="AB8" i="5" s="1"/>
  <c r="X12" i="5"/>
  <c r="AB12" i="5" s="1"/>
  <c r="AE28" i="3"/>
  <c r="L9" i="7"/>
  <c r="L13" i="7"/>
  <c r="L10" i="7"/>
  <c r="L11" i="7"/>
  <c r="L14" i="7"/>
  <c r="L8" i="7"/>
  <c r="L12" i="7"/>
  <c r="AE28" i="2"/>
  <c r="E8" i="7"/>
  <c r="J8" i="7" s="1"/>
  <c r="E12" i="7"/>
  <c r="J12" i="7" s="1"/>
  <c r="E9" i="7"/>
  <c r="J9" i="7" s="1"/>
  <c r="E13" i="7"/>
  <c r="J13" i="7" s="1"/>
  <c r="E10" i="7"/>
  <c r="J10" i="7" s="1"/>
  <c r="E14" i="7"/>
  <c r="J14" i="7" s="1"/>
  <c r="E11" i="7"/>
  <c r="J11" i="7" s="1"/>
  <c r="J26" i="7" l="1"/>
</calcChain>
</file>

<file path=xl/sharedStrings.xml><?xml version="1.0" encoding="utf-8"?>
<sst xmlns="http://schemas.openxmlformats.org/spreadsheetml/2006/main" count="132" uniqueCount="54">
  <si>
    <t>Plan Year</t>
  </si>
  <si>
    <t>Forecast Year</t>
  </si>
  <si>
    <t>Actual GWh</t>
  </si>
  <si>
    <t>Actual MW</t>
  </si>
  <si>
    <t>Load Factor</t>
  </si>
  <si>
    <t>Diff MW (-5)</t>
  </si>
  <si>
    <t>Diff MW (-4)</t>
  </si>
  <si>
    <t>Diff MW (-3)</t>
  </si>
  <si>
    <t>Diff % (-5)</t>
  </si>
  <si>
    <t>Diff % (-4)</t>
  </si>
  <si>
    <t>Diff % (-3)</t>
  </si>
  <si>
    <t>Average</t>
  </si>
  <si>
    <t>Year</t>
  </si>
  <si>
    <t>Actual Peak</t>
  </si>
  <si>
    <t>Season</t>
  </si>
  <si>
    <t>Winter</t>
  </si>
  <si>
    <t>Summer</t>
  </si>
  <si>
    <t>System Requirement (actual peak)</t>
  </si>
  <si>
    <t>Forecast Peak (-5)</t>
  </si>
  <si>
    <t>Note: 23-26 come from the 17 forecast)</t>
  </si>
  <si>
    <t>Difference in Forecast and Actual Requirements</t>
  </si>
  <si>
    <t>Forecast System Requirements</t>
  </si>
  <si>
    <t>Implied margin</t>
  </si>
  <si>
    <t>Forecast (-5)</t>
  </si>
  <si>
    <t>Forecast (-4)</t>
  </si>
  <si>
    <t>Forecast (-3)</t>
  </si>
  <si>
    <t>Winter Peak Load Forecast Errors</t>
  </si>
  <si>
    <t>Summer Peak Load Forecast Errors</t>
  </si>
  <si>
    <t>Total Energy (GWh) Forecast Errors</t>
  </si>
  <si>
    <t>Actual Customers</t>
  </si>
  <si>
    <t>Diff Customer (-5)</t>
  </si>
  <si>
    <t>Diff Customer (-4)</t>
  </si>
  <si>
    <t>Diff Customer (-3)</t>
  </si>
  <si>
    <t>Diff GWh (-5)</t>
  </si>
  <si>
    <t>Diff GWh (-4)</t>
  </si>
  <si>
    <t>Diff GWh (-3)</t>
  </si>
  <si>
    <t>Actual MWh/customer</t>
  </si>
  <si>
    <t>Diff MWh/customer (-5)</t>
  </si>
  <si>
    <t>Diff MWh/customer (-4)</t>
  </si>
  <si>
    <t>Diff MWh/customer (-3)</t>
  </si>
  <si>
    <t>Gas ($/mmBtu)</t>
  </si>
  <si>
    <t>600 MW (Running cost)</t>
  </si>
  <si>
    <t>125 MW (running cost)</t>
  </si>
  <si>
    <t>Total Fuel cost Difference</t>
  </si>
  <si>
    <t>Load (MWh/year)</t>
  </si>
  <si>
    <t>125 MW (Tolling Payment @ $6/kW-month)</t>
  </si>
  <si>
    <t>600 MW (capital carrying cost @ $7/kw-month)</t>
  </si>
  <si>
    <t>600 MW Total fuel and capital cost</t>
  </si>
  <si>
    <t>125 MW Total Fuel and tolling cost)</t>
  </si>
  <si>
    <t>Note: Schedule 3.1.1 Base Case TYSP</t>
  </si>
  <si>
    <t>Note: Schedule 2.3 of TYSP</t>
  </si>
  <si>
    <t>Note: Schedule 3.2.1 Base Case</t>
  </si>
  <si>
    <t>Note: Actuals latest reported in a TYSP</t>
  </si>
  <si>
    <t>Note: Actuals latest reported from TYSP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</si>
</sst>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3" fontId="0" fillId="0" borderId="0" xfId="0" applyNumberFormat="1"/>
    <xf numFmtId="10" fontId="0" fillId="0" borderId="0" xfId="2" applyNumberFormat="1" applyFont="1"/>
    <xf numFmtId="2" fontId="0" fillId="0" borderId="0" xfId="0" applyNumberFormat="1"/>
    <xf numFmtId="10" fontId="0" fillId="0" borderId="0" xfId="0" applyNumberFormat="1"/>
    <xf numFmtId="43" fontId="0" fillId="0" borderId="0" xfId="1" applyFont="1"/>
    <xf numFmtId="43" fontId="0" fillId="0" borderId="0" xfId="0" applyNumberFormat="1"/>
    <xf numFmtId="9" fontId="0" fillId="0" borderId="0" xfId="2" applyFon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</a:t>
            </a:r>
            <a:r>
              <a:rPr lang="en-US" baseline="0"/>
              <a:t> Electric Cooperative</a:t>
            </a:r>
          </a:p>
          <a:p>
            <a:pPr>
              <a:defRPr/>
            </a:pPr>
            <a:r>
              <a:rPr lang="en-US" baseline="0"/>
              <a:t>Energy </a:t>
            </a:r>
            <a:r>
              <a:rPr lang="en-US"/>
              <a:t>Load Forecast Error (%),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GWh!$AC$6:$AC$14</c:f>
              <c:numCache>
                <c:formatCode>0.00%</c:formatCode>
                <c:ptCount val="9"/>
                <c:pt idx="0">
                  <c:v>5.9312254788829913E-2</c:v>
                </c:pt>
                <c:pt idx="1">
                  <c:v>0.1288030711052541</c:v>
                </c:pt>
                <c:pt idx="2">
                  <c:v>0.1800415081286752</c:v>
                </c:pt>
                <c:pt idx="3">
                  <c:v>0.1911205337656669</c:v>
                </c:pt>
                <c:pt idx="4">
                  <c:v>0.17673917179275794</c:v>
                </c:pt>
                <c:pt idx="5">
                  <c:v>0.18081204148747787</c:v>
                </c:pt>
                <c:pt idx="6">
                  <c:v>0.14248592464270246</c:v>
                </c:pt>
                <c:pt idx="7">
                  <c:v>9.1179807146908681E-2</c:v>
                </c:pt>
                <c:pt idx="8">
                  <c:v>6.6546886877202685E-2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4-4A34-BDAA-CD28D90B117E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GWh!$AB$6:$AB$14</c:f>
              <c:numCache>
                <c:formatCode>0.00%</c:formatCode>
                <c:ptCount val="9"/>
                <c:pt idx="1">
                  <c:v>9.5914742451154528E-2</c:v>
                </c:pt>
                <c:pt idx="2">
                  <c:v>0.18263576617087512</c:v>
                </c:pt>
                <c:pt idx="3">
                  <c:v>0.32474901789611521</c:v>
                </c:pt>
                <c:pt idx="4">
                  <c:v>0.26317458304267866</c:v>
                </c:pt>
                <c:pt idx="5">
                  <c:v>0.22312167973690869</c:v>
                </c:pt>
                <c:pt idx="6">
                  <c:v>0.17020355132091813</c:v>
                </c:pt>
                <c:pt idx="7">
                  <c:v>0.14946114577424843</c:v>
                </c:pt>
                <c:pt idx="8">
                  <c:v>9.9163844931241793E-2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24-4A34-BDAA-CD28D90B117E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GWh!$AA$6:$AA$14</c:f>
              <c:numCache>
                <c:formatCode>General</c:formatCode>
                <c:ptCount val="9"/>
                <c:pt idx="2" formatCode="0.00%">
                  <c:v>0.15069756716245819</c:v>
                </c:pt>
                <c:pt idx="3" formatCode="0.00%">
                  <c:v>0.3276173847976554</c:v>
                </c:pt>
                <c:pt idx="4" formatCode="0.00%">
                  <c:v>0.40192783309024033</c:v>
                </c:pt>
                <c:pt idx="5" formatCode="0.00%">
                  <c:v>0.31191500126486216</c:v>
                </c:pt>
                <c:pt idx="6" formatCode="0.00%">
                  <c:v>0.21827631009094847</c:v>
                </c:pt>
                <c:pt idx="7" formatCode="0.00%">
                  <c:v>0.18094157685762904</c:v>
                </c:pt>
                <c:pt idx="8" formatCode="0.00%">
                  <c:v>0.15354847626287058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24-4A34-BDAA-CD28D90B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438968"/>
        <c:axId val="251784504"/>
        <c:axId val="0"/>
      </c:bar3DChart>
      <c:catAx>
        <c:axId val="25443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4504"/>
        <c:crosses val="autoZero"/>
        <c:auto val="1"/>
        <c:lblAlgn val="ctr"/>
        <c:lblOffset val="100"/>
        <c:noMultiLvlLbl val="0"/>
      </c:catAx>
      <c:valAx>
        <c:axId val="25178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</a:t>
                </a:r>
              </a:p>
              <a:p>
                <a:pPr>
                  <a:defRPr/>
                </a:pPr>
                <a:r>
                  <a:rPr lang="en-US"/>
                  <a:t>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43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</a:t>
            </a:r>
            <a:r>
              <a:rPr lang="en-US" baseline="0"/>
              <a:t> Electric Cooperative</a:t>
            </a:r>
          </a:p>
          <a:p>
            <a:pPr>
              <a:defRPr/>
            </a:pPr>
            <a:r>
              <a:rPr lang="en-US" baseline="0"/>
              <a:t>Energy </a:t>
            </a:r>
            <a:r>
              <a:rPr lang="en-US"/>
              <a:t>Load Forecast Error (GWh),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GWh!$Y$6:$Y$14</c:f>
              <c:numCache>
                <c:formatCode>#,##0</c:formatCode>
                <c:ptCount val="9"/>
                <c:pt idx="0">
                  <c:v>1028</c:v>
                </c:pt>
                <c:pt idx="1">
                  <c:v>2248</c:v>
                </c:pt>
                <c:pt idx="2">
                  <c:v>3123</c:v>
                </c:pt>
                <c:pt idx="3">
                  <c:v>3065</c:v>
                </c:pt>
                <c:pt idx="4">
                  <c:v>2787</c:v>
                </c:pt>
                <c:pt idx="5">
                  <c:v>2859</c:v>
                </c:pt>
                <c:pt idx="6">
                  <c:v>1974</c:v>
                </c:pt>
                <c:pt idx="7">
                  <c:v>1286</c:v>
                </c:pt>
                <c:pt idx="8">
                  <c:v>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E6-46CA-B613-FD16075A4F05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GWh!$X$6:$X$14</c:f>
              <c:numCache>
                <c:formatCode>#,##0</c:formatCode>
                <c:ptCount val="9"/>
                <c:pt idx="1">
                  <c:v>1674</c:v>
                </c:pt>
                <c:pt idx="2">
                  <c:v>3168</c:v>
                </c:pt>
                <c:pt idx="3">
                  <c:v>5208</c:v>
                </c:pt>
                <c:pt idx="4">
                  <c:v>4150</c:v>
                </c:pt>
                <c:pt idx="5">
                  <c:v>3528</c:v>
                </c:pt>
                <c:pt idx="6">
                  <c:v>2358</c:v>
                </c:pt>
                <c:pt idx="7">
                  <c:v>2108</c:v>
                </c:pt>
                <c:pt idx="8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E6-46CA-B613-FD16075A4F05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GWh!$W$6:$W$14</c:f>
              <c:numCache>
                <c:formatCode>General</c:formatCode>
                <c:ptCount val="9"/>
                <c:pt idx="2" formatCode="#,##0">
                  <c:v>2614</c:v>
                </c:pt>
                <c:pt idx="3" formatCode="#,##0">
                  <c:v>5254</c:v>
                </c:pt>
                <c:pt idx="4" formatCode="#,##0">
                  <c:v>6338</c:v>
                </c:pt>
                <c:pt idx="5" formatCode="#,##0">
                  <c:v>4932</c:v>
                </c:pt>
                <c:pt idx="6" formatCode="#,##0">
                  <c:v>3024</c:v>
                </c:pt>
                <c:pt idx="7" formatCode="#,##0">
                  <c:v>2552</c:v>
                </c:pt>
                <c:pt idx="8" formatCode="#,##0">
                  <c:v>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6-46CA-B613-FD16075A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784112"/>
        <c:axId val="251783328"/>
        <c:axId val="0"/>
      </c:bar3DChart>
      <c:catAx>
        <c:axId val="25178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3328"/>
        <c:crosses val="autoZero"/>
        <c:auto val="1"/>
        <c:lblAlgn val="ctr"/>
        <c:lblOffset val="100"/>
        <c:noMultiLvlLbl val="0"/>
      </c:catAx>
      <c:valAx>
        <c:axId val="2517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 Electric Cooperative</a:t>
            </a:r>
          </a:p>
          <a:p>
            <a:pPr>
              <a:defRPr/>
            </a:pPr>
            <a:r>
              <a:rPr lang="en-US"/>
              <a:t>Winter Peak Load Forecast Error (MW),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'Winter Peak'!$Y$6:$Y$14</c:f>
              <c:numCache>
                <c:formatCode>#,##0</c:formatCode>
                <c:ptCount val="9"/>
                <c:pt idx="0">
                  <c:v>125</c:v>
                </c:pt>
                <c:pt idx="1">
                  <c:v>166</c:v>
                </c:pt>
                <c:pt idx="2">
                  <c:v>1092</c:v>
                </c:pt>
                <c:pt idx="3">
                  <c:v>1161</c:v>
                </c:pt>
                <c:pt idx="4">
                  <c:v>1096</c:v>
                </c:pt>
                <c:pt idx="5">
                  <c:v>992</c:v>
                </c:pt>
                <c:pt idx="6">
                  <c:v>698</c:v>
                </c:pt>
                <c:pt idx="7">
                  <c:v>885</c:v>
                </c:pt>
                <c:pt idx="8">
                  <c:v>1128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DD-434D-ACB5-E63A0926E0F8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'Winter Peak'!$X$6:$X$14</c:f>
              <c:numCache>
                <c:formatCode>#,##0</c:formatCode>
                <c:ptCount val="9"/>
                <c:pt idx="1">
                  <c:v>21</c:v>
                </c:pt>
                <c:pt idx="2">
                  <c:v>1099</c:v>
                </c:pt>
                <c:pt idx="3">
                  <c:v>1692</c:v>
                </c:pt>
                <c:pt idx="4">
                  <c:v>1586</c:v>
                </c:pt>
                <c:pt idx="5">
                  <c:v>1069</c:v>
                </c:pt>
                <c:pt idx="6">
                  <c:v>758</c:v>
                </c:pt>
                <c:pt idx="7">
                  <c:v>1099</c:v>
                </c:pt>
                <c:pt idx="8">
                  <c:v>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DD-434D-ACB5-E63A0926E0F8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'Winter Peak'!$W$6:$W$14</c:f>
              <c:numCache>
                <c:formatCode>General</c:formatCode>
                <c:ptCount val="9"/>
                <c:pt idx="2" formatCode="#,##0">
                  <c:v>970</c:v>
                </c:pt>
                <c:pt idx="3" formatCode="#,##0">
                  <c:v>1699</c:v>
                </c:pt>
                <c:pt idx="4" formatCode="#,##0">
                  <c:v>2113</c:v>
                </c:pt>
                <c:pt idx="5" formatCode="#,##0">
                  <c:v>1344</c:v>
                </c:pt>
                <c:pt idx="6" formatCode="#,##0">
                  <c:v>853</c:v>
                </c:pt>
                <c:pt idx="7" formatCode="#,##0">
                  <c:v>1174</c:v>
                </c:pt>
                <c:pt idx="8" formatCode="#,##0">
                  <c:v>1511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DD-434D-ACB5-E63A0926E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783720"/>
        <c:axId val="251782936"/>
        <c:axId val="0"/>
      </c:bar3DChart>
      <c:catAx>
        <c:axId val="25178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2936"/>
        <c:crosses val="autoZero"/>
        <c:auto val="1"/>
        <c:lblAlgn val="ctr"/>
        <c:lblOffset val="100"/>
        <c:noMultiLvlLbl val="0"/>
      </c:catAx>
      <c:valAx>
        <c:axId val="25178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 Electric Cooperative</a:t>
            </a:r>
          </a:p>
          <a:p>
            <a:pPr>
              <a:defRPr/>
            </a:pPr>
            <a:r>
              <a:rPr lang="en-US"/>
              <a:t>Winter Peak Load Forecast Error (%),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'Winter Peak'!$AC$6:$AC$14</c:f>
              <c:numCache>
                <c:formatCode>0.00%</c:formatCode>
                <c:ptCount val="9"/>
                <c:pt idx="0">
                  <c:v>2.6382439848037148E-2</c:v>
                </c:pt>
                <c:pt idx="1">
                  <c:v>3.2890826233405987E-2</c:v>
                </c:pt>
                <c:pt idx="2">
                  <c:v>0.25307068366164542</c:v>
                </c:pt>
                <c:pt idx="3">
                  <c:v>0.29632465543644715</c:v>
                </c:pt>
                <c:pt idx="4">
                  <c:v>0.29565686538980307</c:v>
                </c:pt>
                <c:pt idx="5">
                  <c:v>0.30617283950617286</c:v>
                </c:pt>
                <c:pt idx="6">
                  <c:v>0.19426662955747287</c:v>
                </c:pt>
                <c:pt idx="7">
                  <c:v>0.26761415179921377</c:v>
                </c:pt>
                <c:pt idx="8">
                  <c:v>0.37375745526838966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81-47DE-A2DE-F1BBD200E6EC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'Winter Peak'!$AB$6:$AB$14</c:f>
              <c:numCache>
                <c:formatCode>0.00%</c:formatCode>
                <c:ptCount val="9"/>
                <c:pt idx="1">
                  <c:v>4.160887656033287E-3</c:v>
                </c:pt>
                <c:pt idx="2">
                  <c:v>0.25469293163383544</c:v>
                </c:pt>
                <c:pt idx="3">
                  <c:v>0.43185298621745788</c:v>
                </c:pt>
                <c:pt idx="4">
                  <c:v>0.42783922309144862</c:v>
                </c:pt>
                <c:pt idx="5">
                  <c:v>0.32993827160493827</c:v>
                </c:pt>
                <c:pt idx="6">
                  <c:v>0.21096576676871695</c:v>
                </c:pt>
                <c:pt idx="7">
                  <c:v>0.33232537042636828</c:v>
                </c:pt>
                <c:pt idx="8">
                  <c:v>0.43339960238568587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81-47DE-A2DE-F1BBD200E6EC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'Winter Peak'!$AA$6:$AA$14</c:f>
              <c:numCache>
                <c:formatCode>General</c:formatCode>
                <c:ptCount val="9"/>
                <c:pt idx="2" formatCode="0.00%">
                  <c:v>0.22479721900347624</c:v>
                </c:pt>
                <c:pt idx="3" formatCode="0.00%">
                  <c:v>0.43363961204696272</c:v>
                </c:pt>
                <c:pt idx="4" formatCode="0.00%">
                  <c:v>0.5700026975991368</c:v>
                </c:pt>
                <c:pt idx="5" formatCode="0.00%">
                  <c:v>0.4148148148148148</c:v>
                </c:pt>
                <c:pt idx="6" formatCode="0.00%">
                  <c:v>0.23740606735318676</c:v>
                </c:pt>
                <c:pt idx="7" formatCode="0.00%">
                  <c:v>0.35500453583308134</c:v>
                </c:pt>
                <c:pt idx="8" formatCode="0.00%">
                  <c:v>0.50066269052352552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81-47DE-A2DE-F1BBD200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782152"/>
        <c:axId val="460880984"/>
        <c:axId val="0"/>
      </c:bar3DChart>
      <c:catAx>
        <c:axId val="25178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880984"/>
        <c:crosses val="autoZero"/>
        <c:auto val="1"/>
        <c:lblAlgn val="ctr"/>
        <c:lblOffset val="100"/>
        <c:noMultiLvlLbl val="0"/>
      </c:catAx>
      <c:valAx>
        <c:axId val="46088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</a:t>
                </a:r>
              </a:p>
              <a:p>
                <a:pPr>
                  <a:defRPr/>
                </a:pPr>
                <a:r>
                  <a:rPr lang="en-US"/>
                  <a:t>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 Electric Cooperative</a:t>
            </a:r>
          </a:p>
          <a:p>
            <a:pPr>
              <a:defRPr/>
            </a:pPr>
            <a:r>
              <a:rPr lang="en-US"/>
              <a:t>Summer Peak Load Forecast Error (MW),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'Summer Peak'!$Y$6:$Y$14</c:f>
              <c:numCache>
                <c:formatCode>#,##0</c:formatCode>
                <c:ptCount val="9"/>
                <c:pt idx="0">
                  <c:v>112</c:v>
                </c:pt>
                <c:pt idx="1">
                  <c:v>176</c:v>
                </c:pt>
                <c:pt idx="2">
                  <c:v>604</c:v>
                </c:pt>
                <c:pt idx="3">
                  <c:v>378</c:v>
                </c:pt>
                <c:pt idx="4">
                  <c:v>645</c:v>
                </c:pt>
                <c:pt idx="5">
                  <c:v>582</c:v>
                </c:pt>
                <c:pt idx="6">
                  <c:v>412</c:v>
                </c:pt>
                <c:pt idx="7">
                  <c:v>329</c:v>
                </c:pt>
                <c:pt idx="8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A4-4CD9-9722-F082B9920849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'Summer Peak'!$X$6:$X$14</c:f>
              <c:numCache>
                <c:formatCode>#,##0</c:formatCode>
                <c:ptCount val="9"/>
                <c:pt idx="1">
                  <c:v>71</c:v>
                </c:pt>
                <c:pt idx="2">
                  <c:v>609</c:v>
                </c:pt>
                <c:pt idx="3">
                  <c:v>646</c:v>
                </c:pt>
                <c:pt idx="4">
                  <c:v>769</c:v>
                </c:pt>
                <c:pt idx="5">
                  <c:v>704</c:v>
                </c:pt>
                <c:pt idx="6">
                  <c:v>549</c:v>
                </c:pt>
                <c:pt idx="7">
                  <c:v>557</c:v>
                </c:pt>
                <c:pt idx="8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A4-4CD9-9722-F082B9920849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'Summer Peak'!$W$6:$W$14</c:f>
              <c:numCache>
                <c:formatCode>General</c:formatCode>
                <c:ptCount val="9"/>
                <c:pt idx="2" formatCode="#,##0">
                  <c:v>508</c:v>
                </c:pt>
                <c:pt idx="3" formatCode="#,##0">
                  <c:v>652</c:v>
                </c:pt>
                <c:pt idx="4" formatCode="#,##0">
                  <c:v>1026</c:v>
                </c:pt>
                <c:pt idx="5" formatCode="#,##0">
                  <c:v>799</c:v>
                </c:pt>
                <c:pt idx="6" formatCode="#,##0">
                  <c:v>631</c:v>
                </c:pt>
                <c:pt idx="7" formatCode="#,##0">
                  <c:v>713</c:v>
                </c:pt>
                <c:pt idx="8" formatCode="#,##0">
                  <c:v>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A4-4CD9-9722-F082B992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8724632"/>
        <c:axId val="458725024"/>
        <c:axId val="0"/>
      </c:bar3DChart>
      <c:catAx>
        <c:axId val="45872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5024"/>
        <c:crosses val="autoZero"/>
        <c:auto val="1"/>
        <c:lblAlgn val="ctr"/>
        <c:lblOffset val="100"/>
        <c:noMultiLvlLbl val="0"/>
      </c:catAx>
      <c:valAx>
        <c:axId val="4587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Seminole Electric Cooperative</a:t>
            </a:r>
          </a:p>
          <a:p>
            <a:pPr>
              <a:defRPr/>
            </a:pPr>
            <a:r>
              <a:rPr lang="en-US"/>
              <a:t>Summer Peak Load Forecast Error (%), 2005-2016, 3, 4, and 5 Years 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Forecast Error (Yr-3)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'Winter Peak'!$A$6:$A$14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'Summer Peak'!$AC$6:$AC$14</c:f>
              <c:numCache>
                <c:formatCode>0.00%</c:formatCode>
                <c:ptCount val="9"/>
                <c:pt idx="0">
                  <c:v>3.0853994490358128E-2</c:v>
                </c:pt>
                <c:pt idx="1">
                  <c:v>4.6025104602510462E-2</c:v>
                </c:pt>
                <c:pt idx="2">
                  <c:v>0.17023675310033823</c:v>
                </c:pt>
                <c:pt idx="3">
                  <c:v>0.10347659457979742</c:v>
                </c:pt>
                <c:pt idx="4">
                  <c:v>0.18815635939323219</c:v>
                </c:pt>
                <c:pt idx="5">
                  <c:v>0.16320807627593942</c:v>
                </c:pt>
                <c:pt idx="6">
                  <c:v>0.13341968911917099</c:v>
                </c:pt>
                <c:pt idx="7">
                  <c:v>0.10890433631247931</c:v>
                </c:pt>
                <c:pt idx="8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4-4104-B12F-1FECF8095059}"/>
            </c:ext>
          </c:extLst>
        </c:ser>
        <c:ser>
          <c:idx val="1"/>
          <c:order val="1"/>
          <c:tx>
            <c:v>Forecast Error (Yr-4)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'Summer Peak'!$AB$6:$AB$14</c:f>
              <c:numCache>
                <c:formatCode>0.00%</c:formatCode>
                <c:ptCount val="9"/>
                <c:pt idx="1">
                  <c:v>1.8566945606694561E-2</c:v>
                </c:pt>
                <c:pt idx="2">
                  <c:v>0.17164599774520856</c:v>
                </c:pt>
                <c:pt idx="3">
                  <c:v>0.17684095264166438</c:v>
                </c:pt>
                <c:pt idx="4">
                  <c:v>0.22432905484247376</c:v>
                </c:pt>
                <c:pt idx="5">
                  <c:v>0.19742007851934942</c:v>
                </c:pt>
                <c:pt idx="6">
                  <c:v>0.17778497409326424</c:v>
                </c:pt>
                <c:pt idx="7">
                  <c:v>0.18437603442568687</c:v>
                </c:pt>
                <c:pt idx="8">
                  <c:v>6.7221708294788782E-2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B4-4104-B12F-1FECF8095059}"/>
            </c:ext>
          </c:extLst>
        </c:ser>
        <c:ser>
          <c:idx val="2"/>
          <c:order val="2"/>
          <c:tx>
            <c:v>Forecast Error (Yr-5)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'Summer Peak'!$AA$6:$AA$14</c:f>
              <c:numCache>
                <c:formatCode>General</c:formatCode>
                <c:ptCount val="9"/>
                <c:pt idx="2" formatCode="0.00%">
                  <c:v>0.14317925591882752</c:v>
                </c:pt>
                <c:pt idx="3" formatCode="0.00%">
                  <c:v>0.17848343826991514</c:v>
                </c:pt>
                <c:pt idx="4" formatCode="0.00%">
                  <c:v>0.29929988331388563</c:v>
                </c:pt>
                <c:pt idx="5" formatCode="0.00%">
                  <c:v>0.22406057206954572</c:v>
                </c:pt>
                <c:pt idx="6" formatCode="0.00%">
                  <c:v>0.20433937823834197</c:v>
                </c:pt>
                <c:pt idx="7" formatCode="0.00%">
                  <c:v>0.23601456471367097</c:v>
                </c:pt>
                <c:pt idx="8" formatCode="0.00%">
                  <c:v>0.13536848596978107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B4-4104-B12F-1FECF809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8725416"/>
        <c:axId val="458725808"/>
        <c:axId val="0"/>
      </c:bar3DChart>
      <c:catAx>
        <c:axId val="45872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5808"/>
        <c:crosses val="autoZero"/>
        <c:auto val="1"/>
        <c:lblAlgn val="ctr"/>
        <c:lblOffset val="100"/>
        <c:noMultiLvlLbl val="0"/>
      </c:catAx>
      <c:valAx>
        <c:axId val="4587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</a:t>
                </a:r>
              </a:p>
              <a:p>
                <a:pPr>
                  <a:defRPr/>
                </a:pPr>
                <a:r>
                  <a:rPr lang="en-US"/>
                  <a:t>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87" cy="6293922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D59B581-F1D6-4CFB-A306-870D82F627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C3470DF-0273-4D6F-BFD7-3595879E4C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944E449-519B-4E75-A3E9-A6C5286895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623F829-42D0-4C0A-A3AA-D9F3AD6761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25637B0-4CC9-490B-818F-B3B6A3EFB5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5D0A196-06BD-4DBD-B46D-272EB190E5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E56" sqref="E56"/>
    </sheetView>
  </sheetViews>
  <sheetFormatPr defaultRowHeight="14.4" x14ac:dyDescent="0.3"/>
  <cols>
    <col min="2" max="4" width="10.77734375" bestFit="1" customWidth="1"/>
    <col min="5" max="5" width="10.77734375" customWidth="1"/>
  </cols>
  <sheetData>
    <row r="1" spans="1:9" x14ac:dyDescent="0.3">
      <c r="A1" t="s">
        <v>26</v>
      </c>
    </row>
    <row r="3" spans="1:9" x14ac:dyDescent="0.3">
      <c r="B3" t="s">
        <v>5</v>
      </c>
      <c r="C3" t="s">
        <v>6</v>
      </c>
      <c r="D3" t="s">
        <v>7</v>
      </c>
      <c r="G3" t="s">
        <v>8</v>
      </c>
      <c r="H3" t="s">
        <v>9</v>
      </c>
      <c r="I3" t="s">
        <v>10</v>
      </c>
    </row>
    <row r="5" spans="1:9" x14ac:dyDescent="0.3">
      <c r="A5">
        <v>2005</v>
      </c>
      <c r="F5">
        <v>2005</v>
      </c>
    </row>
    <row r="6" spans="1:9" x14ac:dyDescent="0.3">
      <c r="A6">
        <v>2006</v>
      </c>
      <c r="F6">
        <v>2006</v>
      </c>
    </row>
    <row r="7" spans="1:9" x14ac:dyDescent="0.3">
      <c r="A7">
        <v>2007</v>
      </c>
      <c r="F7">
        <v>2007</v>
      </c>
    </row>
    <row r="8" spans="1:9" x14ac:dyDescent="0.3">
      <c r="A8">
        <v>2008</v>
      </c>
      <c r="D8" s="1">
        <v>125</v>
      </c>
      <c r="E8" s="1"/>
      <c r="F8">
        <v>2008</v>
      </c>
      <c r="I8" s="4">
        <v>2.6382439848037148E-2</v>
      </c>
    </row>
    <row r="9" spans="1:9" x14ac:dyDescent="0.3">
      <c r="A9">
        <v>2009</v>
      </c>
      <c r="C9" s="1">
        <v>21</v>
      </c>
      <c r="D9" s="1">
        <v>166</v>
      </c>
      <c r="E9" s="1"/>
      <c r="F9">
        <v>2009</v>
      </c>
      <c r="H9" s="4">
        <v>4.160887656033287E-3</v>
      </c>
      <c r="I9" s="4">
        <v>3.2890826233405987E-2</v>
      </c>
    </row>
    <row r="10" spans="1:9" x14ac:dyDescent="0.3">
      <c r="A10">
        <v>2010</v>
      </c>
      <c r="B10" s="1">
        <v>970</v>
      </c>
      <c r="C10" s="1">
        <v>1099</v>
      </c>
      <c r="D10" s="1">
        <v>1092</v>
      </c>
      <c r="E10" s="1"/>
      <c r="F10">
        <v>2010</v>
      </c>
      <c r="G10" s="4">
        <v>0.22479721900347624</v>
      </c>
      <c r="H10" s="4">
        <v>0.25469293163383544</v>
      </c>
      <c r="I10" s="4">
        <v>0.25307068366164542</v>
      </c>
    </row>
    <row r="11" spans="1:9" x14ac:dyDescent="0.3">
      <c r="A11">
        <v>2011</v>
      </c>
      <c r="B11" s="1">
        <v>1699</v>
      </c>
      <c r="C11" s="1">
        <v>1692</v>
      </c>
      <c r="D11" s="1">
        <v>1161</v>
      </c>
      <c r="E11" s="1"/>
      <c r="F11">
        <v>2011</v>
      </c>
      <c r="G11" s="4">
        <v>0.43363961204696272</v>
      </c>
      <c r="H11" s="4">
        <v>0.43185298621745788</v>
      </c>
      <c r="I11" s="4">
        <v>0.29632465543644715</v>
      </c>
    </row>
    <row r="12" spans="1:9" x14ac:dyDescent="0.3">
      <c r="A12">
        <v>2012</v>
      </c>
      <c r="B12" s="1">
        <v>2113</v>
      </c>
      <c r="C12" s="1">
        <v>1586</v>
      </c>
      <c r="D12" s="1">
        <v>1096</v>
      </c>
      <c r="E12" s="1"/>
      <c r="F12">
        <v>2012</v>
      </c>
      <c r="G12" s="4">
        <v>0.5700026975991368</v>
      </c>
      <c r="H12" s="4">
        <v>0.42783922309144862</v>
      </c>
      <c r="I12" s="4">
        <v>0.29565686538980307</v>
      </c>
    </row>
    <row r="13" spans="1:9" x14ac:dyDescent="0.3">
      <c r="A13">
        <v>2013</v>
      </c>
      <c r="B13" s="1">
        <v>1344</v>
      </c>
      <c r="C13" s="1">
        <v>1069</v>
      </c>
      <c r="D13" s="1">
        <v>992</v>
      </c>
      <c r="E13" s="1"/>
      <c r="F13">
        <v>2013</v>
      </c>
      <c r="G13" s="4">
        <v>0.4148148148148148</v>
      </c>
      <c r="H13" s="4">
        <v>0.32993827160493827</v>
      </c>
      <c r="I13" s="4">
        <v>0.30617283950617286</v>
      </c>
    </row>
    <row r="14" spans="1:9" x14ac:dyDescent="0.3">
      <c r="A14">
        <v>2014</v>
      </c>
      <c r="B14" s="1">
        <v>853</v>
      </c>
      <c r="C14" s="1">
        <v>758</v>
      </c>
      <c r="D14" s="1">
        <v>698</v>
      </c>
      <c r="E14" s="1"/>
      <c r="F14">
        <v>2014</v>
      </c>
      <c r="G14" s="4">
        <v>0.23740606735318676</v>
      </c>
      <c r="H14" s="4">
        <v>0.21096576676871695</v>
      </c>
      <c r="I14" s="4">
        <v>0.19426662955747287</v>
      </c>
    </row>
    <row r="15" spans="1:9" x14ac:dyDescent="0.3">
      <c r="A15">
        <v>2015</v>
      </c>
      <c r="B15" s="1">
        <v>1174</v>
      </c>
      <c r="C15" s="1">
        <v>1099</v>
      </c>
      <c r="D15" s="1">
        <v>885</v>
      </c>
      <c r="E15" s="1"/>
      <c r="F15">
        <v>2015</v>
      </c>
      <c r="G15" s="4">
        <v>0.35500453583308134</v>
      </c>
      <c r="H15" s="4">
        <v>0.33232537042636828</v>
      </c>
      <c r="I15" s="4">
        <v>0.26761415179921377</v>
      </c>
    </row>
    <row r="16" spans="1:9" x14ac:dyDescent="0.3">
      <c r="A16">
        <v>2016</v>
      </c>
      <c r="B16" s="1">
        <v>1511</v>
      </c>
      <c r="C16" s="1">
        <v>1308</v>
      </c>
      <c r="D16" s="1">
        <v>1128</v>
      </c>
      <c r="E16" s="1"/>
      <c r="F16">
        <v>2016</v>
      </c>
      <c r="G16" s="4">
        <v>0.50066269052352552</v>
      </c>
      <c r="H16" s="4">
        <v>0.43339960238568587</v>
      </c>
      <c r="I16" s="4">
        <v>0.37375745526838966</v>
      </c>
    </row>
    <row r="17" spans="1:9" x14ac:dyDescent="0.3">
      <c r="A17" t="s">
        <v>11</v>
      </c>
      <c r="B17" s="1">
        <v>1380.5714285714287</v>
      </c>
      <c r="C17" s="1">
        <v>1079</v>
      </c>
      <c r="D17" s="1">
        <v>815.88888888888891</v>
      </c>
      <c r="F17" t="s">
        <v>11</v>
      </c>
      <c r="G17" s="4">
        <v>0.3909039481677406</v>
      </c>
      <c r="H17" s="4">
        <v>0.30314687997306056</v>
      </c>
      <c r="I17" s="4">
        <v>0.22734850518895419</v>
      </c>
    </row>
    <row r="20" spans="1:9" x14ac:dyDescent="0.3">
      <c r="A20" t="s">
        <v>27</v>
      </c>
    </row>
    <row r="22" spans="1:9" x14ac:dyDescent="0.3">
      <c r="B22" t="s">
        <v>5</v>
      </c>
      <c r="C22" t="s">
        <v>6</v>
      </c>
      <c r="D22" t="s">
        <v>7</v>
      </c>
      <c r="G22" t="s">
        <v>8</v>
      </c>
      <c r="H22" t="s">
        <v>9</v>
      </c>
      <c r="I22" t="s">
        <v>10</v>
      </c>
    </row>
    <row r="24" spans="1:9" x14ac:dyDescent="0.3">
      <c r="A24">
        <v>2005</v>
      </c>
      <c r="F24">
        <v>2005</v>
      </c>
    </row>
    <row r="25" spans="1:9" x14ac:dyDescent="0.3">
      <c r="A25">
        <v>2006</v>
      </c>
      <c r="F25">
        <v>2006</v>
      </c>
    </row>
    <row r="26" spans="1:9" x14ac:dyDescent="0.3">
      <c r="A26">
        <v>2007</v>
      </c>
      <c r="F26">
        <v>2007</v>
      </c>
    </row>
    <row r="27" spans="1:9" x14ac:dyDescent="0.3">
      <c r="A27">
        <v>2008</v>
      </c>
      <c r="D27" s="1">
        <v>112</v>
      </c>
      <c r="F27">
        <v>2008</v>
      </c>
      <c r="I27" s="2">
        <v>3.0853994490358128E-2</v>
      </c>
    </row>
    <row r="28" spans="1:9" x14ac:dyDescent="0.3">
      <c r="A28">
        <v>2009</v>
      </c>
      <c r="C28" s="1">
        <v>71</v>
      </c>
      <c r="D28" s="1">
        <v>176</v>
      </c>
      <c r="F28">
        <v>2009</v>
      </c>
      <c r="H28" s="2">
        <v>1.8566945606694561E-2</v>
      </c>
      <c r="I28" s="2">
        <v>4.6025104602510462E-2</v>
      </c>
    </row>
    <row r="29" spans="1:9" x14ac:dyDescent="0.3">
      <c r="A29">
        <v>2010</v>
      </c>
      <c r="B29" s="1">
        <v>508</v>
      </c>
      <c r="C29" s="1">
        <v>609</v>
      </c>
      <c r="D29" s="1">
        <v>604</v>
      </c>
      <c r="F29">
        <v>2010</v>
      </c>
      <c r="G29" s="2">
        <v>0.14317925591882752</v>
      </c>
      <c r="H29" s="2">
        <v>0.17164599774520856</v>
      </c>
      <c r="I29" s="2">
        <v>0.17023675310033823</v>
      </c>
    </row>
    <row r="30" spans="1:9" x14ac:dyDescent="0.3">
      <c r="A30">
        <v>2011</v>
      </c>
      <c r="B30" s="1">
        <v>652</v>
      </c>
      <c r="C30" s="1">
        <v>646</v>
      </c>
      <c r="D30" s="1">
        <v>378</v>
      </c>
      <c r="F30">
        <v>2011</v>
      </c>
      <c r="G30" s="2">
        <v>0.17848343826991514</v>
      </c>
      <c r="H30" s="2">
        <v>0.17684095264166438</v>
      </c>
      <c r="I30" s="2">
        <v>0.10347659457979742</v>
      </c>
    </row>
    <row r="31" spans="1:9" x14ac:dyDescent="0.3">
      <c r="A31">
        <v>2012</v>
      </c>
      <c r="B31" s="1">
        <v>1026</v>
      </c>
      <c r="C31" s="1">
        <v>769</v>
      </c>
      <c r="D31" s="1">
        <v>645</v>
      </c>
      <c r="F31">
        <v>2012</v>
      </c>
      <c r="G31" s="2">
        <v>0.29929988331388563</v>
      </c>
      <c r="H31" s="2">
        <v>0.22432905484247376</v>
      </c>
      <c r="I31" s="2">
        <v>0.18815635939323219</v>
      </c>
    </row>
    <row r="32" spans="1:9" x14ac:dyDescent="0.3">
      <c r="A32">
        <v>2013</v>
      </c>
      <c r="B32" s="1">
        <v>799</v>
      </c>
      <c r="C32" s="1">
        <v>704</v>
      </c>
      <c r="D32" s="1">
        <v>582</v>
      </c>
      <c r="F32">
        <v>2013</v>
      </c>
      <c r="G32" s="2">
        <v>0.22406057206954572</v>
      </c>
      <c r="H32" s="2">
        <v>0.19742007851934942</v>
      </c>
      <c r="I32" s="2">
        <v>0.16320807627593942</v>
      </c>
    </row>
    <row r="33" spans="1:9" x14ac:dyDescent="0.3">
      <c r="A33">
        <v>2014</v>
      </c>
      <c r="B33" s="1">
        <v>631</v>
      </c>
      <c r="C33" s="1">
        <v>549</v>
      </c>
      <c r="D33" s="1">
        <v>412</v>
      </c>
      <c r="F33">
        <v>2014</v>
      </c>
      <c r="G33" s="2">
        <v>0.20433937823834197</v>
      </c>
      <c r="H33" s="2">
        <v>0.17778497409326424</v>
      </c>
      <c r="I33" s="2">
        <v>0.13341968911917099</v>
      </c>
    </row>
    <row r="34" spans="1:9" x14ac:dyDescent="0.3">
      <c r="A34">
        <v>2015</v>
      </c>
      <c r="B34" s="1">
        <v>713</v>
      </c>
      <c r="C34" s="1">
        <v>557</v>
      </c>
      <c r="D34" s="1">
        <v>329</v>
      </c>
      <c r="F34">
        <v>2015</v>
      </c>
      <c r="G34" s="2">
        <v>0.23601456471367097</v>
      </c>
      <c r="H34" s="2">
        <v>0.18437603442568687</v>
      </c>
      <c r="I34" s="2">
        <v>0.10890433631247931</v>
      </c>
    </row>
    <row r="35" spans="1:9" x14ac:dyDescent="0.3">
      <c r="A35">
        <v>2016</v>
      </c>
      <c r="B35" s="1">
        <v>439</v>
      </c>
      <c r="C35" s="1">
        <v>218</v>
      </c>
      <c r="D35" s="1">
        <v>69</v>
      </c>
      <c r="F35">
        <v>2016</v>
      </c>
      <c r="G35" s="2">
        <v>0.13536848596978107</v>
      </c>
      <c r="H35" s="2">
        <v>6.7221708294788782E-2</v>
      </c>
      <c r="I35" s="2">
        <v>2.1276595744680851E-2</v>
      </c>
    </row>
    <row r="36" spans="1:9" x14ac:dyDescent="0.3">
      <c r="A36" t="s">
        <v>11</v>
      </c>
      <c r="B36" s="1">
        <v>681.14285714285711</v>
      </c>
      <c r="C36" s="1">
        <v>515.375</v>
      </c>
      <c r="D36" s="1">
        <v>367.44444444444446</v>
      </c>
      <c r="F36" t="s">
        <v>11</v>
      </c>
      <c r="G36" s="4">
        <v>0.20296365407056685</v>
      </c>
      <c r="H36" s="4">
        <v>0.15227321827114132</v>
      </c>
      <c r="I36" s="4">
        <v>0.107284167068723</v>
      </c>
    </row>
    <row r="39" spans="1:9" x14ac:dyDescent="0.3">
      <c r="A39" t="s">
        <v>28</v>
      </c>
    </row>
    <row r="41" spans="1:9" x14ac:dyDescent="0.3">
      <c r="B41" t="s">
        <v>5</v>
      </c>
      <c r="C41" t="s">
        <v>6</v>
      </c>
      <c r="D41" t="s">
        <v>7</v>
      </c>
      <c r="G41" t="s">
        <v>8</v>
      </c>
      <c r="H41" t="s">
        <v>9</v>
      </c>
      <c r="I41" t="s">
        <v>10</v>
      </c>
    </row>
    <row r="43" spans="1:9" x14ac:dyDescent="0.3">
      <c r="A43">
        <v>2005</v>
      </c>
      <c r="F43">
        <v>2005</v>
      </c>
    </row>
    <row r="44" spans="1:9" x14ac:dyDescent="0.3">
      <c r="A44">
        <v>2006</v>
      </c>
      <c r="F44">
        <v>2006</v>
      </c>
    </row>
    <row r="45" spans="1:9" x14ac:dyDescent="0.3">
      <c r="A45">
        <v>2007</v>
      </c>
      <c r="F45">
        <v>2007</v>
      </c>
    </row>
    <row r="46" spans="1:9" x14ac:dyDescent="0.3">
      <c r="A46">
        <v>2008</v>
      </c>
      <c r="D46" s="1">
        <v>1028</v>
      </c>
      <c r="F46">
        <v>2008</v>
      </c>
      <c r="I46" s="4">
        <v>5.9312254788829913E-2</v>
      </c>
    </row>
    <row r="47" spans="1:9" x14ac:dyDescent="0.3">
      <c r="A47">
        <v>2009</v>
      </c>
      <c r="C47" s="1">
        <v>1674</v>
      </c>
      <c r="D47" s="1">
        <v>2248</v>
      </c>
      <c r="F47">
        <v>2009</v>
      </c>
      <c r="H47" s="4">
        <v>9.5914742451154528E-2</v>
      </c>
      <c r="I47" s="4">
        <v>0.1288030711052541</v>
      </c>
    </row>
    <row r="48" spans="1:9" x14ac:dyDescent="0.3">
      <c r="A48">
        <v>2010</v>
      </c>
      <c r="B48" s="1">
        <v>2614</v>
      </c>
      <c r="C48" s="1">
        <v>3168</v>
      </c>
      <c r="D48" s="1">
        <v>3123</v>
      </c>
      <c r="F48">
        <v>2010</v>
      </c>
      <c r="G48" s="4">
        <v>0.15069756716245819</v>
      </c>
      <c r="H48" s="4">
        <v>0.18263576617087512</v>
      </c>
      <c r="I48" s="4">
        <v>0.1800415081286752</v>
      </c>
    </row>
    <row r="49" spans="1:9" x14ac:dyDescent="0.3">
      <c r="A49">
        <v>2011</v>
      </c>
      <c r="B49" s="1">
        <v>5254</v>
      </c>
      <c r="C49" s="1">
        <v>5208</v>
      </c>
      <c r="D49" s="1">
        <v>3065</v>
      </c>
      <c r="F49">
        <v>2011</v>
      </c>
      <c r="G49" s="4">
        <v>0.3276173847976554</v>
      </c>
      <c r="H49" s="4">
        <v>0.32474901789611521</v>
      </c>
      <c r="I49" s="4">
        <v>0.1911205337656669</v>
      </c>
    </row>
    <row r="50" spans="1:9" x14ac:dyDescent="0.3">
      <c r="A50">
        <v>2012</v>
      </c>
      <c r="B50" s="1">
        <v>6338</v>
      </c>
      <c r="C50" s="1">
        <v>4150</v>
      </c>
      <c r="D50" s="1">
        <v>2787</v>
      </c>
      <c r="F50">
        <v>2012</v>
      </c>
      <c r="G50" s="4">
        <v>0.40192783309024033</v>
      </c>
      <c r="H50" s="4">
        <v>0.26317458304267866</v>
      </c>
      <c r="I50" s="4">
        <v>0.17673917179275794</v>
      </c>
    </row>
    <row r="51" spans="1:9" x14ac:dyDescent="0.3">
      <c r="A51">
        <v>2013</v>
      </c>
      <c r="B51" s="1">
        <v>4932</v>
      </c>
      <c r="C51" s="1">
        <v>3528</v>
      </c>
      <c r="D51" s="1">
        <v>2859</v>
      </c>
      <c r="F51">
        <v>2013</v>
      </c>
      <c r="G51" s="4">
        <v>0.31191500126486216</v>
      </c>
      <c r="H51" s="4">
        <v>0.22312167973690869</v>
      </c>
      <c r="I51" s="4">
        <v>0.18081204148747787</v>
      </c>
    </row>
    <row r="52" spans="1:9" x14ac:dyDescent="0.3">
      <c r="A52">
        <v>2014</v>
      </c>
      <c r="B52" s="1">
        <v>3024</v>
      </c>
      <c r="C52" s="1">
        <v>2358</v>
      </c>
      <c r="D52" s="1">
        <v>1974</v>
      </c>
      <c r="F52">
        <v>2014</v>
      </c>
      <c r="G52" s="4">
        <v>0.21827631009094847</v>
      </c>
      <c r="H52" s="4">
        <v>0.17020355132091813</v>
      </c>
      <c r="I52" s="4">
        <v>0.14248592464270246</v>
      </c>
    </row>
    <row r="53" spans="1:9" x14ac:dyDescent="0.3">
      <c r="A53">
        <v>2015</v>
      </c>
      <c r="B53" s="1">
        <v>2552</v>
      </c>
      <c r="C53" s="1">
        <v>2108</v>
      </c>
      <c r="D53" s="1">
        <v>1286</v>
      </c>
      <c r="F53">
        <v>2015</v>
      </c>
      <c r="G53" s="4">
        <v>0.18094157685762904</v>
      </c>
      <c r="H53" s="4">
        <v>0.14946114577424843</v>
      </c>
      <c r="I53" s="4">
        <v>9.1179807146908681E-2</v>
      </c>
    </row>
    <row r="54" spans="1:9" x14ac:dyDescent="0.3">
      <c r="A54">
        <v>2016</v>
      </c>
      <c r="B54" s="1">
        <v>2222</v>
      </c>
      <c r="C54" s="1">
        <v>1435</v>
      </c>
      <c r="D54" s="1">
        <v>963</v>
      </c>
      <c r="F54">
        <v>2016</v>
      </c>
      <c r="G54" s="4">
        <v>0.15354847626287058</v>
      </c>
      <c r="H54" s="4">
        <v>9.9163844931241793E-2</v>
      </c>
      <c r="I54" s="4">
        <v>6.6546886877202685E-2</v>
      </c>
    </row>
    <row r="55" spans="1:9" x14ac:dyDescent="0.3">
      <c r="A55" t="s">
        <v>11</v>
      </c>
      <c r="B55" s="1">
        <v>3848</v>
      </c>
      <c r="C55" s="1">
        <v>2953.625</v>
      </c>
      <c r="D55" s="1">
        <v>2148.1111111111113</v>
      </c>
      <c r="F55" t="s">
        <v>11</v>
      </c>
      <c r="G55" s="4">
        <v>0.24927487850380911</v>
      </c>
      <c r="H55" s="4">
        <v>0.18855304141551757</v>
      </c>
      <c r="I55" s="4">
        <v>0.13522679997060844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Normal="100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AA28" sqref="AA28:AC28"/>
    </sheetView>
  </sheetViews>
  <sheetFormatPr defaultRowHeight="14.4" x14ac:dyDescent="0.3"/>
  <cols>
    <col min="23" max="25" width="10.77734375" bestFit="1" customWidth="1"/>
  </cols>
  <sheetData>
    <row r="1" spans="1:29" x14ac:dyDescent="0.3">
      <c r="B1" t="s">
        <v>0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Q1" t="s">
        <v>23</v>
      </c>
      <c r="R1" t="s">
        <v>24</v>
      </c>
      <c r="S1" t="s">
        <v>25</v>
      </c>
      <c r="U1" t="s">
        <v>2</v>
      </c>
      <c r="W1" t="s">
        <v>33</v>
      </c>
      <c r="X1" t="s">
        <v>34</v>
      </c>
      <c r="Y1" t="s">
        <v>35</v>
      </c>
      <c r="AA1" t="s">
        <v>8</v>
      </c>
      <c r="AB1" t="s">
        <v>9</v>
      </c>
      <c r="AC1" t="s">
        <v>10</v>
      </c>
    </row>
    <row r="2" spans="1:29" x14ac:dyDescent="0.3">
      <c r="A2" t="s">
        <v>1</v>
      </c>
    </row>
    <row r="3" spans="1:29" x14ac:dyDescent="0.3">
      <c r="A3">
        <v>2005</v>
      </c>
      <c r="C3" s="1">
        <v>16179</v>
      </c>
      <c r="U3" s="1">
        <v>16766</v>
      </c>
    </row>
    <row r="4" spans="1:29" x14ac:dyDescent="0.3">
      <c r="A4">
        <v>2006</v>
      </c>
      <c r="C4" s="1">
        <v>16868</v>
      </c>
      <c r="D4" s="1">
        <v>17263</v>
      </c>
      <c r="U4" s="1">
        <v>17355</v>
      </c>
    </row>
    <row r="5" spans="1:29" x14ac:dyDescent="0.3">
      <c r="A5">
        <v>2007</v>
      </c>
      <c r="C5" s="1">
        <v>17572</v>
      </c>
      <c r="D5" s="1">
        <v>18134</v>
      </c>
      <c r="E5" s="1">
        <v>18095</v>
      </c>
      <c r="U5" s="1">
        <v>17669</v>
      </c>
    </row>
    <row r="6" spans="1:29" x14ac:dyDescent="0.3">
      <c r="A6">
        <v>2008</v>
      </c>
      <c r="C6" s="1">
        <v>18360</v>
      </c>
      <c r="D6" s="1">
        <v>18957</v>
      </c>
      <c r="E6" s="1">
        <v>18916</v>
      </c>
      <c r="F6" s="1">
        <v>18916</v>
      </c>
      <c r="S6" s="1">
        <f>C6</f>
        <v>18360</v>
      </c>
      <c r="U6" s="1">
        <v>17332</v>
      </c>
      <c r="Y6" s="1">
        <f>C6-U6</f>
        <v>1028</v>
      </c>
      <c r="AC6" s="2">
        <f>Y6/U6</f>
        <v>5.9312254788829913E-2</v>
      </c>
    </row>
    <row r="7" spans="1:29" x14ac:dyDescent="0.3">
      <c r="A7">
        <v>2009</v>
      </c>
      <c r="C7" s="1">
        <v>19127</v>
      </c>
      <c r="D7" s="1">
        <v>19701</v>
      </c>
      <c r="E7" s="1">
        <v>19658</v>
      </c>
      <c r="F7" s="1">
        <v>18812</v>
      </c>
      <c r="G7">
        <v>18077</v>
      </c>
      <c r="R7" s="1">
        <f>C7</f>
        <v>19127</v>
      </c>
      <c r="S7" s="1">
        <f>D7</f>
        <v>19701</v>
      </c>
      <c r="U7" s="1">
        <v>17453</v>
      </c>
      <c r="X7" s="1">
        <f>C7-U7</f>
        <v>1674</v>
      </c>
      <c r="Y7" s="1">
        <f>D7-U7</f>
        <v>2248</v>
      </c>
      <c r="AB7" s="2">
        <f>X7/U7</f>
        <v>9.5914742451154528E-2</v>
      </c>
      <c r="AC7" s="2">
        <f t="shared" ref="AC7:AC14" si="0">Y7/U7</f>
        <v>0.1288030711052541</v>
      </c>
    </row>
    <row r="8" spans="1:29" x14ac:dyDescent="0.3">
      <c r="A8">
        <v>2010</v>
      </c>
      <c r="C8" s="1">
        <v>19960</v>
      </c>
      <c r="D8" s="1">
        <v>20514</v>
      </c>
      <c r="E8" s="1">
        <v>20469</v>
      </c>
      <c r="F8" s="1">
        <v>18279</v>
      </c>
      <c r="G8">
        <v>17344</v>
      </c>
      <c r="H8" s="1">
        <v>16837</v>
      </c>
      <c r="Q8" s="1">
        <f>C8</f>
        <v>19960</v>
      </c>
      <c r="R8" s="1">
        <f>D8</f>
        <v>20514</v>
      </c>
      <c r="S8" s="1">
        <f>E8</f>
        <v>20469</v>
      </c>
      <c r="U8" s="1">
        <v>17346</v>
      </c>
      <c r="W8" s="1">
        <f>C8-U8</f>
        <v>2614</v>
      </c>
      <c r="X8" s="1">
        <f>D8-U8</f>
        <v>3168</v>
      </c>
      <c r="Y8" s="1">
        <f>E8-U8</f>
        <v>3123</v>
      </c>
      <c r="AA8" s="2">
        <f>W8/U8</f>
        <v>0.15069756716245819</v>
      </c>
      <c r="AB8" s="2">
        <f t="shared" ref="AB8:AB14" si="1">X8/U8</f>
        <v>0.18263576617087512</v>
      </c>
      <c r="AC8" s="2">
        <f t="shared" si="0"/>
        <v>0.1800415081286752</v>
      </c>
    </row>
    <row r="9" spans="1:29" x14ac:dyDescent="0.3">
      <c r="A9">
        <v>2011</v>
      </c>
      <c r="C9" s="1">
        <v>20547</v>
      </c>
      <c r="D9" s="1">
        <v>21291</v>
      </c>
      <c r="E9" s="1">
        <v>21245</v>
      </c>
      <c r="F9" s="1">
        <v>19102</v>
      </c>
      <c r="G9">
        <v>17982</v>
      </c>
      <c r="H9" s="1">
        <v>17480</v>
      </c>
      <c r="I9" s="1">
        <v>17261</v>
      </c>
      <c r="Q9" s="1">
        <f>D9</f>
        <v>21291</v>
      </c>
      <c r="R9" s="1">
        <f>E9</f>
        <v>21245</v>
      </c>
      <c r="S9" s="1">
        <f>F9</f>
        <v>19102</v>
      </c>
      <c r="U9" s="1">
        <v>16037</v>
      </c>
      <c r="W9" s="1">
        <f>D9-U9</f>
        <v>5254</v>
      </c>
      <c r="X9" s="1">
        <f>E9-U9</f>
        <v>5208</v>
      </c>
      <c r="Y9" s="1">
        <f>F9-U9</f>
        <v>3065</v>
      </c>
      <c r="AA9" s="2">
        <f t="shared" ref="AA9:AA14" si="2">W9/U9</f>
        <v>0.3276173847976554</v>
      </c>
      <c r="AB9" s="2">
        <f t="shared" si="1"/>
        <v>0.32474901789611521</v>
      </c>
      <c r="AC9" s="2">
        <f t="shared" si="0"/>
        <v>0.1911205337656669</v>
      </c>
    </row>
    <row r="10" spans="1:29" x14ac:dyDescent="0.3">
      <c r="A10">
        <v>2012</v>
      </c>
      <c r="C10" s="1">
        <v>21790</v>
      </c>
      <c r="D10" s="1">
        <v>22155</v>
      </c>
      <c r="E10" s="1">
        <v>22107</v>
      </c>
      <c r="F10" s="1">
        <v>19919</v>
      </c>
      <c r="G10">
        <v>18556</v>
      </c>
      <c r="H10" s="1">
        <v>18100</v>
      </c>
      <c r="I10" s="1">
        <v>17884</v>
      </c>
      <c r="J10" s="1">
        <v>16743</v>
      </c>
      <c r="Q10" s="1">
        <f>E10</f>
        <v>22107</v>
      </c>
      <c r="R10" s="1">
        <f>F10</f>
        <v>19919</v>
      </c>
      <c r="S10" s="1">
        <f>G10</f>
        <v>18556</v>
      </c>
      <c r="U10" s="1">
        <v>15769</v>
      </c>
      <c r="W10" s="1">
        <f>E10-U10</f>
        <v>6338</v>
      </c>
      <c r="X10" s="1">
        <f>F10-U10</f>
        <v>4150</v>
      </c>
      <c r="Y10" s="1">
        <f>G10-U10</f>
        <v>2787</v>
      </c>
      <c r="AA10" s="2">
        <f t="shared" si="2"/>
        <v>0.40192783309024033</v>
      </c>
      <c r="AB10" s="2">
        <f t="shared" si="1"/>
        <v>0.26317458304267866</v>
      </c>
      <c r="AC10" s="2">
        <f t="shared" si="0"/>
        <v>0.17673917179275794</v>
      </c>
    </row>
    <row r="11" spans="1:29" x14ac:dyDescent="0.3">
      <c r="A11">
        <v>2013</v>
      </c>
      <c r="C11" s="1">
        <v>22647</v>
      </c>
      <c r="D11" s="1">
        <v>22933</v>
      </c>
      <c r="E11" s="1">
        <v>22883</v>
      </c>
      <c r="F11" s="1">
        <v>20744</v>
      </c>
      <c r="G11">
        <v>19340</v>
      </c>
      <c r="H11" s="1">
        <v>18671</v>
      </c>
      <c r="I11" s="1">
        <v>18490</v>
      </c>
      <c r="J11" s="1">
        <v>17403</v>
      </c>
      <c r="K11" s="1">
        <v>16814</v>
      </c>
      <c r="Q11" s="1">
        <f>F11</f>
        <v>20744</v>
      </c>
      <c r="R11" s="1">
        <f>G11</f>
        <v>19340</v>
      </c>
      <c r="S11" s="1">
        <f>H11</f>
        <v>18671</v>
      </c>
      <c r="U11" s="1">
        <v>15812</v>
      </c>
      <c r="W11" s="1">
        <f>F11-U11</f>
        <v>4932</v>
      </c>
      <c r="X11" s="1">
        <f>G11-U11</f>
        <v>3528</v>
      </c>
      <c r="Y11" s="1">
        <f>H11-U11</f>
        <v>2859</v>
      </c>
      <c r="AA11" s="2">
        <f t="shared" si="2"/>
        <v>0.31191500126486216</v>
      </c>
      <c r="AB11" s="2">
        <f t="shared" si="1"/>
        <v>0.22312167973690869</v>
      </c>
      <c r="AC11" s="2">
        <f t="shared" si="0"/>
        <v>0.18081204148747787</v>
      </c>
    </row>
    <row r="12" spans="1:29" x14ac:dyDescent="0.3">
      <c r="A12">
        <v>2014</v>
      </c>
      <c r="C12" s="1">
        <v>23598</v>
      </c>
      <c r="D12" s="1">
        <v>23787</v>
      </c>
      <c r="E12" s="1">
        <v>23735</v>
      </c>
      <c r="F12" s="1">
        <v>17861</v>
      </c>
      <c r="G12">
        <v>16878</v>
      </c>
      <c r="H12" s="1">
        <v>16212</v>
      </c>
      <c r="I12" s="1">
        <v>15828</v>
      </c>
      <c r="J12" s="1">
        <v>14920</v>
      </c>
      <c r="K12" s="1">
        <v>14620</v>
      </c>
      <c r="L12" s="1">
        <v>14436</v>
      </c>
      <c r="Q12" s="1">
        <f>G12</f>
        <v>16878</v>
      </c>
      <c r="R12" s="1">
        <f>H12</f>
        <v>16212</v>
      </c>
      <c r="S12" s="1">
        <f>I12</f>
        <v>15828</v>
      </c>
      <c r="U12" s="1">
        <v>13854</v>
      </c>
      <c r="W12" s="1">
        <f>G12-U12</f>
        <v>3024</v>
      </c>
      <c r="X12" s="1">
        <f>H12-U12</f>
        <v>2358</v>
      </c>
      <c r="Y12" s="1">
        <f>I12-U12</f>
        <v>1974</v>
      </c>
      <c r="AA12" s="2">
        <f t="shared" si="2"/>
        <v>0.21827631009094847</v>
      </c>
      <c r="AB12" s="2">
        <f t="shared" si="1"/>
        <v>0.17020355132091813</v>
      </c>
      <c r="AC12" s="2">
        <f t="shared" si="0"/>
        <v>0.14248592464270246</v>
      </c>
    </row>
    <row r="13" spans="1:29" x14ac:dyDescent="0.3">
      <c r="A13">
        <v>2015</v>
      </c>
      <c r="D13" s="1">
        <v>24646</v>
      </c>
      <c r="E13" s="1">
        <v>24592</v>
      </c>
      <c r="F13" s="1">
        <v>18563</v>
      </c>
      <c r="G13">
        <v>17405</v>
      </c>
      <c r="H13" s="1">
        <v>16656</v>
      </c>
      <c r="I13" s="1">
        <v>16212</v>
      </c>
      <c r="J13" s="1">
        <v>15390</v>
      </c>
      <c r="K13" s="1">
        <v>15056</v>
      </c>
      <c r="L13" s="1">
        <v>14794</v>
      </c>
      <c r="M13" s="1">
        <v>13768</v>
      </c>
      <c r="Q13" s="1">
        <f>H13</f>
        <v>16656</v>
      </c>
      <c r="R13" s="1">
        <f>I13</f>
        <v>16212</v>
      </c>
      <c r="S13" s="1">
        <f>J13</f>
        <v>15390</v>
      </c>
      <c r="U13" s="1">
        <v>14104</v>
      </c>
      <c r="W13" s="1">
        <f>H13-U13</f>
        <v>2552</v>
      </c>
      <c r="X13" s="1">
        <f>I13-U13</f>
        <v>2108</v>
      </c>
      <c r="Y13" s="1">
        <f>J13-U13</f>
        <v>1286</v>
      </c>
      <c r="AA13" s="2">
        <f t="shared" si="2"/>
        <v>0.18094157685762904</v>
      </c>
      <c r="AB13" s="2">
        <f t="shared" si="1"/>
        <v>0.14946114577424843</v>
      </c>
      <c r="AC13" s="2">
        <f t="shared" si="0"/>
        <v>9.1179807146908681E-2</v>
      </c>
    </row>
    <row r="14" spans="1:29" x14ac:dyDescent="0.3">
      <c r="A14">
        <v>2016</v>
      </c>
      <c r="E14" s="1">
        <v>25506</v>
      </c>
      <c r="F14" s="1">
        <v>19250</v>
      </c>
      <c r="G14">
        <v>17965</v>
      </c>
      <c r="H14" s="1">
        <v>17172</v>
      </c>
      <c r="I14" s="1">
        <v>16693</v>
      </c>
      <c r="J14" s="1">
        <v>15906</v>
      </c>
      <c r="K14" s="1">
        <v>15434</v>
      </c>
      <c r="L14" s="1">
        <v>15294</v>
      </c>
      <c r="M14" s="1">
        <v>14050</v>
      </c>
      <c r="N14" s="1">
        <v>13925</v>
      </c>
      <c r="Q14" s="1">
        <f>I14</f>
        <v>16693</v>
      </c>
      <c r="R14" s="1">
        <f>J14</f>
        <v>15906</v>
      </c>
      <c r="S14" s="1">
        <f>K14</f>
        <v>15434</v>
      </c>
      <c r="U14" s="1">
        <v>14471</v>
      </c>
      <c r="W14" s="1">
        <f>I14-U14</f>
        <v>2222</v>
      </c>
      <c r="X14" s="1">
        <f>J14-U14</f>
        <v>1435</v>
      </c>
      <c r="Y14" s="1">
        <f>K14-U14</f>
        <v>963</v>
      </c>
      <c r="AA14" s="2">
        <f t="shared" si="2"/>
        <v>0.15354847626287058</v>
      </c>
      <c r="AB14" s="2">
        <f t="shared" si="1"/>
        <v>9.9163844931241793E-2</v>
      </c>
      <c r="AC14" s="2">
        <f t="shared" si="0"/>
        <v>6.6546886877202685E-2</v>
      </c>
    </row>
    <row r="15" spans="1:29" x14ac:dyDescent="0.3">
      <c r="A15">
        <v>2017</v>
      </c>
      <c r="F15" s="1">
        <v>19947</v>
      </c>
      <c r="G15">
        <v>18527</v>
      </c>
      <c r="H15" s="1">
        <v>17704</v>
      </c>
      <c r="I15" s="1">
        <v>17178</v>
      </c>
      <c r="J15" s="1">
        <v>16415</v>
      </c>
      <c r="K15" s="1">
        <v>15882</v>
      </c>
      <c r="L15" s="1">
        <v>15739</v>
      </c>
      <c r="M15" s="1">
        <v>14268</v>
      </c>
      <c r="N15" s="1">
        <v>14249</v>
      </c>
      <c r="O15" s="1">
        <v>14175</v>
      </c>
      <c r="P15" s="1"/>
      <c r="Q15" s="1"/>
      <c r="R15" s="1"/>
      <c r="S15" s="1"/>
    </row>
    <row r="16" spans="1:29" x14ac:dyDescent="0.3">
      <c r="A16">
        <v>2018</v>
      </c>
      <c r="G16">
        <v>19085</v>
      </c>
      <c r="H16" s="1">
        <v>18245</v>
      </c>
      <c r="I16" s="1">
        <v>17669</v>
      </c>
      <c r="J16" s="1">
        <v>16890</v>
      </c>
      <c r="K16" s="1">
        <v>16299</v>
      </c>
      <c r="L16" s="1">
        <v>16158</v>
      </c>
      <c r="M16" s="1">
        <v>14532</v>
      </c>
      <c r="N16" s="1">
        <v>14566</v>
      </c>
      <c r="O16" s="1">
        <v>14548</v>
      </c>
      <c r="P16" s="1"/>
      <c r="Q16" s="1"/>
      <c r="R16" s="1"/>
      <c r="S16" s="1"/>
    </row>
    <row r="17" spans="1:29" x14ac:dyDescent="0.3">
      <c r="A17">
        <v>2019</v>
      </c>
      <c r="H17" s="1">
        <v>18789</v>
      </c>
      <c r="I17" s="1">
        <v>18180</v>
      </c>
      <c r="J17" s="1">
        <v>17403</v>
      </c>
      <c r="K17" s="1">
        <v>16737</v>
      </c>
      <c r="L17" s="1">
        <v>16592</v>
      </c>
      <c r="M17" s="1">
        <v>14774</v>
      </c>
      <c r="N17" s="1">
        <v>14870</v>
      </c>
      <c r="O17" s="1">
        <v>14871</v>
      </c>
      <c r="P17" s="1"/>
      <c r="Q17" s="1"/>
      <c r="R17" s="1"/>
      <c r="S17" s="1"/>
    </row>
    <row r="18" spans="1:29" x14ac:dyDescent="0.3">
      <c r="A18">
        <v>2020</v>
      </c>
      <c r="I18" s="1">
        <v>18691</v>
      </c>
      <c r="J18" s="1">
        <v>17920</v>
      </c>
      <c r="K18" s="1">
        <v>17177</v>
      </c>
      <c r="L18" s="1">
        <v>17023</v>
      </c>
      <c r="M18" s="1">
        <v>15051</v>
      </c>
      <c r="N18" s="1">
        <v>15133</v>
      </c>
      <c r="O18" s="1">
        <v>15087</v>
      </c>
      <c r="P18" s="1"/>
      <c r="Q18" s="1"/>
      <c r="R18" s="1"/>
      <c r="S18" s="1"/>
    </row>
    <row r="19" spans="1:29" x14ac:dyDescent="0.3">
      <c r="A19">
        <v>2021</v>
      </c>
      <c r="J19" s="1">
        <v>18460</v>
      </c>
      <c r="K19" s="1">
        <v>17606</v>
      </c>
      <c r="L19" s="1">
        <v>17432</v>
      </c>
      <c r="M19" s="1">
        <v>15237</v>
      </c>
      <c r="N19" s="1">
        <v>15370</v>
      </c>
      <c r="O19" s="1">
        <v>15316</v>
      </c>
      <c r="P19" s="1"/>
      <c r="Q19" s="1"/>
      <c r="R19" s="1"/>
      <c r="S19" s="1"/>
    </row>
    <row r="20" spans="1:29" x14ac:dyDescent="0.3">
      <c r="A20">
        <v>2022</v>
      </c>
      <c r="K20" s="1">
        <v>18045</v>
      </c>
      <c r="L20" s="1">
        <v>17852</v>
      </c>
      <c r="M20" s="1">
        <v>15453</v>
      </c>
      <c r="N20" s="1">
        <v>15602</v>
      </c>
      <c r="O20" s="1">
        <v>15531</v>
      </c>
      <c r="P20" s="1"/>
      <c r="Q20" s="1"/>
      <c r="R20" s="1"/>
      <c r="S20" s="1"/>
    </row>
    <row r="21" spans="1:29" x14ac:dyDescent="0.3">
      <c r="A21">
        <v>2023</v>
      </c>
      <c r="L21" s="1">
        <v>18284</v>
      </c>
      <c r="M21" s="1">
        <v>15661</v>
      </c>
      <c r="N21" s="1">
        <v>15815</v>
      </c>
      <c r="O21" s="1">
        <v>15773</v>
      </c>
      <c r="P21" s="1"/>
      <c r="Q21" s="1"/>
      <c r="R21" s="1"/>
      <c r="S21" s="1"/>
    </row>
    <row r="22" spans="1:29" x14ac:dyDescent="0.3">
      <c r="A22">
        <v>2024</v>
      </c>
      <c r="M22" s="1">
        <v>15903</v>
      </c>
      <c r="N22" s="1">
        <v>16026</v>
      </c>
      <c r="O22" s="1">
        <v>16016</v>
      </c>
      <c r="P22" s="1"/>
      <c r="Q22" s="1"/>
      <c r="R22" s="1"/>
      <c r="S22" s="1"/>
    </row>
    <row r="23" spans="1:29" x14ac:dyDescent="0.3">
      <c r="A23">
        <v>2025</v>
      </c>
      <c r="N23" s="1">
        <v>16224</v>
      </c>
      <c r="O23" s="1">
        <v>16264</v>
      </c>
      <c r="P23" s="1"/>
      <c r="Q23" s="1"/>
      <c r="R23" s="1"/>
      <c r="S23" s="1"/>
    </row>
    <row r="24" spans="1:29" x14ac:dyDescent="0.3">
      <c r="A24">
        <v>2026</v>
      </c>
      <c r="O24" s="1">
        <v>16490</v>
      </c>
      <c r="P24" s="1"/>
      <c r="Q24" s="1"/>
      <c r="R24" s="1"/>
      <c r="S24" s="1"/>
    </row>
    <row r="25" spans="1:29" x14ac:dyDescent="0.3">
      <c r="A25">
        <v>2027</v>
      </c>
    </row>
    <row r="26" spans="1:29" x14ac:dyDescent="0.3">
      <c r="A26">
        <v>2028</v>
      </c>
    </row>
    <row r="27" spans="1:29" x14ac:dyDescent="0.3">
      <c r="U27" t="s">
        <v>53</v>
      </c>
    </row>
    <row r="28" spans="1:29" x14ac:dyDescent="0.3">
      <c r="B28" t="s">
        <v>50</v>
      </c>
      <c r="U28" t="s">
        <v>11</v>
      </c>
      <c r="W28" s="1">
        <f>AVERAGE(W8:W14)</f>
        <v>3848</v>
      </c>
      <c r="X28" s="1">
        <f>AVERAGE(X7:X14)</f>
        <v>2953.625</v>
      </c>
      <c r="Y28" s="1">
        <f>AVERAGE(Y6:Y14)</f>
        <v>2148.1111111111113</v>
      </c>
      <c r="AA28" s="4">
        <f>AVERAGE(AA8:AA14)</f>
        <v>0.24927487850380911</v>
      </c>
      <c r="AB28" s="4">
        <f>AVERAGE(AB7:AB14)</f>
        <v>0.18855304141551757</v>
      </c>
      <c r="AC28" s="4">
        <f>AVERAGE(AC6:AC14)</f>
        <v>0.13522679997060844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Normal="100" workbookViewId="0">
      <pane xSplit="1" ySplit="1" topLeftCell="U12" activePane="bottomRight" state="frozen"/>
      <selection pane="topRight" activeCell="B1" sqref="B1"/>
      <selection pane="bottomLeft" activeCell="A2" sqref="A2"/>
      <selection pane="bottomRight" activeCell="U28" sqref="U28"/>
    </sheetView>
  </sheetViews>
  <sheetFormatPr defaultRowHeight="14.4" x14ac:dyDescent="0.3"/>
  <cols>
    <col min="17" max="19" width="10.5546875" bestFit="1" customWidth="1"/>
    <col min="21" max="21" width="10.109375" bestFit="1" customWidth="1"/>
    <col min="23" max="25" width="14.88671875" bestFit="1" customWidth="1"/>
  </cols>
  <sheetData>
    <row r="1" spans="1:29" x14ac:dyDescent="0.3">
      <c r="B1" t="s">
        <v>0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Q1" t="s">
        <v>23</v>
      </c>
      <c r="R1" t="s">
        <v>24</v>
      </c>
      <c r="S1" t="s">
        <v>25</v>
      </c>
      <c r="U1" t="s">
        <v>29</v>
      </c>
      <c r="W1" t="s">
        <v>30</v>
      </c>
      <c r="X1" t="s">
        <v>31</v>
      </c>
      <c r="Y1" t="s">
        <v>32</v>
      </c>
      <c r="AA1" t="s">
        <v>8</v>
      </c>
      <c r="AB1" t="s">
        <v>9</v>
      </c>
      <c r="AC1" t="s">
        <v>10</v>
      </c>
    </row>
    <row r="2" spans="1:29" x14ac:dyDescent="0.3">
      <c r="A2" t="s">
        <v>1</v>
      </c>
    </row>
    <row r="3" spans="1:29" x14ac:dyDescent="0.3">
      <c r="A3">
        <v>2005</v>
      </c>
      <c r="C3" s="1">
        <v>797799</v>
      </c>
      <c r="U3" s="1">
        <v>827709</v>
      </c>
    </row>
    <row r="4" spans="1:29" x14ac:dyDescent="0.3">
      <c r="A4">
        <v>2006</v>
      </c>
      <c r="C4" s="1">
        <v>818372</v>
      </c>
      <c r="D4" s="1">
        <v>858479</v>
      </c>
      <c r="U4" s="1">
        <v>870146</v>
      </c>
    </row>
    <row r="5" spans="1:29" x14ac:dyDescent="0.3">
      <c r="A5">
        <v>2007</v>
      </c>
      <c r="C5" s="1">
        <v>838940</v>
      </c>
      <c r="D5" s="1">
        <v>886957</v>
      </c>
      <c r="E5" s="1">
        <v>886957</v>
      </c>
      <c r="U5" s="1">
        <v>897413</v>
      </c>
    </row>
    <row r="6" spans="1:29" x14ac:dyDescent="0.3">
      <c r="A6">
        <v>2008</v>
      </c>
      <c r="C6" s="1">
        <v>859556</v>
      </c>
      <c r="D6" s="1">
        <v>914006</v>
      </c>
      <c r="E6" s="1">
        <v>914006</v>
      </c>
      <c r="F6" s="1">
        <v>946034</v>
      </c>
      <c r="S6" s="1">
        <f>C6</f>
        <v>859556</v>
      </c>
      <c r="U6" s="1">
        <v>900122</v>
      </c>
      <c r="Y6" s="1">
        <f>C6-U6</f>
        <v>-40566</v>
      </c>
      <c r="AC6" s="2">
        <f>Y6/U6</f>
        <v>-4.5067224220716746E-2</v>
      </c>
    </row>
    <row r="7" spans="1:29" x14ac:dyDescent="0.3">
      <c r="A7">
        <v>2009</v>
      </c>
      <c r="C7" s="1">
        <v>881536</v>
      </c>
      <c r="D7" s="1">
        <v>940980</v>
      </c>
      <c r="E7" s="1">
        <v>940980</v>
      </c>
      <c r="F7" s="1">
        <v>931161</v>
      </c>
      <c r="G7">
        <v>913721</v>
      </c>
      <c r="R7" s="1">
        <f>C7</f>
        <v>881536</v>
      </c>
      <c r="S7" s="1">
        <f>D7</f>
        <v>940980</v>
      </c>
      <c r="U7" s="1">
        <v>901121</v>
      </c>
      <c r="X7" s="1">
        <f>C7-U7</f>
        <v>-19585</v>
      </c>
      <c r="Y7" s="1">
        <f>D7-U7</f>
        <v>39859</v>
      </c>
      <c r="AB7" s="2">
        <f>X7/U7</f>
        <v>-2.1734040156649329E-2</v>
      </c>
      <c r="AC7" s="2">
        <f t="shared" ref="AC7:AC14" si="0">Y7/U7</f>
        <v>4.4232683513090919E-2</v>
      </c>
    </row>
    <row r="8" spans="1:29" x14ac:dyDescent="0.3">
      <c r="A8">
        <v>2010</v>
      </c>
      <c r="C8" s="1">
        <v>901946</v>
      </c>
      <c r="D8" s="1">
        <v>967986</v>
      </c>
      <c r="E8" s="1">
        <v>967986</v>
      </c>
      <c r="F8" s="1">
        <v>896121</v>
      </c>
      <c r="G8">
        <v>867522</v>
      </c>
      <c r="H8" s="1">
        <v>857208</v>
      </c>
      <c r="Q8" s="1">
        <f>C8</f>
        <v>901946</v>
      </c>
      <c r="R8" s="1">
        <f>D8</f>
        <v>967986</v>
      </c>
      <c r="S8" s="1">
        <f>E8</f>
        <v>967986</v>
      </c>
      <c r="U8" s="1">
        <v>845737</v>
      </c>
      <c r="W8" s="1">
        <f>C8-U8</f>
        <v>56209</v>
      </c>
      <c r="X8" s="1">
        <f>D8-U8</f>
        <v>122249</v>
      </c>
      <c r="Y8" s="1">
        <f>E8-U8</f>
        <v>122249</v>
      </c>
      <c r="AA8" s="2">
        <f>W8/U8</f>
        <v>6.6461559562842817E-2</v>
      </c>
      <c r="AB8" s="2">
        <f t="shared" ref="AB8:AB14" si="1">X8/U8</f>
        <v>0.14454730016541786</v>
      </c>
      <c r="AC8" s="2">
        <f t="shared" si="0"/>
        <v>0.14454730016541786</v>
      </c>
    </row>
    <row r="9" spans="1:29" x14ac:dyDescent="0.3">
      <c r="A9">
        <v>2011</v>
      </c>
      <c r="C9" s="1">
        <v>922065</v>
      </c>
      <c r="D9" s="1">
        <v>991904</v>
      </c>
      <c r="E9" s="1">
        <v>991904</v>
      </c>
      <c r="F9" s="1">
        <v>928379</v>
      </c>
      <c r="G9">
        <v>893638</v>
      </c>
      <c r="H9" s="1">
        <v>877051</v>
      </c>
      <c r="I9" s="1">
        <v>869703</v>
      </c>
      <c r="Q9" s="1">
        <f>D9</f>
        <v>991904</v>
      </c>
      <c r="R9" s="1">
        <f>E9</f>
        <v>991904</v>
      </c>
      <c r="S9" s="1">
        <f>F9</f>
        <v>928379</v>
      </c>
      <c r="U9" s="1">
        <v>849061</v>
      </c>
      <c r="W9" s="1">
        <f>D9-U9</f>
        <v>142843</v>
      </c>
      <c r="X9" s="1">
        <f>E9-U9</f>
        <v>142843</v>
      </c>
      <c r="Y9" s="1">
        <f>F9-U9</f>
        <v>79318</v>
      </c>
      <c r="AA9" s="2">
        <f t="shared" ref="AA9:AA14" si="2">W9/U9</f>
        <v>0.16823644002021057</v>
      </c>
      <c r="AB9" s="2">
        <f t="shared" si="1"/>
        <v>0.16823644002021057</v>
      </c>
      <c r="AC9" s="2">
        <f t="shared" si="0"/>
        <v>9.3418494077575104E-2</v>
      </c>
    </row>
    <row r="10" spans="1:29" x14ac:dyDescent="0.3">
      <c r="A10">
        <v>2012</v>
      </c>
      <c r="C10" s="1">
        <v>942208</v>
      </c>
      <c r="D10" s="1">
        <v>1015876</v>
      </c>
      <c r="E10" s="1">
        <v>1015876</v>
      </c>
      <c r="F10" s="1">
        <v>960635</v>
      </c>
      <c r="G10">
        <v>920902</v>
      </c>
      <c r="H10" s="1">
        <v>899900</v>
      </c>
      <c r="I10" s="1">
        <v>892830</v>
      </c>
      <c r="J10" s="1">
        <v>856572</v>
      </c>
      <c r="Q10" s="1">
        <f>E10</f>
        <v>1015876</v>
      </c>
      <c r="R10" s="1">
        <f>F10</f>
        <v>960635</v>
      </c>
      <c r="S10" s="1">
        <f>G10</f>
        <v>920902</v>
      </c>
      <c r="U10" s="1">
        <v>855007</v>
      </c>
      <c r="W10" s="1">
        <f>E10-U10</f>
        <v>160869</v>
      </c>
      <c r="X10" s="1">
        <f>F10-U10</f>
        <v>105628</v>
      </c>
      <c r="Y10" s="1">
        <f>G10-U10</f>
        <v>65895</v>
      </c>
      <c r="AA10" s="2">
        <f t="shared" si="2"/>
        <v>0.18814933678905552</v>
      </c>
      <c r="AB10" s="2">
        <f t="shared" si="1"/>
        <v>0.12354050902507231</v>
      </c>
      <c r="AC10" s="2">
        <f t="shared" si="0"/>
        <v>7.7069544459869924E-2</v>
      </c>
    </row>
    <row r="11" spans="1:29" x14ac:dyDescent="0.3">
      <c r="A11">
        <v>2013</v>
      </c>
      <c r="C11" s="1">
        <v>962362</v>
      </c>
      <c r="D11" s="1">
        <v>1039763</v>
      </c>
      <c r="E11" s="1">
        <v>1039763</v>
      </c>
      <c r="F11" s="1">
        <v>992892</v>
      </c>
      <c r="G11">
        <v>950662</v>
      </c>
      <c r="H11" s="1">
        <v>922900</v>
      </c>
      <c r="I11" s="1">
        <v>915869</v>
      </c>
      <c r="J11" s="1">
        <v>873864</v>
      </c>
      <c r="K11" s="1">
        <v>863233</v>
      </c>
      <c r="Q11" s="1">
        <f>F11</f>
        <v>992892</v>
      </c>
      <c r="R11" s="1">
        <f>G11</f>
        <v>950662</v>
      </c>
      <c r="S11" s="1">
        <f>H11</f>
        <v>922900</v>
      </c>
      <c r="U11" s="1">
        <v>864980</v>
      </c>
      <c r="W11" s="1">
        <f>F11-U11</f>
        <v>127912</v>
      </c>
      <c r="X11" s="1">
        <f>G11-U11</f>
        <v>85682</v>
      </c>
      <c r="Y11" s="1">
        <f>H11-U11</f>
        <v>57920</v>
      </c>
      <c r="AA11" s="2">
        <f t="shared" si="2"/>
        <v>0.14787856366621194</v>
      </c>
      <c r="AB11" s="2">
        <f t="shared" si="1"/>
        <v>9.9056625586718766E-2</v>
      </c>
      <c r="AC11" s="2">
        <f t="shared" si="0"/>
        <v>6.6961085805452153E-2</v>
      </c>
    </row>
    <row r="12" spans="1:29" x14ac:dyDescent="0.3">
      <c r="A12">
        <v>2014</v>
      </c>
      <c r="C12" s="1">
        <v>982532</v>
      </c>
      <c r="D12" s="1">
        <v>1063561</v>
      </c>
      <c r="E12" s="1">
        <v>1063361</v>
      </c>
      <c r="F12" s="1">
        <v>848061</v>
      </c>
      <c r="G12">
        <v>823882</v>
      </c>
      <c r="H12" s="1">
        <v>800884</v>
      </c>
      <c r="I12" s="1">
        <v>790697</v>
      </c>
      <c r="J12" s="1">
        <v>753227</v>
      </c>
      <c r="K12" s="1">
        <v>742461</v>
      </c>
      <c r="L12" s="1">
        <v>738366</v>
      </c>
      <c r="Q12" s="1">
        <f>G12</f>
        <v>823882</v>
      </c>
      <c r="R12" s="1">
        <f>H12</f>
        <v>800884</v>
      </c>
      <c r="S12" s="1">
        <f>I12</f>
        <v>790697</v>
      </c>
      <c r="U12" s="1">
        <v>740566</v>
      </c>
      <c r="W12" s="1">
        <f>G12-U12</f>
        <v>83316</v>
      </c>
      <c r="X12" s="1">
        <f>H12-U12</f>
        <v>60318</v>
      </c>
      <c r="Y12" s="1">
        <f>I12-U12</f>
        <v>50131</v>
      </c>
      <c r="AA12" s="2">
        <f t="shared" si="2"/>
        <v>0.11250313949060584</v>
      </c>
      <c r="AB12" s="2">
        <f t="shared" si="1"/>
        <v>8.1448513704382858E-2</v>
      </c>
      <c r="AC12" s="2">
        <f t="shared" si="0"/>
        <v>6.7692818735939811E-2</v>
      </c>
    </row>
    <row r="13" spans="1:29" x14ac:dyDescent="0.3">
      <c r="A13">
        <v>2015</v>
      </c>
      <c r="D13" s="1">
        <v>1087362</v>
      </c>
      <c r="E13" s="1">
        <v>1087362</v>
      </c>
      <c r="F13" s="1">
        <v>873197</v>
      </c>
      <c r="G13">
        <v>849296</v>
      </c>
      <c r="H13" s="1">
        <v>821164</v>
      </c>
      <c r="I13" s="1">
        <v>807979</v>
      </c>
      <c r="J13" s="1">
        <v>769633</v>
      </c>
      <c r="K13" s="1">
        <v>756380</v>
      </c>
      <c r="L13" s="1">
        <v>751847</v>
      </c>
      <c r="M13" s="1">
        <v>750347</v>
      </c>
      <c r="Q13" s="1">
        <f>H13</f>
        <v>821164</v>
      </c>
      <c r="R13" s="1">
        <f>I13</f>
        <v>807979</v>
      </c>
      <c r="S13" s="1">
        <f>J13</f>
        <v>769633</v>
      </c>
      <c r="U13" s="1">
        <v>751848</v>
      </c>
      <c r="W13" s="1">
        <f>H13-U13</f>
        <v>69316</v>
      </c>
      <c r="X13" s="1">
        <f>I13-U13</f>
        <v>56131</v>
      </c>
      <c r="Y13" s="1">
        <f>J13-U13</f>
        <v>17785</v>
      </c>
      <c r="AA13" s="2">
        <f t="shared" si="2"/>
        <v>9.2194166906076763E-2</v>
      </c>
      <c r="AB13" s="2">
        <f t="shared" si="1"/>
        <v>7.4657377555037721E-2</v>
      </c>
      <c r="AC13" s="2">
        <f t="shared" si="0"/>
        <v>2.3655047296794032E-2</v>
      </c>
    </row>
    <row r="14" spans="1:29" x14ac:dyDescent="0.3">
      <c r="A14">
        <v>2016</v>
      </c>
      <c r="E14" s="1">
        <v>1110035</v>
      </c>
      <c r="F14" s="1">
        <v>895568</v>
      </c>
      <c r="G14">
        <v>876128</v>
      </c>
      <c r="H14" s="1">
        <v>844874</v>
      </c>
      <c r="I14" s="1">
        <v>830435</v>
      </c>
      <c r="J14" s="1">
        <v>789139</v>
      </c>
      <c r="K14" s="1">
        <v>772645</v>
      </c>
      <c r="L14" s="1">
        <v>766898</v>
      </c>
      <c r="M14" s="1">
        <v>764024</v>
      </c>
      <c r="N14" s="1">
        <v>763309</v>
      </c>
      <c r="Q14" s="1">
        <f>I14</f>
        <v>830435</v>
      </c>
      <c r="R14" s="1">
        <f>J14</f>
        <v>789139</v>
      </c>
      <c r="S14" s="1">
        <f>K14</f>
        <v>772645</v>
      </c>
      <c r="U14" s="1">
        <v>763436</v>
      </c>
      <c r="W14" s="1">
        <f>I14-U14</f>
        <v>66999</v>
      </c>
      <c r="X14" s="1">
        <f>J14-U14</f>
        <v>25703</v>
      </c>
      <c r="Y14" s="1">
        <f>K14-U14</f>
        <v>9209</v>
      </c>
      <c r="AA14" s="2">
        <f t="shared" si="2"/>
        <v>8.7759812217396094E-2</v>
      </c>
      <c r="AB14" s="2">
        <f t="shared" si="1"/>
        <v>3.3667524193252613E-2</v>
      </c>
      <c r="AC14" s="2">
        <f t="shared" si="0"/>
        <v>1.2062569750444046E-2</v>
      </c>
    </row>
    <row r="15" spans="1:29" x14ac:dyDescent="0.3">
      <c r="A15">
        <v>2017</v>
      </c>
      <c r="F15" s="1">
        <v>917943</v>
      </c>
      <c r="G15">
        <v>902803</v>
      </c>
      <c r="H15" s="1">
        <v>869199</v>
      </c>
      <c r="I15" s="1">
        <v>852915</v>
      </c>
      <c r="J15" s="1">
        <v>808327</v>
      </c>
      <c r="K15" s="1">
        <v>788568</v>
      </c>
      <c r="L15" s="1">
        <v>782664</v>
      </c>
      <c r="M15" s="1">
        <v>777783</v>
      </c>
      <c r="N15" s="1">
        <v>777016</v>
      </c>
      <c r="O15" s="1">
        <v>771648</v>
      </c>
      <c r="P15" s="1"/>
      <c r="Q15" s="1"/>
      <c r="R15" s="1"/>
      <c r="S15" s="1"/>
    </row>
    <row r="16" spans="1:29" x14ac:dyDescent="0.3">
      <c r="A16">
        <v>2018</v>
      </c>
      <c r="G16">
        <v>928950</v>
      </c>
      <c r="H16" s="1">
        <v>893692</v>
      </c>
      <c r="I16" s="1">
        <v>875348</v>
      </c>
      <c r="J16" s="1">
        <v>827610</v>
      </c>
      <c r="K16" s="1">
        <v>804417</v>
      </c>
      <c r="L16" s="1">
        <v>798236</v>
      </c>
      <c r="M16" s="1">
        <v>791098</v>
      </c>
      <c r="N16" s="1">
        <v>791927</v>
      </c>
      <c r="O16" s="1">
        <v>783106</v>
      </c>
      <c r="P16" s="1"/>
      <c r="Q16" s="1"/>
      <c r="R16" s="1"/>
      <c r="S16" s="1"/>
    </row>
    <row r="17" spans="1:21" x14ac:dyDescent="0.3">
      <c r="A17">
        <v>2019</v>
      </c>
      <c r="H17" s="1">
        <v>918036</v>
      </c>
      <c r="I17" s="1">
        <v>897730</v>
      </c>
      <c r="J17" s="1">
        <v>846938</v>
      </c>
      <c r="K17" s="1">
        <v>820241</v>
      </c>
      <c r="L17" s="1">
        <v>813663</v>
      </c>
      <c r="M17" s="1">
        <v>805148</v>
      </c>
      <c r="N17" s="1">
        <v>805598</v>
      </c>
      <c r="O17" s="1">
        <v>795915</v>
      </c>
      <c r="P17" s="1"/>
      <c r="Q17" s="1"/>
      <c r="R17" s="1"/>
      <c r="S17" s="1"/>
    </row>
    <row r="18" spans="1:21" x14ac:dyDescent="0.3">
      <c r="A18">
        <v>2020</v>
      </c>
      <c r="I18" s="1">
        <v>920124</v>
      </c>
      <c r="J18" s="1">
        <v>866278</v>
      </c>
      <c r="K18" s="1">
        <v>836110</v>
      </c>
      <c r="L18" s="1">
        <v>828989</v>
      </c>
      <c r="M18" s="1">
        <v>819483</v>
      </c>
      <c r="N18" s="1">
        <v>819060</v>
      </c>
      <c r="O18" s="1">
        <v>809860</v>
      </c>
      <c r="P18" s="1"/>
      <c r="Q18" s="1"/>
      <c r="R18" s="1"/>
      <c r="S18" s="1"/>
    </row>
    <row r="19" spans="1:21" x14ac:dyDescent="0.3">
      <c r="A19">
        <v>2021</v>
      </c>
      <c r="J19" s="1">
        <v>884874</v>
      </c>
      <c r="K19" s="1">
        <v>850923</v>
      </c>
      <c r="L19" s="1">
        <v>842981</v>
      </c>
      <c r="M19" s="1">
        <v>832906</v>
      </c>
      <c r="N19" s="1">
        <v>831758</v>
      </c>
      <c r="O19" s="1">
        <v>823634</v>
      </c>
      <c r="P19" s="1"/>
      <c r="Q19" s="1"/>
      <c r="R19" s="1"/>
      <c r="S19" s="1"/>
    </row>
    <row r="20" spans="1:21" x14ac:dyDescent="0.3">
      <c r="A20">
        <v>2022</v>
      </c>
      <c r="K20" s="1">
        <v>865738</v>
      </c>
      <c r="L20" s="1">
        <v>856922</v>
      </c>
      <c r="M20" s="1">
        <v>845866</v>
      </c>
      <c r="N20" s="1">
        <v>843868</v>
      </c>
      <c r="O20" s="1">
        <v>837399</v>
      </c>
      <c r="P20" s="1"/>
      <c r="Q20" s="1"/>
      <c r="R20" s="1"/>
      <c r="S20" s="1"/>
    </row>
    <row r="21" spans="1:21" x14ac:dyDescent="0.3">
      <c r="A21">
        <v>2023</v>
      </c>
      <c r="L21" s="1">
        <v>870822</v>
      </c>
      <c r="M21" s="1">
        <v>858468</v>
      </c>
      <c r="N21" s="1">
        <v>855803</v>
      </c>
      <c r="O21" s="1">
        <v>851104</v>
      </c>
      <c r="P21" s="1"/>
      <c r="Q21" s="1"/>
      <c r="R21" s="1"/>
      <c r="S21" s="1"/>
    </row>
    <row r="22" spans="1:21" x14ac:dyDescent="0.3">
      <c r="A22">
        <v>2024</v>
      </c>
      <c r="M22" s="1">
        <v>870981</v>
      </c>
      <c r="N22" s="1">
        <v>867467</v>
      </c>
      <c r="O22" s="1">
        <v>864470</v>
      </c>
      <c r="P22" s="1"/>
      <c r="Q22" s="1"/>
      <c r="R22" s="1"/>
      <c r="S22" s="1"/>
    </row>
    <row r="23" spans="1:21" x14ac:dyDescent="0.3">
      <c r="A23">
        <v>2025</v>
      </c>
      <c r="N23" s="1">
        <v>878827</v>
      </c>
      <c r="O23" s="1">
        <v>877500</v>
      </c>
      <c r="P23" s="1"/>
      <c r="Q23" s="1"/>
      <c r="R23" s="1"/>
      <c r="S23" s="1"/>
    </row>
    <row r="24" spans="1:21" x14ac:dyDescent="0.3">
      <c r="A24">
        <v>2026</v>
      </c>
      <c r="O24" s="1">
        <v>890097</v>
      </c>
      <c r="P24" s="1"/>
      <c r="Q24" s="1"/>
      <c r="R24" s="1"/>
      <c r="S24" s="1"/>
    </row>
    <row r="25" spans="1:21" x14ac:dyDescent="0.3">
      <c r="A25">
        <v>2027</v>
      </c>
    </row>
    <row r="26" spans="1:21" x14ac:dyDescent="0.3">
      <c r="A26">
        <v>2028</v>
      </c>
    </row>
    <row r="28" spans="1:21" x14ac:dyDescent="0.3">
      <c r="B28" t="s">
        <v>50</v>
      </c>
      <c r="U28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4.4" x14ac:dyDescent="0.3"/>
  <cols>
    <col min="21" max="21" width="18.77734375" bestFit="1" customWidth="1"/>
    <col min="23" max="25" width="19.88671875" bestFit="1" customWidth="1"/>
  </cols>
  <sheetData>
    <row r="1" spans="1:29" x14ac:dyDescent="0.3">
      <c r="B1" t="s">
        <v>0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Q1" s="3" t="s">
        <v>23</v>
      </c>
      <c r="R1" s="3" t="s">
        <v>24</v>
      </c>
      <c r="S1" s="3" t="s">
        <v>25</v>
      </c>
      <c r="U1" t="s">
        <v>36</v>
      </c>
      <c r="W1" t="s">
        <v>37</v>
      </c>
      <c r="X1" t="s">
        <v>38</v>
      </c>
      <c r="Y1" t="s">
        <v>39</v>
      </c>
      <c r="AA1" t="s">
        <v>8</v>
      </c>
      <c r="AB1" t="s">
        <v>9</v>
      </c>
      <c r="AC1" t="s">
        <v>10</v>
      </c>
    </row>
    <row r="2" spans="1:29" x14ac:dyDescent="0.3">
      <c r="A2" t="s">
        <v>1</v>
      </c>
      <c r="Q2" s="3"/>
      <c r="R2" s="3"/>
      <c r="S2" s="3"/>
    </row>
    <row r="3" spans="1:29" x14ac:dyDescent="0.3">
      <c r="A3">
        <v>2005</v>
      </c>
      <c r="C3">
        <f>(GWh!C3*1000)/Customers!C3</f>
        <v>20.279544095693275</v>
      </c>
      <c r="Q3" s="3"/>
      <c r="R3" s="3"/>
      <c r="S3" s="3"/>
      <c r="U3">
        <f>(GWh!U3*1000)/Customers!U3</f>
        <v>20.255911195842984</v>
      </c>
    </row>
    <row r="4" spans="1:29" x14ac:dyDescent="0.3">
      <c r="A4">
        <v>2006</v>
      </c>
      <c r="C4">
        <f>(GWh!C4*1000)/Customers!C4</f>
        <v>20.611653380125421</v>
      </c>
      <c r="D4">
        <f>(GWh!D4*1000)/Customers!D4</f>
        <v>20.108820367184286</v>
      </c>
      <c r="Q4" s="3"/>
      <c r="R4" s="3"/>
      <c r="S4" s="3"/>
      <c r="U4">
        <f>(GWh!U4*1000)/Customers!U4</f>
        <v>19.944928782066459</v>
      </c>
    </row>
    <row r="5" spans="1:29" x14ac:dyDescent="0.3">
      <c r="A5">
        <v>2007</v>
      </c>
      <c r="C5">
        <f>(GWh!C5*1000)/Customers!C5</f>
        <v>20.94547881850907</v>
      </c>
      <c r="D5">
        <f>(GWh!D5*1000)/Customers!D5</f>
        <v>20.445185054066883</v>
      </c>
      <c r="E5">
        <f>(GWh!E5*1000)/Customers!E5</f>
        <v>20.401214489541207</v>
      </c>
      <c r="Q5" s="3"/>
      <c r="R5" s="3"/>
      <c r="S5" s="3"/>
      <c r="U5">
        <f>(GWh!U5*1000)/Customers!U5</f>
        <v>19.688816631807207</v>
      </c>
    </row>
    <row r="6" spans="1:29" x14ac:dyDescent="0.3">
      <c r="A6">
        <v>2008</v>
      </c>
      <c r="C6">
        <f>(GWh!C6*1000)/Customers!C6</f>
        <v>21.359864860462842</v>
      </c>
      <c r="D6">
        <f>(GWh!D6*1000)/Customers!D6</f>
        <v>20.740564066319038</v>
      </c>
      <c r="E6">
        <f>(GWh!E6*1000)/Customers!E6</f>
        <v>20.695706592735714</v>
      </c>
      <c r="F6">
        <f>(GWh!F6*1000)/Customers!F6</f>
        <v>19.99505303192063</v>
      </c>
      <c r="Q6" s="3"/>
      <c r="R6" s="3"/>
      <c r="S6" s="3">
        <f>C6</f>
        <v>21.359864860462842</v>
      </c>
      <c r="U6">
        <f>(GWh!U6*1000)/Customers!U6</f>
        <v>19.255167632831995</v>
      </c>
      <c r="W6" s="3"/>
      <c r="X6" s="3"/>
      <c r="Y6" s="3">
        <f>C6-U6</f>
        <v>2.1046972276308473</v>
      </c>
      <c r="AC6" s="2">
        <f>Y6/U6</f>
        <v>0.10930557800193477</v>
      </c>
    </row>
    <row r="7" spans="1:29" x14ac:dyDescent="0.3">
      <c r="A7">
        <v>2009</v>
      </c>
      <c r="C7">
        <f>(GWh!C7*1000)/Customers!C7</f>
        <v>21.69735552490199</v>
      </c>
      <c r="D7">
        <f>(GWh!D7*1000)/Customers!D7</f>
        <v>20.936683032583051</v>
      </c>
      <c r="E7">
        <f>(GWh!E7*1000)/Customers!E7</f>
        <v>20.890985993326108</v>
      </c>
      <c r="F7">
        <f>(GWh!F7*1000)/Customers!F7</f>
        <v>20.202736154112984</v>
      </c>
      <c r="G7">
        <f>(GWh!G7*1000)/Customers!G7</f>
        <v>19.783938423216714</v>
      </c>
      <c r="Q7" s="3"/>
      <c r="R7" s="3">
        <f>C7</f>
        <v>21.69735552490199</v>
      </c>
      <c r="S7" s="3">
        <f>D7</f>
        <v>20.936683032583051</v>
      </c>
      <c r="U7">
        <f>(GWh!U7*1000)/Customers!U7</f>
        <v>19.368098179933661</v>
      </c>
      <c r="W7" s="3"/>
      <c r="X7" s="3">
        <f>C7-U7</f>
        <v>2.3292573449683296</v>
      </c>
      <c r="Y7" s="3">
        <f>D7-U7</f>
        <v>1.5685848526493906</v>
      </c>
      <c r="AB7" s="2">
        <f>X7/U7</f>
        <v>0.12026257422535988</v>
      </c>
      <c r="AC7" s="2">
        <f t="shared" ref="AC7:AC14" si="0">Y7/U7</f>
        <v>8.0988068011474901E-2</v>
      </c>
    </row>
    <row r="8" spans="1:29" x14ac:dyDescent="0.3">
      <c r="A8">
        <v>2010</v>
      </c>
      <c r="C8">
        <f>(GWh!C8*1000)/Customers!C8</f>
        <v>22.129927955775624</v>
      </c>
      <c r="D8">
        <f>(GWh!D8*1000)/Customers!D8</f>
        <v>21.192455262782726</v>
      </c>
      <c r="E8">
        <f>(GWh!E8*1000)/Customers!E8</f>
        <v>21.145966987125846</v>
      </c>
      <c r="F8">
        <f>(GWh!F8*1000)/Customers!F8</f>
        <v>20.397915013709085</v>
      </c>
      <c r="G8">
        <f>(GWh!G8*1000)/Customers!G8</f>
        <v>19.992576557136303</v>
      </c>
      <c r="H8">
        <f>(GWh!H8*1000)/Customers!H8</f>
        <v>19.641673899450307</v>
      </c>
      <c r="Q8" s="3">
        <f>C8</f>
        <v>22.129927955775624</v>
      </c>
      <c r="R8" s="3">
        <f>D8</f>
        <v>21.192455262782726</v>
      </c>
      <c r="S8" s="3">
        <f>E8</f>
        <v>21.145966987125846</v>
      </c>
      <c r="U8">
        <f>(GWh!U8*1000)/Customers!U8</f>
        <v>20.509922115267511</v>
      </c>
      <c r="W8" s="3">
        <f>C8-U8</f>
        <v>1.6200058405081137</v>
      </c>
      <c r="X8" s="3">
        <f>D8-U8</f>
        <v>0.68253314751521543</v>
      </c>
      <c r="Y8" s="3">
        <f>E8-U8</f>
        <v>0.63604487185833491</v>
      </c>
      <c r="AA8" s="2">
        <f>W8/U8</f>
        <v>7.8986445263104499E-2</v>
      </c>
      <c r="AB8" s="2">
        <f t="shared" ref="AB8:AB14" si="1">X8/U8</f>
        <v>3.3278193046239815E-2</v>
      </c>
      <c r="AC8" s="2">
        <f t="shared" si="0"/>
        <v>3.1011569341107614E-2</v>
      </c>
    </row>
    <row r="9" spans="1:29" x14ac:dyDescent="0.3">
      <c r="A9">
        <v>2011</v>
      </c>
      <c r="C9">
        <f>(GWh!C9*1000)/Customers!C9</f>
        <v>22.28367848253648</v>
      </c>
      <c r="D9">
        <f>(GWh!D9*1000)/Customers!D9</f>
        <v>21.464778849566088</v>
      </c>
      <c r="E9">
        <f>(GWh!E9*1000)/Customers!E9</f>
        <v>21.418403393876826</v>
      </c>
      <c r="F9">
        <f>(GWh!F9*1000)/Customers!F9</f>
        <v>20.575648522855428</v>
      </c>
      <c r="G9">
        <f>(GWh!G9*1000)/Customers!G9</f>
        <v>20.12224189213082</v>
      </c>
      <c r="H9">
        <f>(GWh!H9*1000)/Customers!H9</f>
        <v>19.930425938742445</v>
      </c>
      <c r="I9">
        <f>(GWh!I9*1000)/Customers!I9</f>
        <v>19.847005242019403</v>
      </c>
      <c r="Q9" s="3">
        <f>D9</f>
        <v>21.464778849566088</v>
      </c>
      <c r="R9" s="3">
        <f>E9</f>
        <v>21.418403393876826</v>
      </c>
      <c r="S9" s="3">
        <f>F9</f>
        <v>20.575648522855428</v>
      </c>
      <c r="U9">
        <f>(GWh!U9*1000)/Customers!U9</f>
        <v>18.887924424746867</v>
      </c>
      <c r="W9" s="3">
        <f>D9-U9</f>
        <v>2.5768544248192207</v>
      </c>
      <c r="X9" s="3">
        <f>E9-U9</f>
        <v>2.530478969129959</v>
      </c>
      <c r="Y9" s="3">
        <f>F9-U9</f>
        <v>1.6877240981085606</v>
      </c>
      <c r="AA9" s="2">
        <f t="shared" ref="AA9:AA14" si="2">W9/U9</f>
        <v>0.13642867087307053</v>
      </c>
      <c r="AB9" s="2">
        <f t="shared" si="1"/>
        <v>0.13397337432240769</v>
      </c>
      <c r="AC9" s="2">
        <f t="shared" si="0"/>
        <v>8.9354661748715633E-2</v>
      </c>
    </row>
    <row r="10" spans="1:29" x14ac:dyDescent="0.3">
      <c r="A10">
        <v>2012</v>
      </c>
      <c r="C10">
        <f>(GWh!C10*1000)/Customers!C10</f>
        <v>23.126528324955849</v>
      </c>
      <c r="D10">
        <f>(GWh!D10*1000)/Customers!D10</f>
        <v>21.808764061755568</v>
      </c>
      <c r="E10">
        <f>(GWh!E10*1000)/Customers!E10</f>
        <v>21.761514200552035</v>
      </c>
      <c r="F10">
        <f>(GWh!F10*1000)/Customers!F10</f>
        <v>20.735242834166982</v>
      </c>
      <c r="G10">
        <f>(GWh!G10*1000)/Customers!G10</f>
        <v>20.14980964315421</v>
      </c>
      <c r="H10">
        <f>(GWh!H10*1000)/Customers!H10</f>
        <v>20.113345927325259</v>
      </c>
      <c r="I10">
        <f>(GWh!I10*1000)/Customers!I10</f>
        <v>20.030688932943562</v>
      </c>
      <c r="J10">
        <f>(GWh!J10*1000)/Customers!J10</f>
        <v>19.546517980975331</v>
      </c>
      <c r="Q10" s="3">
        <f>E10</f>
        <v>21.761514200552035</v>
      </c>
      <c r="R10" s="3">
        <f>F10</f>
        <v>20.735242834166982</v>
      </c>
      <c r="S10" s="3">
        <f>G10</f>
        <v>20.14980964315421</v>
      </c>
      <c r="U10">
        <f>(GWh!U10*1000)/Customers!U10</f>
        <v>18.443123857465494</v>
      </c>
      <c r="W10" s="3">
        <f>E10-U10</f>
        <v>3.3183903430865413</v>
      </c>
      <c r="X10" s="3">
        <f>F10-U10</f>
        <v>2.292118976701488</v>
      </c>
      <c r="Y10" s="3">
        <f>G10-U10</f>
        <v>1.7066857856887161</v>
      </c>
      <c r="AA10" s="2">
        <f t="shared" si="2"/>
        <v>0.17992561177445587</v>
      </c>
      <c r="AB10" s="2">
        <f t="shared" si="1"/>
        <v>0.12428040902483412</v>
      </c>
      <c r="AC10" s="2">
        <f t="shared" si="0"/>
        <v>9.2537782583826E-2</v>
      </c>
    </row>
    <row r="11" spans="1:29" x14ac:dyDescent="0.3">
      <c r="A11">
        <v>2013</v>
      </c>
      <c r="C11">
        <f>(GWh!C11*1000)/Customers!C11</f>
        <v>23.532724691955835</v>
      </c>
      <c r="D11">
        <f>(GWh!D11*1000)/Customers!D11</f>
        <v>22.05598775874887</v>
      </c>
      <c r="E11">
        <f>(GWh!E11*1000)/Customers!E11</f>
        <v>22.007899877183551</v>
      </c>
      <c r="F11">
        <f>(GWh!F11*1000)/Customers!F11</f>
        <v>20.892503917848064</v>
      </c>
      <c r="G11">
        <f>(GWh!G11*1000)/Customers!G11</f>
        <v>20.343718377299187</v>
      </c>
      <c r="H11">
        <f>(GWh!H11*1000)/Customers!H11</f>
        <v>20.230794235561817</v>
      </c>
      <c r="I11">
        <f>(GWh!I11*1000)/Customers!I11</f>
        <v>20.188476736301809</v>
      </c>
      <c r="J11">
        <f>(GWh!J11*1000)/Customers!J11</f>
        <v>19.914998214825189</v>
      </c>
      <c r="K11">
        <f>(GWh!K11*1000)/Customers!K11</f>
        <v>19.477939328084073</v>
      </c>
      <c r="Q11" s="3">
        <f>F11</f>
        <v>20.892503917848064</v>
      </c>
      <c r="R11" s="3">
        <f>G11</f>
        <v>20.343718377299187</v>
      </c>
      <c r="S11" s="3">
        <f>H11</f>
        <v>20.230794235561817</v>
      </c>
      <c r="U11">
        <f>(GWh!U11*1000)/Customers!U11</f>
        <v>18.280191449513282</v>
      </c>
      <c r="W11" s="3">
        <f>F11-U11</f>
        <v>2.6123124683347818</v>
      </c>
      <c r="X11" s="3">
        <f>G11-U11</f>
        <v>2.0635269277859045</v>
      </c>
      <c r="Y11" s="3">
        <f>H11-U11</f>
        <v>1.9506027860485347</v>
      </c>
      <c r="AA11" s="2">
        <f t="shared" si="2"/>
        <v>0.14290399942197191</v>
      </c>
      <c r="AB11" s="2">
        <f t="shared" si="1"/>
        <v>0.11288322299495648</v>
      </c>
      <c r="AC11" s="2">
        <f t="shared" si="0"/>
        <v>0.10670581823148632</v>
      </c>
    </row>
    <row r="12" spans="1:29" x14ac:dyDescent="0.3">
      <c r="A12">
        <v>2014</v>
      </c>
      <c r="C12">
        <f>(GWh!C12*1000)/Customers!C12</f>
        <v>24.017538360073768</v>
      </c>
      <c r="D12">
        <f>(GWh!D12*1000)/Customers!D12</f>
        <v>22.3654308497585</v>
      </c>
      <c r="E12">
        <f>(GWh!E12*1000)/Customers!E12</f>
        <v>22.320735855462068</v>
      </c>
      <c r="F12">
        <f>(GWh!F12*1000)/Customers!F12</f>
        <v>21.060984999899773</v>
      </c>
      <c r="G12">
        <f>(GWh!G12*1000)/Customers!G12</f>
        <v>20.485943375386281</v>
      </c>
      <c r="H12">
        <f>(GWh!H12*1000)/Customers!H12</f>
        <v>20.242631891759604</v>
      </c>
      <c r="I12">
        <f>(GWh!I12*1000)/Customers!I12</f>
        <v>20.017781779872696</v>
      </c>
      <c r="J12">
        <f>(GWh!J12*1000)/Customers!J12</f>
        <v>19.808105657391465</v>
      </c>
      <c r="K12">
        <f>(GWh!K12*1000)/Customers!K12</f>
        <v>19.691269979163888</v>
      </c>
      <c r="L12">
        <f>(GWh!L12*1000)/Customers!L12</f>
        <v>19.551279446778427</v>
      </c>
      <c r="Q12" s="3">
        <f>G12</f>
        <v>20.485943375386281</v>
      </c>
      <c r="R12" s="3">
        <f>H12</f>
        <v>20.242631891759604</v>
      </c>
      <c r="S12" s="3">
        <f>I12</f>
        <v>20.017781779872696</v>
      </c>
      <c r="U12">
        <f>(GWh!U12*1000)/Customers!U12</f>
        <v>18.707313055149712</v>
      </c>
      <c r="W12" s="3">
        <f>G12-U12</f>
        <v>1.7786303202365694</v>
      </c>
      <c r="X12" s="3">
        <f>H12-U12</f>
        <v>1.5353188366098927</v>
      </c>
      <c r="Y12" s="3">
        <f>I12-U12</f>
        <v>1.310468724722984</v>
      </c>
      <c r="AA12" s="2">
        <f t="shared" si="2"/>
        <v>9.5076738973315658E-2</v>
      </c>
      <c r="AB12" s="2">
        <f t="shared" si="1"/>
        <v>8.2070516064157759E-2</v>
      </c>
      <c r="AC12" s="2">
        <f t="shared" si="0"/>
        <v>7.0051146354352625E-2</v>
      </c>
    </row>
    <row r="13" spans="1:29" x14ac:dyDescent="0.3">
      <c r="A13">
        <v>2015</v>
      </c>
      <c r="D13">
        <f>(GWh!D13*1000)/Customers!D13</f>
        <v>22.665864725822679</v>
      </c>
      <c r="E13">
        <f>(GWh!E13*1000)/Customers!E13</f>
        <v>22.616203251539044</v>
      </c>
      <c r="F13">
        <f>(GWh!F13*1000)/Customers!F13</f>
        <v>21.258662134661481</v>
      </c>
      <c r="G13">
        <f>(GWh!G13*1000)/Customers!G13</f>
        <v>20.493443981839075</v>
      </c>
      <c r="H13">
        <f>(GWh!H13*1000)/Customers!H13</f>
        <v>20.283402584623779</v>
      </c>
      <c r="I13">
        <f>(GWh!I13*1000)/Customers!I13</f>
        <v>20.064877923807426</v>
      </c>
      <c r="J13">
        <f>(GWh!J13*1000)/Customers!J13</f>
        <v>19.996543807243192</v>
      </c>
      <c r="K13">
        <f>(GWh!K13*1000)/Customers!K13</f>
        <v>19.905338586424811</v>
      </c>
      <c r="L13">
        <f>(GWh!L13*1000)/Customers!L13</f>
        <v>19.67687574732625</v>
      </c>
      <c r="M13">
        <f>(GWh!M13*1000)/Customers!M13</f>
        <v>18.3488439348728</v>
      </c>
      <c r="Q13" s="3">
        <f>H13</f>
        <v>20.283402584623779</v>
      </c>
      <c r="R13" s="3">
        <f>I13</f>
        <v>20.064877923807426</v>
      </c>
      <c r="S13" s="3">
        <f>J13</f>
        <v>19.996543807243192</v>
      </c>
      <c r="U13">
        <f>(GWh!U13*1000)/Customers!U13</f>
        <v>18.759110884114875</v>
      </c>
      <c r="W13" s="3">
        <f>H13-U13</f>
        <v>1.5242917005089041</v>
      </c>
      <c r="X13" s="3">
        <f>I13-U13</f>
        <v>1.3057670396925509</v>
      </c>
      <c r="Y13" s="3">
        <f>J13-U13</f>
        <v>1.237432923128317</v>
      </c>
      <c r="AA13" s="2">
        <f t="shared" si="2"/>
        <v>8.125607391124634E-2</v>
      </c>
      <c r="AB13" s="2">
        <f t="shared" si="1"/>
        <v>6.960708573870994E-2</v>
      </c>
      <c r="AC13" s="2">
        <f t="shared" si="0"/>
        <v>6.5964369568078482E-2</v>
      </c>
    </row>
    <row r="14" spans="1:29" x14ac:dyDescent="0.3">
      <c r="A14">
        <v>2016</v>
      </c>
      <c r="E14">
        <f>(GWh!E14*1000)/Customers!E14</f>
        <v>22.977653857761243</v>
      </c>
      <c r="F14">
        <f>(GWh!F14*1000)/Customers!F14</f>
        <v>21.494738534650637</v>
      </c>
      <c r="G14">
        <f>(GWh!G14*1000)/Customers!G14</f>
        <v>20.504994703970198</v>
      </c>
      <c r="H14">
        <f>(GWh!H14*1000)/Customers!H14</f>
        <v>20.324924189879201</v>
      </c>
      <c r="I14">
        <f>(GWh!I14*1000)/Customers!I14</f>
        <v>20.101513062431135</v>
      </c>
      <c r="J14">
        <f>(GWh!J14*1000)/Customers!J14</f>
        <v>20.15614486167836</v>
      </c>
      <c r="K14">
        <f>(GWh!K14*1000)/Customers!K14</f>
        <v>19.975538572047967</v>
      </c>
      <c r="L14">
        <f>(GWh!L14*1000)/Customers!L14</f>
        <v>19.942678165805621</v>
      </c>
      <c r="M14">
        <f>(GWh!M14*1000)/Customers!M14</f>
        <v>18.389474676188183</v>
      </c>
      <c r="N14">
        <f>(GWh!N14*1000)/Customers!N14</f>
        <v>18.242939622092756</v>
      </c>
      <c r="Q14" s="3">
        <f>I14</f>
        <v>20.101513062431135</v>
      </c>
      <c r="R14" s="3">
        <f>J14</f>
        <v>20.15614486167836</v>
      </c>
      <c r="S14" s="3">
        <f>K14</f>
        <v>19.975538572047967</v>
      </c>
      <c r="U14">
        <f>(GWh!U14*1000)/Customers!U14</f>
        <v>18.955092502842412</v>
      </c>
      <c r="W14" s="3">
        <f>I14-U14</f>
        <v>1.1464205595887229</v>
      </c>
      <c r="X14" s="3">
        <f>J14-U14</f>
        <v>1.2010523588359483</v>
      </c>
      <c r="Y14" s="3">
        <f>K14-U14</f>
        <v>1.0204460692055548</v>
      </c>
      <c r="AA14" s="2">
        <f t="shared" si="2"/>
        <v>6.0480873908518848E-2</v>
      </c>
      <c r="AB14" s="2">
        <f t="shared" si="1"/>
        <v>6.3363043923728907E-2</v>
      </c>
      <c r="AC14" s="2">
        <f t="shared" si="0"/>
        <v>5.3834929534241724E-2</v>
      </c>
    </row>
    <row r="15" spans="1:29" x14ac:dyDescent="0.3">
      <c r="A15">
        <v>2017</v>
      </c>
      <c r="F15">
        <f>(GWh!F15*1000)/Customers!F15</f>
        <v>21.730107424970832</v>
      </c>
      <c r="G15">
        <f>(GWh!G15*1000)/Customers!G15</f>
        <v>20.521642041508503</v>
      </c>
      <c r="H15">
        <f>(GWh!H15*1000)/Customers!H15</f>
        <v>20.368178058189205</v>
      </c>
      <c r="I15">
        <f>(GWh!I15*1000)/Customers!I15</f>
        <v>20.140342238089374</v>
      </c>
      <c r="J15">
        <f>(GWh!J15*1000)/Customers!J15</f>
        <v>20.307375604179992</v>
      </c>
      <c r="K15">
        <f>(GWh!K15*1000)/Customers!K15</f>
        <v>20.140304957847643</v>
      </c>
      <c r="L15">
        <f>(GWh!L15*1000)/Customers!L15</f>
        <v>20.109523371459527</v>
      </c>
      <c r="M15">
        <f>(GWh!M15*1000)/Customers!M15</f>
        <v>18.344448258704549</v>
      </c>
      <c r="N15">
        <f>(GWh!N15*1000)/Customers!N15</f>
        <v>18.338103719871921</v>
      </c>
      <c r="O15">
        <f>(GWh!O15*1000)/Customers!O15</f>
        <v>18.369774819606867</v>
      </c>
    </row>
    <row r="16" spans="1:29" x14ac:dyDescent="0.3">
      <c r="A16">
        <v>2018</v>
      </c>
      <c r="G16">
        <f>(GWh!G16*1000)/Customers!G16</f>
        <v>20.544701006512728</v>
      </c>
      <c r="H16">
        <f>(GWh!H16*1000)/Customers!H16</f>
        <v>20.415310867726241</v>
      </c>
      <c r="I16">
        <f>(GWh!I16*1000)/Customers!I16</f>
        <v>20.185114948569026</v>
      </c>
      <c r="J16">
        <f>(GWh!J16*1000)/Customers!J16</f>
        <v>20.408163265306122</v>
      </c>
      <c r="K16">
        <f>(GWh!K16*1000)/Customers!K16</f>
        <v>20.261879100019019</v>
      </c>
      <c r="L16">
        <f>(GWh!L16*1000)/Customers!L16</f>
        <v>20.242133905261102</v>
      </c>
      <c r="M16">
        <f>(GWh!M16*1000)/Customers!M16</f>
        <v>18.36940556037305</v>
      </c>
      <c r="N16">
        <f>(GWh!N16*1000)/Customers!N16</f>
        <v>18.393109465897741</v>
      </c>
      <c r="O16">
        <f>(GWh!O16*1000)/Customers!O16</f>
        <v>18.57730626505224</v>
      </c>
    </row>
    <row r="17" spans="1:15" x14ac:dyDescent="0.3">
      <c r="A17">
        <v>2019</v>
      </c>
      <c r="H17">
        <f>(GWh!H17*1000)/Customers!H17</f>
        <v>20.4665176529025</v>
      </c>
      <c r="I17">
        <f>(GWh!I17*1000)/Customers!I17</f>
        <v>20.251077718244908</v>
      </c>
      <c r="J17">
        <f>(GWh!J17*1000)/Customers!J17</f>
        <v>20.548139297091403</v>
      </c>
      <c r="K17">
        <f>(GWh!K17*1000)/Customers!K17</f>
        <v>20.404978536795895</v>
      </c>
      <c r="L17">
        <f>(GWh!L17*1000)/Customers!L17</f>
        <v>20.391734661647391</v>
      </c>
      <c r="M17">
        <f>(GWh!M17*1000)/Customers!M17</f>
        <v>18.349421472822389</v>
      </c>
      <c r="N17">
        <f>(GWh!N17*1000)/Customers!N17</f>
        <v>18.45833778137483</v>
      </c>
      <c r="O17">
        <f>(GWh!O17*1000)/Customers!O17</f>
        <v>18.68415597142911</v>
      </c>
    </row>
    <row r="18" spans="1:15" x14ac:dyDescent="0.3">
      <c r="A18">
        <v>2020</v>
      </c>
      <c r="I18">
        <f>(GWh!I18*1000)/Customers!I18</f>
        <v>20.313566432350424</v>
      </c>
      <c r="J18">
        <f>(GWh!J18*1000)/Customers!J18</f>
        <v>20.686200042018843</v>
      </c>
      <c r="K18">
        <f>(GWh!K18*1000)/Customers!K18</f>
        <v>20.543947566707729</v>
      </c>
      <c r="L18">
        <f>(GWh!L18*1000)/Customers!L18</f>
        <v>20.534651243864513</v>
      </c>
      <c r="M18">
        <f>(GWh!M18*1000)/Customers!M18</f>
        <v>18.366457876490422</v>
      </c>
      <c r="N18">
        <f>(GWh!N18*1000)/Customers!N18</f>
        <v>18.476057920054696</v>
      </c>
      <c r="O18">
        <f>(GWh!O18*1000)/Customers!O18</f>
        <v>18.629145778282666</v>
      </c>
    </row>
    <row r="19" spans="1:15" x14ac:dyDescent="0.3">
      <c r="A19">
        <v>2021</v>
      </c>
      <c r="J19">
        <f>(GWh!J19*1000)/Customers!J19</f>
        <v>20.861727206359323</v>
      </c>
      <c r="K19">
        <f>(GWh!K19*1000)/Customers!K19</f>
        <v>20.690473756144797</v>
      </c>
      <c r="L19">
        <f>(GWh!L19*1000)/Customers!L19</f>
        <v>20.678995137494201</v>
      </c>
      <c r="M19">
        <f>(GWh!M19*1000)/Customers!M19</f>
        <v>18.293781050922913</v>
      </c>
      <c r="N19">
        <f>(GWh!N19*1000)/Customers!N19</f>
        <v>18.478932574138152</v>
      </c>
      <c r="O19">
        <f>(GWh!O19*1000)/Customers!O19</f>
        <v>18.595638353929051</v>
      </c>
    </row>
    <row r="20" spans="1:15" x14ac:dyDescent="0.3">
      <c r="A20">
        <v>2022</v>
      </c>
      <c r="K20">
        <f>(GWh!K20*1000)/Customers!K20</f>
        <v>20.843488445696043</v>
      </c>
      <c r="L20">
        <f>(GWh!L20*1000)/Customers!L20</f>
        <v>20.832701226015903</v>
      </c>
      <c r="M20">
        <f>(GWh!M20*1000)/Customers!M20</f>
        <v>18.268851094617823</v>
      </c>
      <c r="N20">
        <f>(GWh!N20*1000)/Customers!N20</f>
        <v>18.488673584020251</v>
      </c>
      <c r="O20">
        <f>(GWh!O20*1000)/Customers!O20</f>
        <v>18.546714290320384</v>
      </c>
    </row>
    <row r="21" spans="1:15" x14ac:dyDescent="0.3">
      <c r="A21">
        <v>2023</v>
      </c>
      <c r="L21">
        <f>(GWh!L21*1000)/Customers!L21</f>
        <v>20.996254113929137</v>
      </c>
      <c r="M21">
        <f>(GWh!M21*1000)/Customers!M21</f>
        <v>18.242963045797865</v>
      </c>
      <c r="N21">
        <f>(GWh!N21*1000)/Customers!N21</f>
        <v>18.479720215984287</v>
      </c>
      <c r="O21">
        <f>(GWh!O21*1000)/Customers!O21</f>
        <v>18.532400270707221</v>
      </c>
    </row>
    <row r="22" spans="1:15" x14ac:dyDescent="0.3">
      <c r="A22">
        <v>2024</v>
      </c>
      <c r="M22">
        <f>(GWh!M22*1000)/Customers!M22</f>
        <v>18.258722061675282</v>
      </c>
      <c r="N22">
        <f>(GWh!N22*1000)/Customers!N22</f>
        <v>18.47447799167</v>
      </c>
      <c r="O22">
        <f>(GWh!O22*1000)/Customers!O22</f>
        <v>18.52695871458813</v>
      </c>
    </row>
    <row r="23" spans="1:15" x14ac:dyDescent="0.3">
      <c r="A23">
        <v>2025</v>
      </c>
      <c r="N23">
        <f>(GWh!N23*1000)/Customers!N23</f>
        <v>18.460971271934067</v>
      </c>
      <c r="O23">
        <f>(GWh!O23*1000)/Customers!O23</f>
        <v>18.534472934472934</v>
      </c>
    </row>
    <row r="24" spans="1:15" x14ac:dyDescent="0.3">
      <c r="A24">
        <v>2026</v>
      </c>
      <c r="O24">
        <f>(GWh!O24*1000)/Customers!O24</f>
        <v>18.526070754086351</v>
      </c>
    </row>
    <row r="25" spans="1:15" x14ac:dyDescent="0.3">
      <c r="A25">
        <v>2027</v>
      </c>
    </row>
    <row r="26" spans="1:15" x14ac:dyDescent="0.3">
      <c r="A26">
        <v>2028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pane xSplit="1" ySplit="1" topLeftCell="X3" activePane="bottomRight" state="frozen"/>
      <selection pane="topRight" activeCell="B1" sqref="B1"/>
      <selection pane="bottomLeft" activeCell="A2" sqref="A2"/>
      <selection pane="bottomRight" activeCell="AA3" sqref="AA3:AC14"/>
    </sheetView>
  </sheetViews>
  <sheetFormatPr defaultRowHeight="14.4" x14ac:dyDescent="0.3"/>
  <cols>
    <col min="17" max="19" width="10.5546875" bestFit="1" customWidth="1"/>
    <col min="23" max="25" width="10.77734375" bestFit="1" customWidth="1"/>
  </cols>
  <sheetData>
    <row r="1" spans="1:31" x14ac:dyDescent="0.3">
      <c r="B1" t="s">
        <v>0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Q1" t="s">
        <v>23</v>
      </c>
      <c r="R1" t="s">
        <v>24</v>
      </c>
      <c r="S1" t="s">
        <v>25</v>
      </c>
      <c r="U1" t="s">
        <v>3</v>
      </c>
      <c r="W1" t="s">
        <v>5</v>
      </c>
      <c r="X1" t="s">
        <v>6</v>
      </c>
      <c r="Y1" t="s">
        <v>7</v>
      </c>
      <c r="AA1" t="s">
        <v>8</v>
      </c>
      <c r="AB1" t="s">
        <v>9</v>
      </c>
      <c r="AC1" t="s">
        <v>10</v>
      </c>
      <c r="AE1" t="s">
        <v>4</v>
      </c>
    </row>
    <row r="2" spans="1:31" x14ac:dyDescent="0.3">
      <c r="A2" t="s">
        <v>1</v>
      </c>
    </row>
    <row r="3" spans="1:31" x14ac:dyDescent="0.3">
      <c r="A3">
        <v>2005</v>
      </c>
      <c r="C3" s="1">
        <v>3324</v>
      </c>
      <c r="U3" s="1">
        <v>3539</v>
      </c>
      <c r="AE3" s="2">
        <f>(GWh!U3*1000)/('Summer Peak'!U3*8760)</f>
        <v>0.54081009907862942</v>
      </c>
    </row>
    <row r="4" spans="1:31" x14ac:dyDescent="0.3">
      <c r="A4">
        <v>2006</v>
      </c>
      <c r="C4" s="1">
        <v>3460</v>
      </c>
      <c r="D4" s="1">
        <v>3555</v>
      </c>
      <c r="U4" s="1">
        <v>3632</v>
      </c>
      <c r="AE4" s="2">
        <f>(GWh!U4*1000)/('Summer Peak'!U4*8760)</f>
        <v>0.54547477520970367</v>
      </c>
    </row>
    <row r="5" spans="1:31" x14ac:dyDescent="0.3">
      <c r="A5">
        <v>2007</v>
      </c>
      <c r="C5" s="1">
        <v>3598</v>
      </c>
      <c r="D5" s="1">
        <v>3655</v>
      </c>
      <c r="E5" s="1">
        <v>3691</v>
      </c>
      <c r="U5" s="1">
        <v>3839</v>
      </c>
      <c r="AE5" s="2">
        <f>(GWh!U5*1000)/('Summer Peak'!U5*8760)</f>
        <v>0.52539961771817956</v>
      </c>
    </row>
    <row r="6" spans="1:31" x14ac:dyDescent="0.3">
      <c r="A6">
        <v>2008</v>
      </c>
      <c r="C6" s="1">
        <v>3742</v>
      </c>
      <c r="D6" s="1">
        <v>3846</v>
      </c>
      <c r="E6" s="1">
        <v>3841</v>
      </c>
      <c r="F6" s="1">
        <v>3947</v>
      </c>
      <c r="S6" s="1">
        <f>C6</f>
        <v>3742</v>
      </c>
      <c r="U6" s="1">
        <v>3630</v>
      </c>
      <c r="Y6" s="1">
        <f>C6-U6</f>
        <v>112</v>
      </c>
      <c r="AC6" s="2">
        <f>Y6/U6</f>
        <v>3.0853994490358128E-2</v>
      </c>
      <c r="AE6" s="2">
        <f>(GWh!U6*1000)/('Summer Peak'!U6*8760)</f>
        <v>0.54505201454142926</v>
      </c>
    </row>
    <row r="7" spans="1:31" x14ac:dyDescent="0.3">
      <c r="A7">
        <v>2009</v>
      </c>
      <c r="C7" s="1">
        <v>3895</v>
      </c>
      <c r="D7" s="1">
        <v>4000</v>
      </c>
      <c r="E7" s="1">
        <v>3995</v>
      </c>
      <c r="F7" s="1">
        <v>3920</v>
      </c>
      <c r="G7">
        <v>3932</v>
      </c>
      <c r="R7" s="1">
        <f>C7</f>
        <v>3895</v>
      </c>
      <c r="S7" s="1">
        <f>D7</f>
        <v>4000</v>
      </c>
      <c r="U7" s="1">
        <v>3824</v>
      </c>
      <c r="X7" s="1">
        <f>C7-U7</f>
        <v>71</v>
      </c>
      <c r="Y7" s="1">
        <f>D7-U7</f>
        <v>176</v>
      </c>
      <c r="AB7" s="2">
        <f>X7/U7</f>
        <v>1.8566945606694561E-2</v>
      </c>
      <c r="AC7" s="2">
        <f t="shared" ref="AC7:AC14" si="0">Y7/U7</f>
        <v>4.6025104602510462E-2</v>
      </c>
      <c r="AE7" s="2">
        <f>(GWh!U7*1000)/('Summer Peak'!U7*8760)</f>
        <v>0.52101244722110773</v>
      </c>
    </row>
    <row r="8" spans="1:31" x14ac:dyDescent="0.3">
      <c r="A8">
        <v>2010</v>
      </c>
      <c r="C8" s="1">
        <v>4056</v>
      </c>
      <c r="D8" s="1">
        <v>4157</v>
      </c>
      <c r="E8" s="1">
        <v>4152</v>
      </c>
      <c r="F8" s="1">
        <v>3862</v>
      </c>
      <c r="G8">
        <v>3787</v>
      </c>
      <c r="H8" s="1">
        <v>3755</v>
      </c>
      <c r="Q8" s="1">
        <f>C8</f>
        <v>4056</v>
      </c>
      <c r="R8" s="1">
        <f>D8</f>
        <v>4157</v>
      </c>
      <c r="S8" s="1">
        <f>E8</f>
        <v>4152</v>
      </c>
      <c r="T8" s="1"/>
      <c r="U8" s="1">
        <v>3548</v>
      </c>
      <c r="W8" s="1">
        <f>C8-U8</f>
        <v>508</v>
      </c>
      <c r="X8" s="1">
        <f>D8-U8</f>
        <v>609</v>
      </c>
      <c r="Y8" s="1">
        <f>E8-U8</f>
        <v>604</v>
      </c>
      <c r="AA8" s="2">
        <f>W8/U8</f>
        <v>0.14317925591882752</v>
      </c>
      <c r="AB8" s="2">
        <f t="shared" ref="AB8:AB14" si="1">X8/U8</f>
        <v>0.17164599774520856</v>
      </c>
      <c r="AC8" s="2">
        <f t="shared" si="0"/>
        <v>0.17023675310033823</v>
      </c>
      <c r="AE8" s="2">
        <f>(GWh!U8*1000)/('Summer Peak'!U8*8760)</f>
        <v>0.55809948881098359</v>
      </c>
    </row>
    <row r="9" spans="1:31" x14ac:dyDescent="0.3">
      <c r="A9">
        <v>2011</v>
      </c>
      <c r="C9" s="1">
        <v>4226</v>
      </c>
      <c r="D9" s="1">
        <v>4305</v>
      </c>
      <c r="E9" s="1">
        <v>4299</v>
      </c>
      <c r="F9" s="1">
        <v>4031</v>
      </c>
      <c r="G9">
        <v>3946</v>
      </c>
      <c r="H9" s="1">
        <v>3883</v>
      </c>
      <c r="I9" s="1">
        <v>3777</v>
      </c>
      <c r="Q9" s="1">
        <f>D9</f>
        <v>4305</v>
      </c>
      <c r="R9" s="1">
        <f>E9</f>
        <v>4299</v>
      </c>
      <c r="S9" s="1">
        <f>F9</f>
        <v>4031</v>
      </c>
      <c r="T9" s="1"/>
      <c r="U9" s="1">
        <v>3653</v>
      </c>
      <c r="W9" s="1">
        <f>D9-U9</f>
        <v>652</v>
      </c>
      <c r="X9" s="1">
        <f>E9-U9</f>
        <v>646</v>
      </c>
      <c r="Y9" s="1">
        <f>F9-U9</f>
        <v>378</v>
      </c>
      <c r="AA9" s="2">
        <f t="shared" ref="AA9:AA14" si="2">W9/U9</f>
        <v>0.17848343826991514</v>
      </c>
      <c r="AB9" s="2">
        <f t="shared" si="1"/>
        <v>0.17684095264166438</v>
      </c>
      <c r="AC9" s="2">
        <f t="shared" si="0"/>
        <v>0.10347659457979742</v>
      </c>
      <c r="AE9" s="2">
        <f>(GWh!U9*1000)/('Summer Peak'!U9*8760)</f>
        <v>0.50115186492118191</v>
      </c>
    </row>
    <row r="10" spans="1:31" x14ac:dyDescent="0.3">
      <c r="A10">
        <v>2012</v>
      </c>
      <c r="C10" s="1">
        <v>4394</v>
      </c>
      <c r="D10" s="1">
        <v>4459</v>
      </c>
      <c r="E10" s="1">
        <v>4454</v>
      </c>
      <c r="F10" s="1">
        <v>4197</v>
      </c>
      <c r="G10">
        <v>4073</v>
      </c>
      <c r="H10" s="1">
        <v>4018</v>
      </c>
      <c r="I10" s="1">
        <v>3910</v>
      </c>
      <c r="J10" s="1">
        <v>3618</v>
      </c>
      <c r="Q10" s="1">
        <f>E10</f>
        <v>4454</v>
      </c>
      <c r="R10" s="1">
        <f>F10</f>
        <v>4197</v>
      </c>
      <c r="S10" s="1">
        <f>G10</f>
        <v>4073</v>
      </c>
      <c r="T10" s="1"/>
      <c r="U10" s="1">
        <v>3428</v>
      </c>
      <c r="W10" s="1">
        <f>E10-U10</f>
        <v>1026</v>
      </c>
      <c r="X10" s="1">
        <f>F10-U10</f>
        <v>769</v>
      </c>
      <c r="Y10" s="1">
        <f>G10-U10</f>
        <v>645</v>
      </c>
      <c r="AA10" s="2">
        <f t="shared" si="2"/>
        <v>0.29929988331388563</v>
      </c>
      <c r="AB10" s="2">
        <f t="shared" si="1"/>
        <v>0.22432905484247376</v>
      </c>
      <c r="AC10" s="2">
        <f t="shared" si="0"/>
        <v>0.18815635939323219</v>
      </c>
      <c r="AE10" s="2">
        <f>(GWh!U10*1000)/('Summer Peak'!U10*8760)</f>
        <v>0.5251208154174859</v>
      </c>
    </row>
    <row r="11" spans="1:31" x14ac:dyDescent="0.3">
      <c r="A11">
        <v>2013</v>
      </c>
      <c r="C11" s="1">
        <v>4567</v>
      </c>
      <c r="D11" s="1">
        <v>4617</v>
      </c>
      <c r="E11" s="1">
        <v>4612</v>
      </c>
      <c r="F11" s="1">
        <v>4365</v>
      </c>
      <c r="G11">
        <v>4270</v>
      </c>
      <c r="H11" s="1">
        <v>4148</v>
      </c>
      <c r="I11">
        <v>4.0289999999999999</v>
      </c>
      <c r="J11" s="1">
        <v>3740</v>
      </c>
      <c r="K11" s="1">
        <v>3645</v>
      </c>
      <c r="Q11" s="1">
        <f>F11</f>
        <v>4365</v>
      </c>
      <c r="R11" s="1">
        <f>G11</f>
        <v>4270</v>
      </c>
      <c r="S11" s="1">
        <f>H11</f>
        <v>4148</v>
      </c>
      <c r="T11" s="1"/>
      <c r="U11" s="1">
        <v>3566</v>
      </c>
      <c r="W11" s="1">
        <f>F11-U11</f>
        <v>799</v>
      </c>
      <c r="X11" s="1">
        <f>G11-U11</f>
        <v>704</v>
      </c>
      <c r="Y11" s="1">
        <f>H11-U11</f>
        <v>582</v>
      </c>
      <c r="AA11" s="2">
        <f t="shared" si="2"/>
        <v>0.22406057206954572</v>
      </c>
      <c r="AB11" s="2">
        <f t="shared" si="1"/>
        <v>0.19742007851934942</v>
      </c>
      <c r="AC11" s="2">
        <f t="shared" si="0"/>
        <v>0.16320807627593942</v>
      </c>
      <c r="AE11" s="2">
        <f>(GWh!U11*1000)/('Summer Peak'!U11*8760)</f>
        <v>0.5061757798794807</v>
      </c>
    </row>
    <row r="12" spans="1:31" x14ac:dyDescent="0.3">
      <c r="A12">
        <v>2014</v>
      </c>
      <c r="C12" s="1">
        <v>4748</v>
      </c>
      <c r="D12" s="1">
        <v>4779</v>
      </c>
      <c r="E12" s="1">
        <v>4773</v>
      </c>
      <c r="F12" s="1">
        <v>3813</v>
      </c>
      <c r="G12">
        <v>3719</v>
      </c>
      <c r="H12" s="1">
        <v>3637</v>
      </c>
      <c r="I12" s="1">
        <v>3500</v>
      </c>
      <c r="J12" s="1">
        <v>3252</v>
      </c>
      <c r="K12" s="1">
        <v>3194</v>
      </c>
      <c r="L12" s="1">
        <v>3060</v>
      </c>
      <c r="Q12" s="1">
        <f>G12</f>
        <v>3719</v>
      </c>
      <c r="R12" s="1">
        <f>H12</f>
        <v>3637</v>
      </c>
      <c r="S12" s="1">
        <f>I12</f>
        <v>3500</v>
      </c>
      <c r="T12" s="1"/>
      <c r="U12" s="1">
        <v>3088</v>
      </c>
      <c r="W12" s="1">
        <f>G12-U12</f>
        <v>631</v>
      </c>
      <c r="X12" s="1">
        <f>H12-U12</f>
        <v>549</v>
      </c>
      <c r="Y12" s="1">
        <f>I12-U12</f>
        <v>412</v>
      </c>
      <c r="AA12" s="2">
        <f t="shared" si="2"/>
        <v>0.20433937823834197</v>
      </c>
      <c r="AB12" s="2">
        <f t="shared" si="1"/>
        <v>0.17778497409326424</v>
      </c>
      <c r="AC12" s="2">
        <f t="shared" si="0"/>
        <v>0.13341968911917099</v>
      </c>
      <c r="AE12" s="2">
        <f>(GWh!U12*1000)/('Summer Peak'!U12*8760)</f>
        <v>0.51214600042586411</v>
      </c>
    </row>
    <row r="13" spans="1:31" x14ac:dyDescent="0.3">
      <c r="A13">
        <v>2015</v>
      </c>
      <c r="D13" s="1">
        <v>4941</v>
      </c>
      <c r="E13" s="1">
        <v>4935</v>
      </c>
      <c r="F13" s="1">
        <v>3957</v>
      </c>
      <c r="G13">
        <v>3835</v>
      </c>
      <c r="H13" s="1">
        <v>3734</v>
      </c>
      <c r="I13" s="1">
        <v>3578</v>
      </c>
      <c r="J13" s="1">
        <v>3350</v>
      </c>
      <c r="K13" s="1">
        <v>3275</v>
      </c>
      <c r="L13" s="1">
        <v>3101</v>
      </c>
      <c r="M13" s="1">
        <v>2909</v>
      </c>
      <c r="Q13" s="1">
        <f>H13</f>
        <v>3734</v>
      </c>
      <c r="R13" s="1">
        <f>I13</f>
        <v>3578</v>
      </c>
      <c r="S13" s="1">
        <f>J13</f>
        <v>3350</v>
      </c>
      <c r="T13" s="1"/>
      <c r="U13" s="1">
        <v>3021</v>
      </c>
      <c r="W13" s="1">
        <f>H13-U13</f>
        <v>713</v>
      </c>
      <c r="X13" s="1">
        <f>I13-U13</f>
        <v>557</v>
      </c>
      <c r="Y13" s="1">
        <f>J13-U13</f>
        <v>329</v>
      </c>
      <c r="AA13" s="2">
        <f t="shared" si="2"/>
        <v>0.23601456471367097</v>
      </c>
      <c r="AB13" s="2">
        <f t="shared" si="1"/>
        <v>0.18437603442568687</v>
      </c>
      <c r="AC13" s="2">
        <f t="shared" si="0"/>
        <v>0.10890433631247931</v>
      </c>
      <c r="AE13" s="2">
        <f>(GWh!U13*1000)/('Summer Peak'!U13*8760)</f>
        <v>0.53295122876546064</v>
      </c>
    </row>
    <row r="14" spans="1:31" x14ac:dyDescent="0.3">
      <c r="A14">
        <v>2016</v>
      </c>
      <c r="E14" s="1">
        <v>5094</v>
      </c>
      <c r="F14" s="1">
        <v>4096</v>
      </c>
      <c r="G14">
        <v>3958</v>
      </c>
      <c r="H14" s="1">
        <v>3850</v>
      </c>
      <c r="I14" s="1">
        <v>3682</v>
      </c>
      <c r="J14" s="1">
        <v>3461</v>
      </c>
      <c r="K14" s="1">
        <v>3312</v>
      </c>
      <c r="L14" s="1">
        <v>3200</v>
      </c>
      <c r="M14" s="1">
        <v>2963</v>
      </c>
      <c r="N14" s="1">
        <v>3024</v>
      </c>
      <c r="Q14" s="1">
        <f>I14</f>
        <v>3682</v>
      </c>
      <c r="R14" s="1">
        <f>J14</f>
        <v>3461</v>
      </c>
      <c r="S14" s="1">
        <f>K14</f>
        <v>3312</v>
      </c>
      <c r="T14" s="1"/>
      <c r="U14" s="1">
        <v>3243</v>
      </c>
      <c r="W14" s="1">
        <f>I14-U14</f>
        <v>439</v>
      </c>
      <c r="X14" s="1">
        <f>J14-U14</f>
        <v>218</v>
      </c>
      <c r="Y14" s="1">
        <f>K14-U14</f>
        <v>69</v>
      </c>
      <c r="AA14" s="2">
        <f t="shared" si="2"/>
        <v>0.13536848596978107</v>
      </c>
      <c r="AB14" s="2">
        <f t="shared" si="1"/>
        <v>6.7221708294788782E-2</v>
      </c>
      <c r="AC14" s="2">
        <f t="shared" si="0"/>
        <v>2.1276595744680851E-2</v>
      </c>
      <c r="AE14" s="2">
        <f>(GWh!U14*1000)/('Summer Peak'!U14*8760)</f>
        <v>0.50938656776731617</v>
      </c>
    </row>
    <row r="15" spans="1:31" x14ac:dyDescent="0.3">
      <c r="A15">
        <v>2017</v>
      </c>
      <c r="F15" s="1">
        <v>4236</v>
      </c>
      <c r="G15">
        <v>4081</v>
      </c>
      <c r="H15" s="1">
        <v>3968</v>
      </c>
      <c r="I15" s="1">
        <v>3783</v>
      </c>
      <c r="J15" s="1">
        <v>3566</v>
      </c>
      <c r="K15" s="1">
        <v>3402</v>
      </c>
      <c r="L15" s="1">
        <v>3291</v>
      </c>
      <c r="M15" s="1">
        <v>3022</v>
      </c>
      <c r="N15" s="1">
        <v>3082</v>
      </c>
      <c r="O15" s="1">
        <v>3045</v>
      </c>
      <c r="P15" s="1"/>
    </row>
    <row r="16" spans="1:31" x14ac:dyDescent="0.3">
      <c r="A16">
        <v>2018</v>
      </c>
      <c r="G16">
        <v>4202</v>
      </c>
      <c r="H16" s="1">
        <v>4087</v>
      </c>
      <c r="I16">
        <v>3.8849999999999998</v>
      </c>
      <c r="J16" s="1">
        <v>3666</v>
      </c>
      <c r="K16" s="1">
        <v>3487</v>
      </c>
      <c r="L16" s="1">
        <v>3378</v>
      </c>
      <c r="M16" s="1">
        <v>3082</v>
      </c>
      <c r="N16" s="1">
        <v>3143</v>
      </c>
      <c r="O16" s="1">
        <v>3104</v>
      </c>
      <c r="P16" s="1"/>
    </row>
    <row r="17" spans="1:31" x14ac:dyDescent="0.3">
      <c r="A17">
        <v>2019</v>
      </c>
      <c r="H17" s="1">
        <v>4206</v>
      </c>
      <c r="I17" s="1">
        <v>3991</v>
      </c>
      <c r="J17" s="1">
        <v>3776</v>
      </c>
      <c r="K17" s="1">
        <v>3577</v>
      </c>
      <c r="L17" s="1">
        <v>3465</v>
      </c>
      <c r="M17" s="1">
        <v>3135</v>
      </c>
      <c r="N17" s="1">
        <v>3201</v>
      </c>
      <c r="O17" s="1">
        <v>3163</v>
      </c>
      <c r="P17" s="1"/>
    </row>
    <row r="18" spans="1:31" x14ac:dyDescent="0.3">
      <c r="A18">
        <v>2020</v>
      </c>
      <c r="I18" s="1">
        <v>4097</v>
      </c>
      <c r="J18" s="1">
        <v>3886</v>
      </c>
      <c r="K18" s="1">
        <v>3666</v>
      </c>
      <c r="L18" s="1">
        <v>3553</v>
      </c>
      <c r="M18" s="1">
        <v>3187</v>
      </c>
      <c r="N18" s="1">
        <v>3257</v>
      </c>
      <c r="O18" s="1">
        <v>3207</v>
      </c>
      <c r="P18" s="1"/>
    </row>
    <row r="19" spans="1:31" x14ac:dyDescent="0.3">
      <c r="A19">
        <v>2021</v>
      </c>
      <c r="J19" s="1">
        <v>3996</v>
      </c>
      <c r="K19" s="1">
        <v>3752</v>
      </c>
      <c r="L19" s="1">
        <v>3634</v>
      </c>
      <c r="M19" s="1">
        <v>3235</v>
      </c>
      <c r="N19" s="1">
        <v>3291</v>
      </c>
      <c r="O19" s="1">
        <v>3241</v>
      </c>
      <c r="P19" s="1"/>
    </row>
    <row r="20" spans="1:31" x14ac:dyDescent="0.3">
      <c r="A20">
        <v>2022</v>
      </c>
      <c r="K20" s="1">
        <v>3841</v>
      </c>
      <c r="L20" s="1">
        <v>3720</v>
      </c>
      <c r="M20" s="1">
        <v>3281</v>
      </c>
      <c r="N20" s="1">
        <v>3336</v>
      </c>
      <c r="O20" s="1">
        <v>3290</v>
      </c>
      <c r="P20" s="1"/>
    </row>
    <row r="21" spans="1:31" x14ac:dyDescent="0.3">
      <c r="A21">
        <v>2023</v>
      </c>
      <c r="L21" s="1">
        <v>3806</v>
      </c>
      <c r="M21" s="1">
        <v>3325</v>
      </c>
      <c r="N21" s="1">
        <v>3377</v>
      </c>
      <c r="O21" s="1">
        <v>3341</v>
      </c>
      <c r="P21" s="1"/>
    </row>
    <row r="22" spans="1:31" x14ac:dyDescent="0.3">
      <c r="A22">
        <v>2024</v>
      </c>
      <c r="M22" s="1">
        <v>3367</v>
      </c>
      <c r="N22" s="1">
        <v>3419</v>
      </c>
      <c r="O22" s="1">
        <v>3391</v>
      </c>
      <c r="P22" s="1"/>
    </row>
    <row r="23" spans="1:31" x14ac:dyDescent="0.3">
      <c r="A23">
        <v>2025</v>
      </c>
      <c r="N23" s="1">
        <v>3457</v>
      </c>
      <c r="O23" s="1">
        <v>3441</v>
      </c>
      <c r="P23" s="1"/>
    </row>
    <row r="24" spans="1:31" x14ac:dyDescent="0.3">
      <c r="A24">
        <v>2026</v>
      </c>
      <c r="O24" s="1">
        <v>3487</v>
      </c>
      <c r="P24" s="1"/>
    </row>
    <row r="25" spans="1:31" x14ac:dyDescent="0.3">
      <c r="A25">
        <v>2027</v>
      </c>
    </row>
    <row r="26" spans="1:31" x14ac:dyDescent="0.3">
      <c r="A26">
        <v>2028</v>
      </c>
    </row>
    <row r="27" spans="1:31" x14ac:dyDescent="0.3">
      <c r="U27" t="s">
        <v>53</v>
      </c>
    </row>
    <row r="28" spans="1:31" x14ac:dyDescent="0.3">
      <c r="B28" t="s">
        <v>49</v>
      </c>
      <c r="U28" t="s">
        <v>11</v>
      </c>
      <c r="W28" s="1">
        <f>AVERAGE(W8:W14)</f>
        <v>681.14285714285711</v>
      </c>
      <c r="X28" s="1">
        <f>AVERAGE(X7:X14)</f>
        <v>515.375</v>
      </c>
      <c r="Y28" s="1">
        <f>AVERAGE(Y6:Y14)</f>
        <v>367.44444444444446</v>
      </c>
      <c r="AA28" s="4">
        <f>AVERAGE(AA8:AA14)</f>
        <v>0.20296365407056685</v>
      </c>
      <c r="AB28" s="4">
        <f>AVERAGE(AB7:AB14)</f>
        <v>0.15227321827114132</v>
      </c>
      <c r="AC28" s="4">
        <f>AVERAGE(AC6:AC14)</f>
        <v>0.107284167068723</v>
      </c>
      <c r="AE28" s="4">
        <f>AVERAGE(AE3:AE14)</f>
        <v>0.52689839164640195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A28" sqref="AA28:AC28"/>
    </sheetView>
  </sheetViews>
  <sheetFormatPr defaultRowHeight="14.4" x14ac:dyDescent="0.3"/>
  <cols>
    <col min="17" max="19" width="10.5546875" bestFit="1" customWidth="1"/>
    <col min="23" max="25" width="10.77734375" bestFit="1" customWidth="1"/>
  </cols>
  <sheetData>
    <row r="1" spans="1:31" x14ac:dyDescent="0.3">
      <c r="B1" t="s">
        <v>0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Q1" t="s">
        <v>23</v>
      </c>
      <c r="R1" t="s">
        <v>24</v>
      </c>
      <c r="S1" t="s">
        <v>25</v>
      </c>
      <c r="U1" t="s">
        <v>3</v>
      </c>
      <c r="W1" t="s">
        <v>5</v>
      </c>
      <c r="X1" t="s">
        <v>6</v>
      </c>
      <c r="Y1" t="s">
        <v>7</v>
      </c>
      <c r="AA1" t="s">
        <v>8</v>
      </c>
      <c r="AB1" t="s">
        <v>9</v>
      </c>
      <c r="AC1" t="s">
        <v>10</v>
      </c>
      <c r="AE1" t="s">
        <v>4</v>
      </c>
    </row>
    <row r="2" spans="1:31" x14ac:dyDescent="0.3">
      <c r="A2" t="s">
        <v>1</v>
      </c>
    </row>
    <row r="3" spans="1:31" x14ac:dyDescent="0.3">
      <c r="A3">
        <v>2005</v>
      </c>
      <c r="C3" s="1">
        <v>4304</v>
      </c>
      <c r="U3" s="1">
        <v>4225</v>
      </c>
      <c r="AE3" s="2">
        <f>(GWh!U3*1000)/('Winter Peak'!U3*8760)</f>
        <v>0.453000459322904</v>
      </c>
    </row>
    <row r="4" spans="1:31" x14ac:dyDescent="0.3">
      <c r="A4">
        <v>2006</v>
      </c>
      <c r="C4" s="1">
        <v>4483</v>
      </c>
      <c r="D4" s="1">
        <v>4603</v>
      </c>
      <c r="U4" s="1">
        <v>4026</v>
      </c>
      <c r="AE4" s="2">
        <f>(GWh!U4*1000)/('Winter Peak'!U4*8760)</f>
        <v>0.49209249467502331</v>
      </c>
    </row>
    <row r="5" spans="1:31" x14ac:dyDescent="0.3">
      <c r="A5">
        <v>2007</v>
      </c>
      <c r="C5" s="1">
        <v>4569</v>
      </c>
      <c r="D5" s="1">
        <v>4802</v>
      </c>
      <c r="E5" s="1">
        <v>4796</v>
      </c>
      <c r="U5" s="1">
        <v>4221</v>
      </c>
      <c r="AE5" s="2">
        <f>(GWh!U5*1000)/('Winter Peak'!U5*8760)</f>
        <v>0.47785101455107587</v>
      </c>
    </row>
    <row r="6" spans="1:31" x14ac:dyDescent="0.3">
      <c r="A6">
        <v>2008</v>
      </c>
      <c r="C6" s="1">
        <v>4863</v>
      </c>
      <c r="D6" s="1">
        <v>5004</v>
      </c>
      <c r="E6" s="1">
        <v>4997</v>
      </c>
      <c r="F6" s="1">
        <v>4718</v>
      </c>
      <c r="S6" s="1">
        <f>C6</f>
        <v>4863</v>
      </c>
      <c r="U6" s="1">
        <v>4738</v>
      </c>
      <c r="Y6" s="1">
        <f>C6-U6</f>
        <v>125</v>
      </c>
      <c r="AC6" s="2">
        <f>Y6/U6</f>
        <v>2.6382439848037148E-2</v>
      </c>
      <c r="AE6" s="2">
        <f>(GWh!U6*1000)/('Winter Peak'!U6*8784)</f>
        <v>0.41644849494187597</v>
      </c>
    </row>
    <row r="7" spans="1:31" x14ac:dyDescent="0.3">
      <c r="A7">
        <v>2009</v>
      </c>
      <c r="C7" s="1">
        <v>5068</v>
      </c>
      <c r="D7" s="1">
        <v>5213</v>
      </c>
      <c r="E7" s="1">
        <v>5206</v>
      </c>
      <c r="F7" s="1">
        <v>4659</v>
      </c>
      <c r="G7">
        <v>4397</v>
      </c>
      <c r="R7" s="1">
        <f>C7</f>
        <v>5068</v>
      </c>
      <c r="S7" s="1">
        <f>D7</f>
        <v>5213</v>
      </c>
      <c r="U7" s="1">
        <v>5047</v>
      </c>
      <c r="X7" s="1">
        <f>C7-U7</f>
        <v>21</v>
      </c>
      <c r="Y7" s="1">
        <f>D7-U7</f>
        <v>166</v>
      </c>
      <c r="AB7" s="2">
        <f>X7/U7</f>
        <v>4.160887656033287E-3</v>
      </c>
      <c r="AC7" s="2">
        <f t="shared" ref="AC7:AC14" si="0">Y7/U7</f>
        <v>3.2890826233405987E-2</v>
      </c>
      <c r="AE7" s="2">
        <f>(GWh!U7*1000)/('Winter Peak'!U7*8760)</f>
        <v>0.39475957958658925</v>
      </c>
    </row>
    <row r="8" spans="1:31" x14ac:dyDescent="0.3">
      <c r="A8">
        <v>2010</v>
      </c>
      <c r="C8" s="1">
        <v>5285</v>
      </c>
      <c r="D8" s="1">
        <v>5414</v>
      </c>
      <c r="E8" s="1">
        <v>5407</v>
      </c>
      <c r="F8" s="1">
        <v>4867</v>
      </c>
      <c r="G8">
        <v>4507</v>
      </c>
      <c r="H8" s="1">
        <v>4459</v>
      </c>
      <c r="Q8" s="1">
        <f>C8</f>
        <v>5285</v>
      </c>
      <c r="R8" s="1">
        <f>D8</f>
        <v>5414</v>
      </c>
      <c r="S8" s="1">
        <f>E8</f>
        <v>5407</v>
      </c>
      <c r="U8" s="1">
        <v>4315</v>
      </c>
      <c r="W8" s="1">
        <f>C8-U8</f>
        <v>970</v>
      </c>
      <c r="X8" s="1">
        <f>D8-U8</f>
        <v>1099</v>
      </c>
      <c r="Y8" s="1">
        <f>E8-U8</f>
        <v>1092</v>
      </c>
      <c r="AA8" s="2">
        <f>W8/U8</f>
        <v>0.22479721900347624</v>
      </c>
      <c r="AB8" s="2">
        <f t="shared" ref="AB8:AB14" si="1">X8/U8</f>
        <v>0.25469293163383544</v>
      </c>
      <c r="AC8" s="2">
        <f t="shared" si="0"/>
        <v>0.25307068366164542</v>
      </c>
      <c r="AE8" s="2">
        <f>(GWh!U8*1000)/('Winter Peak'!U8*8760)</f>
        <v>0.45889617295512625</v>
      </c>
    </row>
    <row r="9" spans="1:31" x14ac:dyDescent="0.3">
      <c r="A9">
        <v>2011</v>
      </c>
      <c r="C9" s="1">
        <v>5506</v>
      </c>
      <c r="D9" s="1">
        <v>5617</v>
      </c>
      <c r="E9" s="1">
        <v>5610</v>
      </c>
      <c r="F9" s="1">
        <v>5079</v>
      </c>
      <c r="G9">
        <v>4649</v>
      </c>
      <c r="H9" s="1">
        <v>4606</v>
      </c>
      <c r="I9" s="1">
        <v>4589</v>
      </c>
      <c r="Q9" s="1">
        <f>D9</f>
        <v>5617</v>
      </c>
      <c r="R9" s="1">
        <f>E9</f>
        <v>5610</v>
      </c>
      <c r="S9" s="1">
        <f>F9</f>
        <v>5079</v>
      </c>
      <c r="U9" s="1">
        <v>3918</v>
      </c>
      <c r="W9" s="1">
        <f>D9-U9</f>
        <v>1699</v>
      </c>
      <c r="X9" s="1">
        <f>E9-U9</f>
        <v>1692</v>
      </c>
      <c r="Y9" s="1">
        <f>F9-U9</f>
        <v>1161</v>
      </c>
      <c r="AA9" s="2">
        <f t="shared" ref="AA9:AA14" si="2">W9/U9</f>
        <v>0.43363961204696272</v>
      </c>
      <c r="AB9" s="2">
        <f t="shared" si="1"/>
        <v>0.43185298621745788</v>
      </c>
      <c r="AC9" s="2">
        <f t="shared" si="0"/>
        <v>0.29632465543644715</v>
      </c>
      <c r="AE9" s="2">
        <f>(GWh!U9*1000)/('Winter Peak'!U9*8760)</f>
        <v>0.46725568212278651</v>
      </c>
    </row>
    <row r="10" spans="1:31" x14ac:dyDescent="0.3">
      <c r="A10">
        <v>2012</v>
      </c>
      <c r="C10" s="1">
        <v>5728</v>
      </c>
      <c r="D10" s="1">
        <v>5828</v>
      </c>
      <c r="E10" s="1">
        <v>5820</v>
      </c>
      <c r="F10" s="1">
        <v>5293</v>
      </c>
      <c r="G10">
        <v>4803</v>
      </c>
      <c r="H10" s="1">
        <v>4756</v>
      </c>
      <c r="I10" s="1">
        <v>4754</v>
      </c>
      <c r="J10" s="1">
        <v>4584</v>
      </c>
      <c r="Q10" s="1">
        <f>E10</f>
        <v>5820</v>
      </c>
      <c r="R10" s="1">
        <f>F10</f>
        <v>5293</v>
      </c>
      <c r="S10" s="1">
        <f>G10</f>
        <v>4803</v>
      </c>
      <c r="U10" s="1">
        <v>3707</v>
      </c>
      <c r="W10" s="1">
        <f>E10-U10</f>
        <v>2113</v>
      </c>
      <c r="X10" s="1">
        <f>F10-U10</f>
        <v>1586</v>
      </c>
      <c r="Y10" s="1">
        <f>G10-U10</f>
        <v>1096</v>
      </c>
      <c r="AA10" s="2">
        <f t="shared" si="2"/>
        <v>0.5700026975991368</v>
      </c>
      <c r="AB10" s="2">
        <f t="shared" si="1"/>
        <v>0.42783922309144862</v>
      </c>
      <c r="AC10" s="2">
        <f t="shared" si="0"/>
        <v>0.29565686538980307</v>
      </c>
      <c r="AE10" s="2">
        <f>(GWh!U10*1000)/('Winter Peak'!U10*8784)</f>
        <v>0.48427186689092611</v>
      </c>
    </row>
    <row r="11" spans="1:31" x14ac:dyDescent="0.3">
      <c r="A11">
        <v>2013</v>
      </c>
      <c r="C11" s="1">
        <v>5958</v>
      </c>
      <c r="D11" s="1">
        <v>6045</v>
      </c>
      <c r="E11" s="1">
        <v>6037</v>
      </c>
      <c r="F11" s="1">
        <v>4584</v>
      </c>
      <c r="G11">
        <v>4309</v>
      </c>
      <c r="H11" s="1">
        <v>4232</v>
      </c>
      <c r="I11" s="1">
        <v>4191</v>
      </c>
      <c r="J11" s="1">
        <v>3933</v>
      </c>
      <c r="K11" s="1">
        <v>3835</v>
      </c>
      <c r="Q11" s="1">
        <f>F11</f>
        <v>4584</v>
      </c>
      <c r="R11" s="1">
        <f>G11</f>
        <v>4309</v>
      </c>
      <c r="S11" s="1">
        <f>H11</f>
        <v>4232</v>
      </c>
      <c r="U11" s="1">
        <v>3240</v>
      </c>
      <c r="W11" s="1">
        <f>F11-U11</f>
        <v>1344</v>
      </c>
      <c r="X11" s="1">
        <f>G11-U11</f>
        <v>1069</v>
      </c>
      <c r="Y11" s="1">
        <f>H11-U11</f>
        <v>992</v>
      </c>
      <c r="AA11" s="2">
        <f t="shared" si="2"/>
        <v>0.4148148148148148</v>
      </c>
      <c r="AB11" s="2">
        <f t="shared" si="1"/>
        <v>0.32993827160493827</v>
      </c>
      <c r="AC11" s="2">
        <f t="shared" si="0"/>
        <v>0.30617283950617286</v>
      </c>
      <c r="AE11" s="2">
        <f>(GWh!U11*1000)/('Winter Peak'!U11*8760)</f>
        <v>0.55710581205253962</v>
      </c>
    </row>
    <row r="12" spans="1:31" x14ac:dyDescent="0.3">
      <c r="A12">
        <v>2014</v>
      </c>
      <c r="C12" s="1">
        <v>6196</v>
      </c>
      <c r="D12" s="1">
        <v>6263</v>
      </c>
      <c r="E12" s="1">
        <v>6255</v>
      </c>
      <c r="F12" s="1">
        <v>4764</v>
      </c>
      <c r="G12">
        <v>4446</v>
      </c>
      <c r="H12" s="1">
        <v>4351</v>
      </c>
      <c r="I12" s="1">
        <v>4291</v>
      </c>
      <c r="J12" s="1">
        <v>4054</v>
      </c>
      <c r="K12" s="1">
        <v>3949</v>
      </c>
      <c r="L12" s="1">
        <v>3739</v>
      </c>
      <c r="Q12" s="1">
        <f>G12</f>
        <v>4446</v>
      </c>
      <c r="R12" s="1">
        <f>H12</f>
        <v>4351</v>
      </c>
      <c r="S12" s="1">
        <f>I12</f>
        <v>4291</v>
      </c>
      <c r="U12" s="1">
        <v>3593</v>
      </c>
      <c r="W12" s="1">
        <f>G12-U12</f>
        <v>853</v>
      </c>
      <c r="X12" s="1">
        <f>H12-U12</f>
        <v>758</v>
      </c>
      <c r="Y12" s="1">
        <f>I12-U12</f>
        <v>698</v>
      </c>
      <c r="AA12" s="2">
        <f t="shared" si="2"/>
        <v>0.23740606735318676</v>
      </c>
      <c r="AB12" s="2">
        <f t="shared" si="1"/>
        <v>0.21096576676871695</v>
      </c>
      <c r="AC12" s="2">
        <f t="shared" si="0"/>
        <v>0.19426662955747287</v>
      </c>
      <c r="AE12" s="2">
        <f>(GWh!U12*1000)/('Winter Peak'!U12*8760)</f>
        <v>0.44016333128724422</v>
      </c>
    </row>
    <row r="13" spans="1:31" x14ac:dyDescent="0.3">
      <c r="A13">
        <v>2015</v>
      </c>
      <c r="D13" s="1">
        <v>6481</v>
      </c>
      <c r="E13" s="1">
        <v>6473</v>
      </c>
      <c r="F13" s="1">
        <v>4945</v>
      </c>
      <c r="G13">
        <v>4588</v>
      </c>
      <c r="H13" s="1">
        <v>4481</v>
      </c>
      <c r="I13" s="1">
        <v>4406</v>
      </c>
      <c r="J13" s="1">
        <v>4192</v>
      </c>
      <c r="K13" s="1">
        <v>4022</v>
      </c>
      <c r="L13" s="1">
        <v>3866</v>
      </c>
      <c r="M13" s="1">
        <v>3446</v>
      </c>
      <c r="Q13" s="1">
        <f>H13</f>
        <v>4481</v>
      </c>
      <c r="R13" s="1">
        <f>I13</f>
        <v>4406</v>
      </c>
      <c r="S13" s="1">
        <f>J13</f>
        <v>4192</v>
      </c>
      <c r="U13" s="1">
        <v>3307</v>
      </c>
      <c r="W13" s="1">
        <f>H13-U13</f>
        <v>1174</v>
      </c>
      <c r="X13" s="1">
        <f>I13-U13</f>
        <v>1099</v>
      </c>
      <c r="Y13" s="1">
        <f>J13-U13</f>
        <v>885</v>
      </c>
      <c r="AA13" s="2">
        <f t="shared" si="2"/>
        <v>0.35500453583308134</v>
      </c>
      <c r="AB13" s="2">
        <f t="shared" si="1"/>
        <v>0.33232537042636828</v>
      </c>
      <c r="AC13" s="2">
        <f t="shared" si="0"/>
        <v>0.26761415179921377</v>
      </c>
      <c r="AE13" s="2">
        <f>(GWh!U13*1000)/('Winter Peak'!U13*8760)</f>
        <v>0.48685989177516076</v>
      </c>
    </row>
    <row r="14" spans="1:31" x14ac:dyDescent="0.3">
      <c r="A14">
        <v>2016</v>
      </c>
      <c r="E14" s="1">
        <v>6691</v>
      </c>
      <c r="F14" s="1">
        <v>5124</v>
      </c>
      <c r="G14">
        <v>4735</v>
      </c>
      <c r="H14" s="1">
        <v>4620</v>
      </c>
      <c r="I14" s="1">
        <v>4529</v>
      </c>
      <c r="J14" s="1">
        <v>4326</v>
      </c>
      <c r="K14" s="1">
        <v>4146</v>
      </c>
      <c r="L14" s="1">
        <v>3978</v>
      </c>
      <c r="M14" s="1">
        <v>3516</v>
      </c>
      <c r="N14" s="1">
        <v>3481</v>
      </c>
      <c r="Q14" s="1">
        <f>I14</f>
        <v>4529</v>
      </c>
      <c r="R14" s="1">
        <f>J14</f>
        <v>4326</v>
      </c>
      <c r="S14" s="1">
        <f>K14</f>
        <v>4146</v>
      </c>
      <c r="U14" s="1">
        <v>3018</v>
      </c>
      <c r="W14" s="1">
        <f>I14-U14</f>
        <v>1511</v>
      </c>
      <c r="X14" s="1">
        <f>J14-U14</f>
        <v>1308</v>
      </c>
      <c r="Y14" s="1">
        <f>K14-U14</f>
        <v>1128</v>
      </c>
      <c r="AA14" s="2">
        <f t="shared" si="2"/>
        <v>0.50066269052352552</v>
      </c>
      <c r="AB14" s="2">
        <f t="shared" si="1"/>
        <v>0.43339960238568587</v>
      </c>
      <c r="AC14" s="2">
        <f t="shared" si="0"/>
        <v>0.37375745526838966</v>
      </c>
      <c r="AE14" s="2">
        <f>(GWh!U14*1000)/('Winter Peak'!U14*8784)</f>
        <v>0.5458671770228658</v>
      </c>
    </row>
    <row r="15" spans="1:31" x14ac:dyDescent="0.3">
      <c r="A15">
        <v>2017</v>
      </c>
      <c r="F15" s="1">
        <v>5304</v>
      </c>
      <c r="G15">
        <v>4882</v>
      </c>
      <c r="H15" s="1">
        <v>4761</v>
      </c>
      <c r="I15" s="1">
        <v>4653</v>
      </c>
      <c r="J15" s="1">
        <v>4455</v>
      </c>
      <c r="K15" s="1">
        <v>4260</v>
      </c>
      <c r="L15" s="1">
        <v>4091</v>
      </c>
      <c r="M15" s="1">
        <v>3588</v>
      </c>
      <c r="N15" s="1">
        <v>3539</v>
      </c>
      <c r="O15" s="1">
        <v>3523</v>
      </c>
      <c r="P15" s="1"/>
      <c r="Q15" s="1"/>
      <c r="R15" s="1"/>
      <c r="S15" s="1"/>
    </row>
    <row r="16" spans="1:31" x14ac:dyDescent="0.3">
      <c r="A16">
        <v>2018</v>
      </c>
      <c r="G16">
        <v>5028</v>
      </c>
      <c r="H16" s="1">
        <v>4905</v>
      </c>
      <c r="I16" s="1">
        <v>4782</v>
      </c>
      <c r="J16" s="1">
        <v>4587</v>
      </c>
      <c r="K16" s="1">
        <v>4377</v>
      </c>
      <c r="L16" s="1">
        <v>4206</v>
      </c>
      <c r="M16" s="1">
        <v>3651</v>
      </c>
      <c r="N16" s="1">
        <v>3596</v>
      </c>
      <c r="O16" s="1">
        <v>3593</v>
      </c>
      <c r="P16" s="1"/>
      <c r="Q16" s="1"/>
      <c r="R16" s="1"/>
      <c r="S16" s="1"/>
    </row>
    <row r="17" spans="1:31" x14ac:dyDescent="0.3">
      <c r="A17">
        <v>2019</v>
      </c>
      <c r="H17" s="1">
        <v>5047</v>
      </c>
      <c r="I17" s="1">
        <v>4913</v>
      </c>
      <c r="J17" s="1">
        <v>4726</v>
      </c>
      <c r="K17" s="1">
        <v>4494</v>
      </c>
      <c r="L17" s="1">
        <v>4322</v>
      </c>
      <c r="M17" s="1">
        <v>3714</v>
      </c>
      <c r="N17" s="1">
        <v>3649</v>
      </c>
      <c r="O17" s="1">
        <v>3646</v>
      </c>
      <c r="P17" s="1"/>
      <c r="Q17" s="1"/>
      <c r="R17" s="1"/>
      <c r="S17" s="1"/>
    </row>
    <row r="18" spans="1:31" x14ac:dyDescent="0.3">
      <c r="A18">
        <v>2020</v>
      </c>
      <c r="I18" s="1">
        <v>5038</v>
      </c>
      <c r="J18" s="1">
        <v>4864</v>
      </c>
      <c r="K18" s="1">
        <v>4608</v>
      </c>
      <c r="L18" s="1">
        <v>4431</v>
      </c>
      <c r="M18" s="1">
        <v>3774</v>
      </c>
      <c r="N18" s="1">
        <v>3698</v>
      </c>
      <c r="O18" s="1">
        <v>3701</v>
      </c>
      <c r="P18" s="1"/>
      <c r="Q18" s="1"/>
      <c r="R18" s="1"/>
      <c r="S18" s="1"/>
    </row>
    <row r="19" spans="1:31" x14ac:dyDescent="0.3">
      <c r="A19">
        <v>2021</v>
      </c>
      <c r="J19" s="1">
        <v>5006</v>
      </c>
      <c r="K19" s="1">
        <v>4723</v>
      </c>
      <c r="L19" s="1">
        <v>4540</v>
      </c>
      <c r="M19" s="1">
        <v>3831</v>
      </c>
      <c r="N19" s="1">
        <v>3744</v>
      </c>
      <c r="O19" s="1">
        <v>3750</v>
      </c>
      <c r="P19" s="1"/>
      <c r="Q19" s="1"/>
      <c r="R19" s="1"/>
      <c r="S19" s="1"/>
    </row>
    <row r="20" spans="1:31" x14ac:dyDescent="0.3">
      <c r="A20">
        <v>2022</v>
      </c>
      <c r="K20" s="1">
        <v>4841</v>
      </c>
      <c r="L20" s="1">
        <v>4651</v>
      </c>
      <c r="M20" s="1">
        <v>3887</v>
      </c>
      <c r="N20" s="1">
        <v>3787</v>
      </c>
      <c r="O20" s="1">
        <v>3803</v>
      </c>
      <c r="P20" s="1"/>
      <c r="Q20" s="1"/>
      <c r="R20" s="1"/>
      <c r="S20" s="1"/>
    </row>
    <row r="21" spans="1:31" x14ac:dyDescent="0.3">
      <c r="A21">
        <v>2023</v>
      </c>
      <c r="L21" s="1">
        <v>4766</v>
      </c>
      <c r="M21" s="1">
        <v>3940</v>
      </c>
      <c r="N21" s="1">
        <v>3827</v>
      </c>
      <c r="O21" s="1">
        <v>3857</v>
      </c>
      <c r="P21" s="1"/>
      <c r="Q21" s="1"/>
      <c r="R21" s="1"/>
      <c r="S21" s="1"/>
    </row>
    <row r="22" spans="1:31" x14ac:dyDescent="0.3">
      <c r="A22">
        <v>2024</v>
      </c>
      <c r="M22" s="1">
        <v>3992</v>
      </c>
      <c r="N22" s="1">
        <v>3866</v>
      </c>
      <c r="O22" s="1">
        <v>3911</v>
      </c>
      <c r="P22" s="1"/>
      <c r="Q22" s="1"/>
      <c r="R22" s="1"/>
      <c r="S22" s="1"/>
    </row>
    <row r="23" spans="1:31" x14ac:dyDescent="0.3">
      <c r="A23">
        <v>2025</v>
      </c>
      <c r="N23" s="1">
        <v>3904</v>
      </c>
      <c r="O23" s="1">
        <v>3962</v>
      </c>
      <c r="P23" s="1"/>
      <c r="Q23" s="1"/>
      <c r="R23" s="1"/>
      <c r="S23" s="1"/>
    </row>
    <row r="24" spans="1:31" x14ac:dyDescent="0.3">
      <c r="A24">
        <v>2026</v>
      </c>
      <c r="O24" s="1">
        <v>4013</v>
      </c>
      <c r="P24" s="1"/>
      <c r="Q24" s="1"/>
      <c r="R24" s="1"/>
      <c r="S24" s="1"/>
    </row>
    <row r="25" spans="1:31" x14ac:dyDescent="0.3">
      <c r="A25">
        <v>2027</v>
      </c>
    </row>
    <row r="26" spans="1:31" x14ac:dyDescent="0.3">
      <c r="A26">
        <v>2028</v>
      </c>
    </row>
    <row r="27" spans="1:31" x14ac:dyDescent="0.3">
      <c r="U27" t="s">
        <v>53</v>
      </c>
    </row>
    <row r="28" spans="1:31" x14ac:dyDescent="0.3">
      <c r="B28" t="s">
        <v>51</v>
      </c>
      <c r="U28" t="s">
        <v>11</v>
      </c>
      <c r="W28" s="1">
        <f>AVERAGE(W8:W14)</f>
        <v>1380.5714285714287</v>
      </c>
      <c r="X28" s="1">
        <f>AVERAGE(X7:X14)</f>
        <v>1079</v>
      </c>
      <c r="Y28" s="1">
        <f>AVERAGE(Y6:Y14)</f>
        <v>815.88888888888891</v>
      </c>
      <c r="AA28" s="4">
        <f>AVERAGE(AA8:AA14)</f>
        <v>0.3909039481677406</v>
      </c>
      <c r="AB28" s="4">
        <f>AVERAGE(AB7:AB14)</f>
        <v>0.30314687997306056</v>
      </c>
      <c r="AC28" s="4">
        <f>AVERAGE(AC6:AC14)</f>
        <v>0.22734850518895419</v>
      </c>
      <c r="AE28" s="4">
        <f>AVERAGE(AE3:AE14)</f>
        <v>0.47288099809867651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defaultRowHeight="14.4" x14ac:dyDescent="0.3"/>
  <cols>
    <col min="3" max="3" width="9.88671875" bestFit="1" customWidth="1"/>
    <col min="4" max="4" width="11.5546875" bestFit="1" customWidth="1"/>
    <col min="5" max="5" width="27.88671875" bestFit="1" customWidth="1"/>
    <col min="7" max="7" width="14.88671875" bestFit="1" customWidth="1"/>
    <col min="8" max="8" width="25.109375" bestFit="1" customWidth="1"/>
  </cols>
  <sheetData>
    <row r="1" spans="1:12" x14ac:dyDescent="0.3">
      <c r="A1" t="s">
        <v>12</v>
      </c>
      <c r="C1" t="s">
        <v>13</v>
      </c>
      <c r="D1" t="s">
        <v>14</v>
      </c>
      <c r="E1" t="s">
        <v>17</v>
      </c>
      <c r="G1" t="s">
        <v>18</v>
      </c>
      <c r="H1" t="s">
        <v>21</v>
      </c>
      <c r="J1" t="s">
        <v>20</v>
      </c>
    </row>
    <row r="3" spans="1:12" x14ac:dyDescent="0.3">
      <c r="A3">
        <v>2005</v>
      </c>
      <c r="C3" s="1">
        <f>MAX('Summer Peak'!U3,'Winter Peak'!U3)</f>
        <v>4225</v>
      </c>
      <c r="D3" t="s">
        <v>15</v>
      </c>
      <c r="E3">
        <f>C3*1.15</f>
        <v>4858.75</v>
      </c>
    </row>
    <row r="4" spans="1:12" x14ac:dyDescent="0.3">
      <c r="A4">
        <v>2006</v>
      </c>
      <c r="C4" s="1">
        <f>MAX('Summer Peak'!U4,'Winter Peak'!U4)</f>
        <v>4026</v>
      </c>
      <c r="D4" t="s">
        <v>15</v>
      </c>
      <c r="E4" s="5">
        <f t="shared" ref="E4:E14" si="0">C4*1.15</f>
        <v>4629.8999999999996</v>
      </c>
    </row>
    <row r="5" spans="1:12" x14ac:dyDescent="0.3">
      <c r="A5">
        <v>2007</v>
      </c>
      <c r="C5" s="1">
        <f>MAX('Summer Peak'!U5,'Winter Peak'!U5)</f>
        <v>4221</v>
      </c>
      <c r="D5" t="s">
        <v>15</v>
      </c>
      <c r="E5" s="5">
        <f t="shared" si="0"/>
        <v>4854.1499999999996</v>
      </c>
    </row>
    <row r="6" spans="1:12" x14ac:dyDescent="0.3">
      <c r="A6">
        <v>2008</v>
      </c>
      <c r="C6" s="1">
        <f>MAX('Summer Peak'!U6,'Winter Peak'!U6)</f>
        <v>4738</v>
      </c>
      <c r="D6" t="s">
        <v>15</v>
      </c>
      <c r="E6" s="5">
        <f t="shared" si="0"/>
        <v>5448.7</v>
      </c>
    </row>
    <row r="7" spans="1:12" x14ac:dyDescent="0.3">
      <c r="A7">
        <v>2009</v>
      </c>
      <c r="C7" s="1">
        <f>MAX('Summer Peak'!U7,'Winter Peak'!U7)</f>
        <v>5047</v>
      </c>
      <c r="D7" t="s">
        <v>15</v>
      </c>
      <c r="E7" s="5">
        <f t="shared" si="0"/>
        <v>5804.0499999999993</v>
      </c>
      <c r="L7" t="s">
        <v>22</v>
      </c>
    </row>
    <row r="8" spans="1:12" x14ac:dyDescent="0.3">
      <c r="A8">
        <v>2010</v>
      </c>
      <c r="C8" s="1">
        <f>MAX('Summer Peak'!U8,'Winter Peak'!U8)</f>
        <v>4315</v>
      </c>
      <c r="D8" t="s">
        <v>15</v>
      </c>
      <c r="E8" s="5">
        <f t="shared" si="0"/>
        <v>4962.25</v>
      </c>
      <c r="G8" s="1">
        <f>'Winter Peak'!C8</f>
        <v>5285</v>
      </c>
      <c r="H8">
        <f>G8*1.15</f>
        <v>6077.7499999999991</v>
      </c>
      <c r="J8" s="6">
        <f>H8-E8</f>
        <v>1115.4999999999991</v>
      </c>
      <c r="L8" s="7">
        <f>H8/C8 -1</f>
        <v>0.40851680185399752</v>
      </c>
    </row>
    <row r="9" spans="1:12" x14ac:dyDescent="0.3">
      <c r="A9">
        <v>2011</v>
      </c>
      <c r="C9" s="1">
        <f>MAX('Summer Peak'!U9,'Winter Peak'!U9)</f>
        <v>3918</v>
      </c>
      <c r="D9" t="s">
        <v>15</v>
      </c>
      <c r="E9" s="5">
        <f t="shared" si="0"/>
        <v>4505.7</v>
      </c>
      <c r="G9" s="1">
        <f>'Winter Peak'!D9</f>
        <v>5617</v>
      </c>
      <c r="H9">
        <f t="shared" ref="H9:H24" si="1">G9*1.15</f>
        <v>6459.5499999999993</v>
      </c>
      <c r="J9" s="6">
        <f t="shared" ref="J9:J14" si="2">H9-E9</f>
        <v>1953.8499999999995</v>
      </c>
      <c r="L9" s="7">
        <f t="shared" ref="L9:L14" si="3">H9/C9 -1</f>
        <v>0.64868555385400706</v>
      </c>
    </row>
    <row r="10" spans="1:12" x14ac:dyDescent="0.3">
      <c r="A10">
        <v>2012</v>
      </c>
      <c r="C10" s="1">
        <f>MAX('Summer Peak'!U10,'Winter Peak'!U10)</f>
        <v>3707</v>
      </c>
      <c r="D10" t="s">
        <v>15</v>
      </c>
      <c r="E10" s="5">
        <f t="shared" si="0"/>
        <v>4263.0499999999993</v>
      </c>
      <c r="G10" s="1">
        <f>'Winter Peak'!E10</f>
        <v>5820</v>
      </c>
      <c r="H10">
        <f t="shared" si="1"/>
        <v>6692.9999999999991</v>
      </c>
      <c r="J10" s="6">
        <f t="shared" si="2"/>
        <v>2429.9499999999998</v>
      </c>
      <c r="L10" s="7">
        <f t="shared" si="3"/>
        <v>0.80550310223900712</v>
      </c>
    </row>
    <row r="11" spans="1:12" x14ac:dyDescent="0.3">
      <c r="A11">
        <v>2013</v>
      </c>
      <c r="C11" s="1">
        <f>MAX('Summer Peak'!U11,'Winter Peak'!U11)</f>
        <v>3566</v>
      </c>
      <c r="D11" t="s">
        <v>16</v>
      </c>
      <c r="E11" s="5">
        <f t="shared" si="0"/>
        <v>4100.8999999999996</v>
      </c>
      <c r="G11" s="1">
        <f>'Winter Peak'!F11</f>
        <v>4584</v>
      </c>
      <c r="H11">
        <f t="shared" si="1"/>
        <v>5271.5999999999995</v>
      </c>
      <c r="J11" s="6">
        <f t="shared" si="2"/>
        <v>1170.6999999999998</v>
      </c>
      <c r="L11" s="7">
        <f t="shared" si="3"/>
        <v>0.47829500841278727</v>
      </c>
    </row>
    <row r="12" spans="1:12" x14ac:dyDescent="0.3">
      <c r="A12">
        <v>2014</v>
      </c>
      <c r="C12" s="1">
        <f>MAX('Summer Peak'!U12,'Winter Peak'!U12)</f>
        <v>3593</v>
      </c>
      <c r="D12" t="s">
        <v>15</v>
      </c>
      <c r="E12" s="5">
        <f t="shared" si="0"/>
        <v>4131.95</v>
      </c>
      <c r="G12">
        <f>'Winter Peak'!G12</f>
        <v>4446</v>
      </c>
      <c r="H12">
        <f t="shared" si="1"/>
        <v>5112.8999999999996</v>
      </c>
      <c r="J12" s="6">
        <f t="shared" si="2"/>
        <v>980.94999999999982</v>
      </c>
      <c r="L12" s="7">
        <f t="shared" si="3"/>
        <v>0.42301697745616473</v>
      </c>
    </row>
    <row r="13" spans="1:12" x14ac:dyDescent="0.3">
      <c r="A13">
        <v>2015</v>
      </c>
      <c r="C13" s="1">
        <f>MAX('Summer Peak'!U13,'Winter Peak'!U13)</f>
        <v>3307</v>
      </c>
      <c r="D13" t="s">
        <v>15</v>
      </c>
      <c r="E13" s="5">
        <f t="shared" si="0"/>
        <v>3803.0499999999997</v>
      </c>
      <c r="G13" s="1">
        <f>'Winter Peak'!H13</f>
        <v>4481</v>
      </c>
      <c r="H13">
        <f t="shared" si="1"/>
        <v>5153.1499999999996</v>
      </c>
      <c r="J13" s="6">
        <f t="shared" si="2"/>
        <v>1350.1</v>
      </c>
      <c r="L13" s="7">
        <f t="shared" si="3"/>
        <v>0.55825521620804341</v>
      </c>
    </row>
    <row r="14" spans="1:12" x14ac:dyDescent="0.3">
      <c r="A14">
        <v>2016</v>
      </c>
      <c r="C14" s="1">
        <f>MAX('Summer Peak'!U14,'Winter Peak'!U14)</f>
        <v>3243</v>
      </c>
      <c r="D14" t="s">
        <v>16</v>
      </c>
      <c r="E14" s="5">
        <f t="shared" si="0"/>
        <v>3729.45</v>
      </c>
      <c r="G14" s="1">
        <f>'Winter Peak'!I14</f>
        <v>4529</v>
      </c>
      <c r="H14">
        <f t="shared" si="1"/>
        <v>5208.3499999999995</v>
      </c>
      <c r="J14" s="6">
        <f t="shared" si="2"/>
        <v>1478.8999999999996</v>
      </c>
      <c r="L14" s="7">
        <f t="shared" si="3"/>
        <v>0.60602836879432598</v>
      </c>
    </row>
    <row r="15" spans="1:12" x14ac:dyDescent="0.3">
      <c r="A15">
        <v>2017</v>
      </c>
      <c r="G15" s="1">
        <f>'Winter Peak'!J15</f>
        <v>4455</v>
      </c>
      <c r="H15">
        <f t="shared" si="1"/>
        <v>5123.25</v>
      </c>
    </row>
    <row r="16" spans="1:12" x14ac:dyDescent="0.3">
      <c r="A16">
        <v>2018</v>
      </c>
      <c r="G16" s="1">
        <f>'Winter Peak'!K16</f>
        <v>4377</v>
      </c>
      <c r="H16">
        <f t="shared" si="1"/>
        <v>5033.5499999999993</v>
      </c>
    </row>
    <row r="17" spans="1:10" x14ac:dyDescent="0.3">
      <c r="A17">
        <v>2019</v>
      </c>
      <c r="G17" s="1">
        <f>'Winter Peak'!L17</f>
        <v>4322</v>
      </c>
      <c r="H17">
        <f t="shared" si="1"/>
        <v>4970.2999999999993</v>
      </c>
    </row>
    <row r="18" spans="1:10" x14ac:dyDescent="0.3">
      <c r="A18">
        <v>2020</v>
      </c>
      <c r="G18" s="1">
        <f>'Winter Peak'!M18</f>
        <v>3774</v>
      </c>
      <c r="H18">
        <f t="shared" si="1"/>
        <v>4340.0999999999995</v>
      </c>
    </row>
    <row r="19" spans="1:10" x14ac:dyDescent="0.3">
      <c r="A19">
        <v>2021</v>
      </c>
      <c r="G19" s="1">
        <f>'Winter Peak'!N19</f>
        <v>3744</v>
      </c>
      <c r="H19">
        <f t="shared" si="1"/>
        <v>4305.5999999999995</v>
      </c>
    </row>
    <row r="20" spans="1:10" x14ac:dyDescent="0.3">
      <c r="A20">
        <v>2022</v>
      </c>
      <c r="G20" s="1">
        <f>'Winter Peak'!O20</f>
        <v>3803</v>
      </c>
      <c r="H20">
        <f t="shared" si="1"/>
        <v>4373.45</v>
      </c>
    </row>
    <row r="21" spans="1:10" x14ac:dyDescent="0.3">
      <c r="A21">
        <v>2023</v>
      </c>
      <c r="G21" s="1">
        <v>3857</v>
      </c>
      <c r="H21">
        <f t="shared" si="1"/>
        <v>4435.5499999999993</v>
      </c>
    </row>
    <row r="22" spans="1:10" x14ac:dyDescent="0.3">
      <c r="A22">
        <v>2024</v>
      </c>
      <c r="G22" s="1">
        <v>3911</v>
      </c>
      <c r="H22">
        <f t="shared" si="1"/>
        <v>4497.6499999999996</v>
      </c>
    </row>
    <row r="23" spans="1:10" x14ac:dyDescent="0.3">
      <c r="A23">
        <v>2025</v>
      </c>
      <c r="G23" s="1">
        <v>3962</v>
      </c>
      <c r="H23">
        <f t="shared" si="1"/>
        <v>4556.2999999999993</v>
      </c>
    </row>
    <row r="24" spans="1:10" x14ac:dyDescent="0.3">
      <c r="A24">
        <v>2026</v>
      </c>
      <c r="G24" s="1">
        <v>4013</v>
      </c>
      <c r="H24">
        <f t="shared" si="1"/>
        <v>4614.95</v>
      </c>
    </row>
    <row r="26" spans="1:10" x14ac:dyDescent="0.3">
      <c r="A26" t="s">
        <v>11</v>
      </c>
      <c r="J26" s="6">
        <f>AVERAGE(J8:J14)</f>
        <v>1497.1357142857139</v>
      </c>
    </row>
    <row r="28" spans="1:10" x14ac:dyDescent="0.3">
      <c r="G28" t="s">
        <v>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1" topLeftCell="A2" activePane="bottomLeft" state="frozen"/>
      <selection pane="bottomLeft" activeCell="A14" sqref="A14"/>
    </sheetView>
  </sheetViews>
  <sheetFormatPr defaultRowHeight="14.4" x14ac:dyDescent="0.3"/>
  <cols>
    <col min="1" max="1" width="38.88671875" bestFit="1" customWidth="1"/>
  </cols>
  <sheetData>
    <row r="1" spans="1:11" x14ac:dyDescent="0.3">
      <c r="A1" t="s">
        <v>12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3">
      <c r="A2" t="s">
        <v>40</v>
      </c>
      <c r="B2">
        <v>3</v>
      </c>
      <c r="C2">
        <f>$B$2*(1.02^(C1-1))</f>
        <v>3.06</v>
      </c>
      <c r="D2">
        <f t="shared" ref="D2:K2" si="0">$B$2*(1.02^(D1-1))</f>
        <v>3.1212</v>
      </c>
      <c r="E2">
        <f t="shared" si="0"/>
        <v>3.183624</v>
      </c>
      <c r="F2">
        <f t="shared" si="0"/>
        <v>3.2472964800000002</v>
      </c>
      <c r="G2">
        <f t="shared" si="0"/>
        <v>3.3122424096</v>
      </c>
      <c r="H2">
        <f t="shared" si="0"/>
        <v>3.378487257792</v>
      </c>
      <c r="I2">
        <f t="shared" si="0"/>
        <v>3.4460570029478395</v>
      </c>
      <c r="J2">
        <f t="shared" si="0"/>
        <v>3.5149781430067968</v>
      </c>
      <c r="K2">
        <f t="shared" si="0"/>
        <v>3.5852777058669325</v>
      </c>
    </row>
    <row r="3" spans="1:11" x14ac:dyDescent="0.3">
      <c r="A3" t="s">
        <v>44</v>
      </c>
      <c r="B3">
        <f>45000*12</f>
        <v>540000</v>
      </c>
      <c r="C3">
        <f>$B$3*(1.02^(C2-1))</f>
        <v>562483.92269156897</v>
      </c>
      <c r="D3">
        <f t="shared" ref="D3:K3" si="1">$B$3*(1.02^(D2-1))</f>
        <v>563166.02189343143</v>
      </c>
      <c r="E3">
        <f t="shared" si="1"/>
        <v>563862.61521751154</v>
      </c>
      <c r="F3">
        <f t="shared" si="1"/>
        <v>564574.02806939685</v>
      </c>
      <c r="G3">
        <f t="shared" si="1"/>
        <v>565300.59386650624</v>
      </c>
      <c r="H3">
        <f t="shared" si="1"/>
        <v>566042.65426339698</v>
      </c>
      <c r="I3">
        <f t="shared" si="1"/>
        <v>566800.55938448082</v>
      </c>
      <c r="J3">
        <f t="shared" si="1"/>
        <v>567574.66806443385</v>
      </c>
      <c r="K3">
        <f t="shared" si="1"/>
        <v>568365.34809659293</v>
      </c>
    </row>
    <row r="5" spans="1:11" x14ac:dyDescent="0.3">
      <c r="A5" t="s">
        <v>41</v>
      </c>
      <c r="B5">
        <f>6.3*B2</f>
        <v>18.899999999999999</v>
      </c>
      <c r="C5">
        <f t="shared" ref="C5:K5" si="2">6.3*C2</f>
        <v>19.277999999999999</v>
      </c>
      <c r="D5">
        <f t="shared" si="2"/>
        <v>19.66356</v>
      </c>
      <c r="E5">
        <f t="shared" si="2"/>
        <v>20.056831199999998</v>
      </c>
      <c r="F5">
        <f t="shared" si="2"/>
        <v>20.457967824000001</v>
      </c>
      <c r="G5">
        <f t="shared" si="2"/>
        <v>20.867127180480001</v>
      </c>
      <c r="H5">
        <f t="shared" si="2"/>
        <v>21.2844697240896</v>
      </c>
      <c r="I5">
        <f t="shared" si="2"/>
        <v>21.710159118571386</v>
      </c>
      <c r="J5">
        <f t="shared" si="2"/>
        <v>22.14436230094282</v>
      </c>
      <c r="K5">
        <f t="shared" si="2"/>
        <v>22.587249546961676</v>
      </c>
    </row>
    <row r="6" spans="1:11" x14ac:dyDescent="0.3">
      <c r="A6" t="s">
        <v>42</v>
      </c>
      <c r="B6">
        <f>8*B2</f>
        <v>24</v>
      </c>
      <c r="C6">
        <f t="shared" ref="C6:K6" si="3">8*C2</f>
        <v>24.48</v>
      </c>
      <c r="D6">
        <f t="shared" si="3"/>
        <v>24.9696</v>
      </c>
      <c r="E6">
        <f t="shared" si="3"/>
        <v>25.468992</v>
      </c>
      <c r="F6">
        <f t="shared" si="3"/>
        <v>25.978371840000001</v>
      </c>
      <c r="G6">
        <f t="shared" si="3"/>
        <v>26.4979392768</v>
      </c>
      <c r="H6">
        <f t="shared" si="3"/>
        <v>27.027898062336</v>
      </c>
      <c r="I6">
        <f t="shared" si="3"/>
        <v>27.568456023582716</v>
      </c>
      <c r="J6">
        <f t="shared" si="3"/>
        <v>28.119825144054374</v>
      </c>
      <c r="K6">
        <f t="shared" si="3"/>
        <v>28.68222164693546</v>
      </c>
    </row>
    <row r="7" spans="1:11" x14ac:dyDescent="0.3">
      <c r="A7" t="s">
        <v>43</v>
      </c>
      <c r="B7">
        <f>(B6-B5)*B3</f>
        <v>2754000.0000000009</v>
      </c>
    </row>
    <row r="9" spans="1:11" x14ac:dyDescent="0.3">
      <c r="A9" t="s">
        <v>46</v>
      </c>
      <c r="B9">
        <f>84000*600</f>
        <v>50400000</v>
      </c>
      <c r="C9">
        <f t="shared" ref="C9:K9" si="4">84000*600</f>
        <v>50400000</v>
      </c>
      <c r="D9">
        <f t="shared" si="4"/>
        <v>50400000</v>
      </c>
      <c r="E9">
        <f t="shared" si="4"/>
        <v>50400000</v>
      </c>
      <c r="F9">
        <f t="shared" si="4"/>
        <v>50400000</v>
      </c>
      <c r="G9">
        <f t="shared" si="4"/>
        <v>50400000</v>
      </c>
      <c r="H9">
        <f t="shared" si="4"/>
        <v>50400000</v>
      </c>
      <c r="I9">
        <f t="shared" si="4"/>
        <v>50400000</v>
      </c>
      <c r="J9">
        <f t="shared" si="4"/>
        <v>50400000</v>
      </c>
      <c r="K9">
        <f t="shared" si="4"/>
        <v>50400000</v>
      </c>
    </row>
    <row r="10" spans="1:11" x14ac:dyDescent="0.3">
      <c r="A10" t="s">
        <v>45</v>
      </c>
      <c r="B10">
        <f>72000*125</f>
        <v>9000000</v>
      </c>
      <c r="C10">
        <f t="shared" ref="C10:K10" si="5">72000*125</f>
        <v>9000000</v>
      </c>
      <c r="D10">
        <f t="shared" si="5"/>
        <v>9000000</v>
      </c>
      <c r="E10">
        <f t="shared" si="5"/>
        <v>9000000</v>
      </c>
      <c r="F10">
        <f t="shared" si="5"/>
        <v>9000000</v>
      </c>
      <c r="G10">
        <f t="shared" si="5"/>
        <v>9000000</v>
      </c>
      <c r="H10">
        <f t="shared" si="5"/>
        <v>9000000</v>
      </c>
      <c r="I10">
        <f t="shared" si="5"/>
        <v>9000000</v>
      </c>
      <c r="J10">
        <f t="shared" si="5"/>
        <v>9000000</v>
      </c>
      <c r="K10">
        <f t="shared" si="5"/>
        <v>9000000</v>
      </c>
    </row>
    <row r="12" spans="1:11" x14ac:dyDescent="0.3">
      <c r="A12" t="s">
        <v>47</v>
      </c>
      <c r="B12">
        <f>B5*B3+B9</f>
        <v>60606000</v>
      </c>
      <c r="C12">
        <f t="shared" ref="C12:K12" si="6">C5*C3+C9</f>
        <v>61243565.061648063</v>
      </c>
      <c r="D12">
        <f t="shared" si="6"/>
        <v>61473848.861462802</v>
      </c>
      <c r="E12">
        <f t="shared" si="6"/>
        <v>61709297.293408178</v>
      </c>
      <c r="F12">
        <f t="shared" si="6"/>
        <v>61950037.300509796</v>
      </c>
      <c r="G12">
        <f t="shared" si="6"/>
        <v>62196199.387413256</v>
      </c>
      <c r="H12">
        <f t="shared" si="6"/>
        <v>62447917.737212591</v>
      </c>
      <c r="I12">
        <f t="shared" si="6"/>
        <v>62705330.33273235</v>
      </c>
      <c r="J12">
        <f t="shared" si="6"/>
        <v>62968579.082456186</v>
      </c>
      <c r="K12">
        <f t="shared" si="6"/>
        <v>63237809.951303482</v>
      </c>
    </row>
    <row r="13" spans="1:11" x14ac:dyDescent="0.3">
      <c r="A13" t="s">
        <v>48</v>
      </c>
      <c r="B13">
        <f>B6*B3+B10</f>
        <v>21960000</v>
      </c>
      <c r="C13">
        <f t="shared" ref="C13:K13" si="7">C6*C3+C10</f>
        <v>22769606.427489609</v>
      </c>
      <c r="D13">
        <f t="shared" si="7"/>
        <v>23062030.300270226</v>
      </c>
      <c r="E13">
        <f t="shared" si="7"/>
        <v>23361012.436073881</v>
      </c>
      <c r="F13">
        <f t="shared" si="7"/>
        <v>23666714.032393388</v>
      </c>
      <c r="G13">
        <f t="shared" si="7"/>
        <v>23979300.80941366</v>
      </c>
      <c r="H13">
        <f t="shared" si="7"/>
        <v>24298943.158365194</v>
      </c>
      <c r="I13">
        <f t="shared" si="7"/>
        <v>24625816.295533143</v>
      </c>
      <c r="J13">
        <f t="shared" si="7"/>
        <v>24960100.422166582</v>
      </c>
      <c r="K13">
        <f t="shared" si="7"/>
        <v>25301980.890544105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6</vt:i4>
      </vt:variant>
    </vt:vector>
  </HeadingPairs>
  <TitlesOfParts>
    <vt:vector size="14" baseType="lpstr">
      <vt:lpstr>Summary Tables</vt:lpstr>
      <vt:lpstr>GWh</vt:lpstr>
      <vt:lpstr>Customers</vt:lpstr>
      <vt:lpstr>Avg MWh per Customer</vt:lpstr>
      <vt:lpstr>Summer Peak</vt:lpstr>
      <vt:lpstr>Winter Peak</vt:lpstr>
      <vt:lpstr>System Peak and Requirements</vt:lpstr>
      <vt:lpstr>Capital Calcs</vt:lpstr>
      <vt:lpstr>Chart-GWh Pct Error</vt:lpstr>
      <vt:lpstr>Chart-GWh Error</vt:lpstr>
      <vt:lpstr>Chart-Winter Peak MW Error</vt:lpstr>
      <vt:lpstr>Chart-Winter Peak Pct Error</vt:lpstr>
      <vt:lpstr>Chart-Summer Peak MW Error</vt:lpstr>
      <vt:lpstr>Chart-Summer Peak Pct Error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Sotkiewicz</dc:creator>
  <cp:lastModifiedBy>Rhonda Dulgar</cp:lastModifiedBy>
  <cp:lastPrinted>2018-02-13T20:11:26Z</cp:lastPrinted>
  <dcterms:created xsi:type="dcterms:W3CDTF">2018-01-20T16:13:46Z</dcterms:created>
  <dcterms:modified xsi:type="dcterms:W3CDTF">2018-02-28T20:18:09Z</dcterms:modified>
</cp:coreProperties>
</file>