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25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F32" i="1"/>
  <c r="G32" i="1"/>
  <c r="H32" i="1"/>
  <c r="I32" i="1"/>
  <c r="J32" i="1"/>
  <c r="K32" i="1"/>
  <c r="L32" i="1"/>
  <c r="M32" i="1"/>
  <c r="D32" i="1"/>
  <c r="E30" i="1"/>
  <c r="F30" i="1"/>
  <c r="G30" i="1"/>
  <c r="H30" i="1"/>
  <c r="I30" i="1"/>
  <c r="J30" i="1"/>
  <c r="K30" i="1"/>
  <c r="L30" i="1"/>
  <c r="M30" i="1"/>
  <c r="D30" i="1"/>
  <c r="M31" i="1" l="1"/>
  <c r="E16" i="1"/>
  <c r="M29" i="1" l="1"/>
  <c r="G36" i="1" l="1"/>
  <c r="G48" i="1"/>
  <c r="E48" i="1"/>
  <c r="J40" i="1" l="1"/>
  <c r="K47" i="1"/>
  <c r="L47" i="1"/>
  <c r="F53" i="1" l="1"/>
  <c r="M53" i="1" s="1"/>
  <c r="J53" i="1"/>
  <c r="M46" i="1"/>
  <c r="M42" i="1"/>
  <c r="M41" i="1"/>
  <c r="M40" i="1"/>
  <c r="F49" i="1"/>
  <c r="H49" i="1"/>
  <c r="I49" i="1"/>
  <c r="J49" i="1"/>
  <c r="K49" i="1"/>
  <c r="F47" i="1"/>
  <c r="G47" i="1"/>
  <c r="G49" i="1" s="1"/>
  <c r="H47" i="1"/>
  <c r="I47" i="1"/>
  <c r="D47" i="1"/>
  <c r="L49" i="1"/>
  <c r="K43" i="1"/>
  <c r="J43" i="1"/>
  <c r="I43" i="1"/>
  <c r="H43" i="1"/>
  <c r="G43" i="1"/>
  <c r="F43" i="1"/>
  <c r="E43" i="1"/>
  <c r="D43" i="1"/>
  <c r="L43" i="1"/>
  <c r="D49" i="1" l="1"/>
  <c r="M43" i="1"/>
  <c r="M48" i="1"/>
  <c r="G15" i="1" l="1"/>
  <c r="M16" i="1"/>
  <c r="M17" i="1"/>
  <c r="E20" i="1"/>
  <c r="F20" i="1"/>
  <c r="G20" i="1"/>
  <c r="H20" i="1"/>
  <c r="I20" i="1"/>
  <c r="J20" i="1"/>
  <c r="K20" i="1"/>
  <c r="L20" i="1"/>
  <c r="D20" i="1"/>
  <c r="E15" i="1"/>
  <c r="M18" i="1" l="1"/>
  <c r="M19" i="1" l="1"/>
  <c r="E22" i="1" l="1"/>
  <c r="M22" i="1" s="1"/>
  <c r="E36" i="1"/>
  <c r="M25" i="1"/>
  <c r="M36" i="1"/>
  <c r="M34" i="1"/>
  <c r="M28" i="1"/>
  <c r="M15" i="1"/>
  <c r="M20" i="1" s="1"/>
  <c r="M24" i="1"/>
  <c r="M26" i="1" s="1"/>
  <c r="F26" i="1"/>
  <c r="G26" i="1"/>
  <c r="H26" i="1"/>
  <c r="I26" i="1"/>
  <c r="J26" i="1"/>
  <c r="K26" i="1"/>
  <c r="L26" i="1"/>
  <c r="D26" i="1"/>
  <c r="E26" i="1"/>
  <c r="E24" i="1"/>
  <c r="E47" i="1" s="1"/>
  <c r="D12" i="1"/>
  <c r="D6" i="1"/>
  <c r="E6" i="1"/>
  <c r="F6" i="1"/>
  <c r="G6" i="1"/>
  <c r="H6" i="1"/>
  <c r="I6" i="1"/>
  <c r="J6" i="1"/>
  <c r="K6" i="1"/>
  <c r="L6" i="1"/>
  <c r="M5" i="1"/>
  <c r="J51" i="1" l="1"/>
  <c r="J55" i="1" s="1"/>
  <c r="D51" i="1"/>
  <c r="D55" i="1" s="1"/>
  <c r="I51" i="1"/>
  <c r="I55" i="1" s="1"/>
  <c r="L51" i="1"/>
  <c r="L55" i="1" s="1"/>
  <c r="E49" i="1"/>
  <c r="M47" i="1"/>
  <c r="M49" i="1" s="1"/>
  <c r="J12" i="1"/>
  <c r="L12" i="1"/>
  <c r="K12" i="1"/>
  <c r="K51" i="1" s="1"/>
  <c r="K55" i="1" s="1"/>
  <c r="I12" i="1"/>
  <c r="H12" i="1"/>
  <c r="H51" i="1" s="1"/>
  <c r="H55" i="1" s="1"/>
  <c r="F12" i="1"/>
  <c r="F51" i="1" s="1"/>
  <c r="F55" i="1" s="1"/>
  <c r="M11" i="1"/>
  <c r="M10" i="1"/>
  <c r="G9" i="1"/>
  <c r="G12" i="1" s="1"/>
  <c r="G51" i="1" s="1"/>
  <c r="G55" i="1" s="1"/>
  <c r="E9" i="1"/>
  <c r="M9" i="1" s="1"/>
  <c r="G8" i="1"/>
  <c r="E8" i="1"/>
  <c r="M8" i="1" s="1"/>
  <c r="M4" i="1"/>
  <c r="M6" i="1" s="1"/>
  <c r="E51" i="1" l="1"/>
  <c r="E55" i="1" s="1"/>
  <c r="M12" i="1"/>
  <c r="M51" i="1" s="1"/>
  <c r="M55" i="1" s="1"/>
  <c r="E12" i="1"/>
</calcChain>
</file>

<file path=xl/sharedStrings.xml><?xml version="1.0" encoding="utf-8"?>
<sst xmlns="http://schemas.openxmlformats.org/spreadsheetml/2006/main" count="59" uniqueCount="59">
  <si>
    <t xml:space="preserve">Hermine </t>
  </si>
  <si>
    <t>Irma</t>
  </si>
  <si>
    <t>Marianna Storm</t>
  </si>
  <si>
    <t>Matthew</t>
  </si>
  <si>
    <t>NW Storm 1/22/17</t>
  </si>
  <si>
    <t>NW Storm 2/7/17</t>
  </si>
  <si>
    <t>TS Cindy</t>
  </si>
  <si>
    <t>TS Julia</t>
  </si>
  <si>
    <t>Total</t>
  </si>
  <si>
    <t>Salaries:</t>
  </si>
  <si>
    <t>Salaries that should have been capitalized</t>
  </si>
  <si>
    <t>Additional Compensation for Excess Hours</t>
  </si>
  <si>
    <t>Salaries for Non-Electric Division Employees</t>
  </si>
  <si>
    <t>Less Capitalized Wages</t>
  </si>
  <si>
    <t>Overtime/Comp Time/On Call</t>
  </si>
  <si>
    <t>Bloustown Bristol</t>
  </si>
  <si>
    <t>a.</t>
  </si>
  <si>
    <t>Removed from storm reserve in June 2018</t>
  </si>
  <si>
    <t>b.</t>
  </si>
  <si>
    <t>Total Regular Payroll</t>
  </si>
  <si>
    <t>Total Overtime Payroll and Payroll for Non-Electric Employees</t>
  </si>
  <si>
    <t>c.</t>
  </si>
  <si>
    <t>Contractor Costs</t>
  </si>
  <si>
    <t>d.</t>
  </si>
  <si>
    <t>Line Clearing</t>
  </si>
  <si>
    <t>e.</t>
  </si>
  <si>
    <t>f.</t>
  </si>
  <si>
    <t>g.</t>
  </si>
  <si>
    <t>h.</t>
  </si>
  <si>
    <t>Less Capitalized Costs</t>
  </si>
  <si>
    <t>Total Vehicle &amp; Fuel Costs</t>
  </si>
  <si>
    <t>Total Contractor Costs</t>
  </si>
  <si>
    <t xml:space="preserve">Vehicles &amp; Fuels </t>
  </si>
  <si>
    <t xml:space="preserve">Materials &amp; Supplies </t>
  </si>
  <si>
    <t xml:space="preserve">Logistics </t>
  </si>
  <si>
    <t xml:space="preserve">Other </t>
  </si>
  <si>
    <t>Adjustment for Portion of Capitalized Costs</t>
  </si>
  <si>
    <t>Benefits:</t>
  </si>
  <si>
    <t>Benefits</t>
  </si>
  <si>
    <t>Payroll Taxes</t>
  </si>
  <si>
    <t>Less Capitalized Overhead Benefits</t>
  </si>
  <si>
    <t>Total Benefits</t>
  </si>
  <si>
    <t>Department Expenses:</t>
  </si>
  <si>
    <t>Expenses</t>
  </si>
  <si>
    <t>Department Expenses</t>
  </si>
  <si>
    <t>Other Items on OPC 17 Not Listed in this request:</t>
  </si>
  <si>
    <t>TOTAL COSTS</t>
  </si>
  <si>
    <t>MC-1</t>
  </si>
  <si>
    <t>Less Capitalized Inventory</t>
  </si>
  <si>
    <t>Audit Adjustment Capitalized Inventory</t>
  </si>
  <si>
    <t>Audit Adj. Removed invoices capitalized in June 2018</t>
  </si>
  <si>
    <t>Difference</t>
  </si>
  <si>
    <t>Contractor Costs Included in Other (h.  Below and OPC 40)</t>
  </si>
  <si>
    <t>Contractor Costs Included In M &amp; S (f. below and OPC 38)</t>
  </si>
  <si>
    <t>Line</t>
  </si>
  <si>
    <t>Less Vehicle and Fuel Costs (Line 22 less $2,160 actual direct)</t>
  </si>
  <si>
    <t>Staff Interrogatory 2, Question 6</t>
  </si>
  <si>
    <t>Provided in Data Request 3 Question 6</t>
  </si>
  <si>
    <t>Less Capitalized Overhead Department Expenses (Excl. Fuel line 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</si>
</sst>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44" fontId="0" fillId="0" borderId="0" xfId="1" applyFont="1" applyFill="1"/>
    <xf numFmtId="0" fontId="0" fillId="0" borderId="0" xfId="0" applyFill="1"/>
    <xf numFmtId="44" fontId="2" fillId="0" borderId="0" xfId="1" applyFont="1" applyFill="1" applyAlignment="1">
      <alignment horizontal="center"/>
    </xf>
    <xf numFmtId="44" fontId="2" fillId="0" borderId="0" xfId="1" applyFont="1" applyFill="1"/>
    <xf numFmtId="44" fontId="0" fillId="0" borderId="0" xfId="1" applyFont="1" applyFill="1" applyAlignment="1">
      <alignment horizontal="left"/>
    </xf>
    <xf numFmtId="44" fontId="2" fillId="0" borderId="0" xfId="1" applyFont="1" applyFill="1" applyAlignment="1">
      <alignment horizontal="left"/>
    </xf>
    <xf numFmtId="44" fontId="2" fillId="0" borderId="2" xfId="1" applyFont="1" applyFill="1" applyBorder="1"/>
    <xf numFmtId="44" fontId="2" fillId="0" borderId="1" xfId="1" applyFont="1" applyFill="1" applyBorder="1"/>
    <xf numFmtId="0" fontId="2" fillId="0" borderId="0" xfId="0" applyFont="1" applyFill="1"/>
    <xf numFmtId="44" fontId="0" fillId="0" borderId="0" xfId="1" applyFont="1" applyFill="1" applyBorder="1"/>
    <xf numFmtId="44" fontId="2" fillId="0" borderId="0" xfId="1" applyFont="1" applyFill="1" applyBorder="1"/>
    <xf numFmtId="44" fontId="1" fillId="0" borderId="0" xfId="1" applyFont="1" applyFill="1" applyAlignment="1">
      <alignment horizontal="left"/>
    </xf>
    <xf numFmtId="44" fontId="2" fillId="0" borderId="0" xfId="0" applyNumberFormat="1" applyFont="1" applyFill="1"/>
    <xf numFmtId="164" fontId="2" fillId="0" borderId="0" xfId="1" applyNumberFormat="1" applyFont="1" applyFill="1"/>
    <xf numFmtId="0" fontId="3" fillId="0" borderId="0" xfId="0" applyFont="1" applyFill="1"/>
    <xf numFmtId="44" fontId="0" fillId="0" borderId="3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abSelected="1" workbookViewId="0">
      <pane xSplit="3" ySplit="2" topLeftCell="D15" activePane="bottomRight" state="frozen"/>
      <selection pane="topRight" activeCell="C1" sqref="C1"/>
      <selection pane="bottomLeft" activeCell="A5" sqref="A5"/>
      <selection pane="bottomRight" activeCell="G35" sqref="G35"/>
    </sheetView>
  </sheetViews>
  <sheetFormatPr defaultRowHeight="15" x14ac:dyDescent="0.25"/>
  <cols>
    <col min="1" max="1" width="4.42578125" style="2" customWidth="1"/>
    <col min="2" max="2" width="4.85546875" style="2" customWidth="1"/>
    <col min="3" max="3" width="61.7109375" style="2" customWidth="1"/>
    <col min="4" max="4" width="11.5703125" style="2" bestFit="1" customWidth="1"/>
    <col min="5" max="5" width="14.28515625" style="2" bestFit="1" customWidth="1"/>
    <col min="6" max="6" width="16.7109375" style="2" bestFit="1" customWidth="1"/>
    <col min="7" max="7" width="12.5703125" style="2" bestFit="1" customWidth="1"/>
    <col min="8" max="8" width="19" style="2" bestFit="1" customWidth="1"/>
    <col min="9" max="9" width="18" style="2" bestFit="1" customWidth="1"/>
    <col min="10" max="10" width="18" style="2" customWidth="1"/>
    <col min="11" max="11" width="10.5703125" style="2" bestFit="1" customWidth="1"/>
    <col min="12" max="12" width="12.5703125" style="2" customWidth="1"/>
    <col min="13" max="13" width="14.5703125" style="2" customWidth="1"/>
    <col min="14" max="16384" width="9.140625" style="2"/>
  </cols>
  <sheetData>
    <row r="1" spans="1:15" ht="15.75" x14ac:dyDescent="0.25">
      <c r="A1" s="15" t="s">
        <v>56</v>
      </c>
    </row>
    <row r="2" spans="1:15" x14ac:dyDescent="0.25">
      <c r="A2" s="9" t="s">
        <v>54</v>
      </c>
      <c r="C2" s="1"/>
      <c r="D2" s="3" t="s">
        <v>0</v>
      </c>
      <c r="E2" s="3" t="s">
        <v>1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15</v>
      </c>
      <c r="K2" s="3" t="s">
        <v>6</v>
      </c>
      <c r="L2" s="3" t="s">
        <v>7</v>
      </c>
      <c r="M2" s="3" t="s">
        <v>8</v>
      </c>
    </row>
    <row r="3" spans="1:15" x14ac:dyDescent="0.25">
      <c r="A3" s="2">
        <v>1</v>
      </c>
      <c r="C3" s="4" t="s">
        <v>9</v>
      </c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x14ac:dyDescent="0.25">
      <c r="A4" s="2">
        <v>2</v>
      </c>
      <c r="B4" s="2" t="s">
        <v>16</v>
      </c>
      <c r="C4" s="5" t="s">
        <v>10</v>
      </c>
      <c r="D4" s="1">
        <v>6592.17</v>
      </c>
      <c r="E4" s="1"/>
      <c r="F4" s="1">
        <v>3043.53</v>
      </c>
      <c r="G4" s="1"/>
      <c r="H4" s="1"/>
      <c r="I4" s="1"/>
      <c r="J4" s="1">
        <v>1812.31</v>
      </c>
      <c r="K4" s="1"/>
      <c r="L4" s="1">
        <v>1278.78</v>
      </c>
      <c r="M4" s="1">
        <f t="shared" ref="M4:M11" si="0">SUM(D4:L4)</f>
        <v>12726.79</v>
      </c>
    </row>
    <row r="5" spans="1:15" x14ac:dyDescent="0.25">
      <c r="A5" s="2">
        <v>3</v>
      </c>
      <c r="C5" s="5" t="s">
        <v>17</v>
      </c>
      <c r="D5" s="1">
        <v>-6592.17</v>
      </c>
      <c r="E5" s="1"/>
      <c r="F5" s="1">
        <v>-3043.53</v>
      </c>
      <c r="G5" s="1"/>
      <c r="H5" s="1"/>
      <c r="I5" s="1"/>
      <c r="J5" s="1">
        <v>-1812.31</v>
      </c>
      <c r="K5" s="1"/>
      <c r="L5" s="1">
        <v>-1278.78</v>
      </c>
      <c r="M5" s="1">
        <f t="shared" si="0"/>
        <v>-12726.79</v>
      </c>
    </row>
    <row r="6" spans="1:15" ht="15.75" thickBot="1" x14ac:dyDescent="0.3">
      <c r="A6" s="2">
        <v>4</v>
      </c>
      <c r="C6" s="6" t="s">
        <v>19</v>
      </c>
      <c r="D6" s="7">
        <f t="shared" ref="D6:L6" si="1">SUM(D4:D5)</f>
        <v>0</v>
      </c>
      <c r="E6" s="7">
        <f t="shared" si="1"/>
        <v>0</v>
      </c>
      <c r="F6" s="7">
        <f t="shared" si="1"/>
        <v>0</v>
      </c>
      <c r="G6" s="7">
        <f t="shared" si="1"/>
        <v>0</v>
      </c>
      <c r="H6" s="7">
        <f t="shared" si="1"/>
        <v>0</v>
      </c>
      <c r="I6" s="7">
        <f t="shared" si="1"/>
        <v>0</v>
      </c>
      <c r="J6" s="7">
        <f t="shared" si="1"/>
        <v>0</v>
      </c>
      <c r="K6" s="7">
        <f t="shared" si="1"/>
        <v>0</v>
      </c>
      <c r="L6" s="7">
        <f t="shared" si="1"/>
        <v>0</v>
      </c>
      <c r="M6" s="7">
        <f>SUM(M4:M5)</f>
        <v>0</v>
      </c>
    </row>
    <row r="7" spans="1:15" ht="15.75" thickTop="1" x14ac:dyDescent="0.25">
      <c r="A7" s="2">
        <v>5</v>
      </c>
      <c r="C7" s="5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5" x14ac:dyDescent="0.25">
      <c r="A8" s="2">
        <v>6</v>
      </c>
      <c r="B8" s="2" t="s">
        <v>18</v>
      </c>
      <c r="C8" s="5" t="s">
        <v>11</v>
      </c>
      <c r="D8" s="1"/>
      <c r="E8" s="1">
        <f>61750-17750</f>
        <v>44000</v>
      </c>
      <c r="F8" s="1"/>
      <c r="G8" s="1">
        <f>29801-4168.8</f>
        <v>25632.2</v>
      </c>
      <c r="H8" s="1"/>
      <c r="I8" s="1"/>
      <c r="J8" s="1"/>
      <c r="K8" s="1"/>
      <c r="L8" s="1"/>
      <c r="M8" s="1">
        <f t="shared" si="0"/>
        <v>69632.2</v>
      </c>
    </row>
    <row r="9" spans="1:15" x14ac:dyDescent="0.25">
      <c r="A9" s="2">
        <v>7</v>
      </c>
      <c r="C9" s="5" t="s">
        <v>12</v>
      </c>
      <c r="D9" s="1"/>
      <c r="E9" s="1">
        <f>14946.32+17750</f>
        <v>32696.32</v>
      </c>
      <c r="F9" s="1"/>
      <c r="G9" s="1">
        <f>1145.97+4168.8</f>
        <v>5314.77</v>
      </c>
      <c r="H9" s="1"/>
      <c r="I9" s="1"/>
      <c r="J9" s="1"/>
      <c r="K9" s="1"/>
      <c r="L9" s="1"/>
      <c r="M9" s="1">
        <f t="shared" si="0"/>
        <v>38011.089999999997</v>
      </c>
    </row>
    <row r="10" spans="1:15" x14ac:dyDescent="0.25">
      <c r="A10" s="2">
        <v>8</v>
      </c>
      <c r="C10" s="5" t="s">
        <v>13</v>
      </c>
      <c r="D10" s="1"/>
      <c r="E10" s="1">
        <v>-86308</v>
      </c>
      <c r="F10" s="1"/>
      <c r="G10" s="1">
        <v>-28430.67</v>
      </c>
      <c r="H10" s="1"/>
      <c r="I10" s="1"/>
      <c r="J10" s="1"/>
      <c r="K10" s="1"/>
      <c r="L10" s="1"/>
      <c r="M10" s="1">
        <f t="shared" si="0"/>
        <v>-114738.67</v>
      </c>
    </row>
    <row r="11" spans="1:15" x14ac:dyDescent="0.25">
      <c r="A11" s="2">
        <v>9</v>
      </c>
      <c r="C11" s="5" t="s">
        <v>14</v>
      </c>
      <c r="D11" s="1">
        <v>3952.42</v>
      </c>
      <c r="E11" s="1">
        <v>89580.33</v>
      </c>
      <c r="F11" s="1">
        <v>12466.54</v>
      </c>
      <c r="G11" s="1">
        <v>53640.84</v>
      </c>
      <c r="H11" s="1">
        <v>11140.23</v>
      </c>
      <c r="I11" s="1">
        <v>16772.310000000001</v>
      </c>
      <c r="J11" s="1">
        <v>6708.89</v>
      </c>
      <c r="K11" s="1">
        <v>1936</v>
      </c>
      <c r="L11" s="1">
        <v>3387.34</v>
      </c>
      <c r="M11" s="1">
        <f t="shared" si="0"/>
        <v>199584.90000000002</v>
      </c>
    </row>
    <row r="12" spans="1:15" ht="15.75" thickBot="1" x14ac:dyDescent="0.3">
      <c r="A12" s="2">
        <v>10</v>
      </c>
      <c r="C12" s="6" t="s">
        <v>20</v>
      </c>
      <c r="D12" s="8">
        <f>SUM(D8:D11)</f>
        <v>3952.42</v>
      </c>
      <c r="E12" s="8">
        <f t="shared" ref="E12:M12" si="2">SUM(E4:E11)</f>
        <v>79968.650000000009</v>
      </c>
      <c r="F12" s="8">
        <f t="shared" si="2"/>
        <v>12466.54</v>
      </c>
      <c r="G12" s="8">
        <f t="shared" si="2"/>
        <v>56157.14</v>
      </c>
      <c r="H12" s="8">
        <f t="shared" si="2"/>
        <v>11140.23</v>
      </c>
      <c r="I12" s="8">
        <f t="shared" si="2"/>
        <v>16772.310000000001</v>
      </c>
      <c r="J12" s="8">
        <f t="shared" si="2"/>
        <v>6708.89</v>
      </c>
      <c r="K12" s="8">
        <f t="shared" si="2"/>
        <v>1936</v>
      </c>
      <c r="L12" s="8">
        <f t="shared" si="2"/>
        <v>3387.34</v>
      </c>
      <c r="M12" s="8">
        <f t="shared" si="2"/>
        <v>192489.52000000002</v>
      </c>
    </row>
    <row r="13" spans="1:15" x14ac:dyDescent="0.25">
      <c r="A13" s="2">
        <v>11</v>
      </c>
    </row>
    <row r="14" spans="1:15" x14ac:dyDescent="0.25">
      <c r="A14" s="2">
        <v>12</v>
      </c>
    </row>
    <row r="15" spans="1:15" x14ac:dyDescent="0.25">
      <c r="A15" s="2">
        <v>13</v>
      </c>
      <c r="B15" s="2" t="s">
        <v>21</v>
      </c>
      <c r="C15" s="2" t="s">
        <v>22</v>
      </c>
      <c r="D15" s="1"/>
      <c r="E15" s="1">
        <f>1799823.96+18978+9859.37-7245.61</f>
        <v>1821415.72</v>
      </c>
      <c r="F15" s="1">
        <v>2466.2399999999998</v>
      </c>
      <c r="G15" s="1">
        <f>312717.49+5799.59+4486.84-150</f>
        <v>322853.92000000004</v>
      </c>
      <c r="H15" s="1">
        <v>297.95</v>
      </c>
      <c r="I15" s="1">
        <v>756.14</v>
      </c>
      <c r="J15" s="1"/>
      <c r="K15" s="1"/>
      <c r="L15" s="1">
        <v>952.95</v>
      </c>
      <c r="M15" s="1">
        <f t="shared" ref="M15:M19" si="3">SUM(D15:L15)</f>
        <v>2148742.9200000004</v>
      </c>
      <c r="N15" s="1"/>
      <c r="O15" s="1"/>
    </row>
    <row r="16" spans="1:15" x14ac:dyDescent="0.25">
      <c r="A16" s="2">
        <v>14</v>
      </c>
      <c r="C16" s="2" t="s">
        <v>52</v>
      </c>
      <c r="D16" s="1"/>
      <c r="E16" s="1">
        <f>6165-70</f>
        <v>6095</v>
      </c>
      <c r="F16" s="1"/>
      <c r="G16" s="1">
        <v>150</v>
      </c>
      <c r="H16" s="1"/>
      <c r="I16" s="1"/>
      <c r="J16" s="1"/>
      <c r="K16" s="1"/>
      <c r="L16" s="1"/>
      <c r="M16" s="1">
        <f t="shared" si="3"/>
        <v>6245</v>
      </c>
      <c r="N16" s="1"/>
      <c r="O16" s="1"/>
    </row>
    <row r="17" spans="1:15" x14ac:dyDescent="0.25">
      <c r="A17" s="2">
        <v>15</v>
      </c>
      <c r="C17" s="2" t="s">
        <v>53</v>
      </c>
      <c r="D17" s="1"/>
      <c r="E17" s="1">
        <v>-9859.3700000000008</v>
      </c>
      <c r="F17" s="1"/>
      <c r="G17" s="1">
        <v>-4486.84</v>
      </c>
      <c r="H17" s="1"/>
      <c r="I17" s="1"/>
      <c r="J17" s="1"/>
      <c r="K17" s="1"/>
      <c r="L17" s="1"/>
      <c r="M17" s="1">
        <f t="shared" si="3"/>
        <v>-14346.210000000001</v>
      </c>
      <c r="N17" s="1"/>
      <c r="O17" s="1"/>
    </row>
    <row r="18" spans="1:15" x14ac:dyDescent="0.25">
      <c r="A18" s="2">
        <v>16</v>
      </c>
      <c r="C18" s="2" t="s">
        <v>36</v>
      </c>
      <c r="D18" s="1"/>
      <c r="E18" s="1">
        <v>-18978</v>
      </c>
      <c r="F18" s="1"/>
      <c r="G18" s="1">
        <v>-5799.59</v>
      </c>
      <c r="H18" s="1"/>
      <c r="I18" s="1"/>
      <c r="J18" s="1"/>
      <c r="K18" s="1"/>
      <c r="L18" s="1"/>
      <c r="M18" s="1">
        <f t="shared" si="3"/>
        <v>-24777.59</v>
      </c>
      <c r="N18" s="1"/>
      <c r="O18" s="1"/>
    </row>
    <row r="19" spans="1:15" x14ac:dyDescent="0.25">
      <c r="A19" s="2">
        <v>17</v>
      </c>
      <c r="C19" s="2" t="s">
        <v>50</v>
      </c>
      <c r="D19" s="1"/>
      <c r="E19" s="1">
        <v>-137572.95000000001</v>
      </c>
      <c r="F19" s="1"/>
      <c r="G19" s="1"/>
      <c r="H19" s="1"/>
      <c r="I19" s="1"/>
      <c r="J19" s="1"/>
      <c r="K19" s="1"/>
      <c r="L19" s="1"/>
      <c r="M19" s="1">
        <f t="shared" si="3"/>
        <v>-137572.95000000001</v>
      </c>
      <c r="N19" s="1"/>
      <c r="O19" s="1"/>
    </row>
    <row r="20" spans="1:15" ht="15.75" thickBot="1" x14ac:dyDescent="0.3">
      <c r="A20" s="2">
        <v>18</v>
      </c>
      <c r="C20" s="9" t="s">
        <v>31</v>
      </c>
      <c r="D20" s="7">
        <f>SUM(D15:D19)</f>
        <v>0</v>
      </c>
      <c r="E20" s="7">
        <f t="shared" ref="E20:M20" si="4">SUM(E15:E19)</f>
        <v>1661100.4</v>
      </c>
      <c r="F20" s="7">
        <f t="shared" si="4"/>
        <v>2466.2399999999998</v>
      </c>
      <c r="G20" s="7">
        <f t="shared" si="4"/>
        <v>312717.49</v>
      </c>
      <c r="H20" s="7">
        <f t="shared" si="4"/>
        <v>297.95</v>
      </c>
      <c r="I20" s="7">
        <f t="shared" si="4"/>
        <v>756.14</v>
      </c>
      <c r="J20" s="7">
        <f t="shared" si="4"/>
        <v>0</v>
      </c>
      <c r="K20" s="7">
        <f t="shared" si="4"/>
        <v>0</v>
      </c>
      <c r="L20" s="7">
        <f t="shared" si="4"/>
        <v>952.95</v>
      </c>
      <c r="M20" s="7">
        <f t="shared" si="4"/>
        <v>1978291.1700000006</v>
      </c>
      <c r="N20" s="1"/>
      <c r="O20" s="1"/>
    </row>
    <row r="21" spans="1:15" ht="15.75" thickTop="1" x14ac:dyDescent="0.25">
      <c r="A21" s="2">
        <v>19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25">
      <c r="A22" s="2">
        <v>20</v>
      </c>
      <c r="B22" s="2" t="s">
        <v>23</v>
      </c>
      <c r="C22" s="2" t="s">
        <v>24</v>
      </c>
      <c r="D22" s="1">
        <v>1641.5</v>
      </c>
      <c r="E22" s="1">
        <f>93732.44+125543.39</f>
        <v>219275.83000000002</v>
      </c>
      <c r="F22" s="1">
        <v>2816</v>
      </c>
      <c r="G22" s="1">
        <v>37697.74</v>
      </c>
      <c r="H22" s="1"/>
      <c r="I22" s="1"/>
      <c r="J22" s="1"/>
      <c r="K22" s="1"/>
      <c r="L22" s="1"/>
      <c r="M22" s="1">
        <f t="shared" ref="M22" si="5">SUM(D22:L22)</f>
        <v>261431.07</v>
      </c>
      <c r="N22" s="1"/>
      <c r="O22" s="1"/>
    </row>
    <row r="23" spans="1:15" x14ac:dyDescent="0.25">
      <c r="A23" s="2">
        <v>21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x14ac:dyDescent="0.25">
      <c r="A24" s="2">
        <v>22</v>
      </c>
      <c r="B24" s="2" t="s">
        <v>25</v>
      </c>
      <c r="C24" s="2" t="s">
        <v>32</v>
      </c>
      <c r="D24" s="1">
        <v>4989</v>
      </c>
      <c r="E24" s="1">
        <f>21898+2160</f>
        <v>24058</v>
      </c>
      <c r="F24" s="1">
        <v>6244</v>
      </c>
      <c r="G24" s="1">
        <v>10473</v>
      </c>
      <c r="H24" s="1">
        <v>2787</v>
      </c>
      <c r="I24" s="1">
        <v>4512</v>
      </c>
      <c r="J24" s="1">
        <v>7406.26</v>
      </c>
      <c r="K24" s="1">
        <v>812</v>
      </c>
      <c r="L24" s="1">
        <v>2345</v>
      </c>
      <c r="M24" s="1">
        <f t="shared" ref="M24:M25" si="6">SUM(D24:L24)</f>
        <v>63626.26</v>
      </c>
      <c r="N24" s="1"/>
      <c r="O24" s="1"/>
    </row>
    <row r="25" spans="1:15" x14ac:dyDescent="0.25">
      <c r="A25" s="2">
        <v>23</v>
      </c>
      <c r="C25" s="2" t="s">
        <v>29</v>
      </c>
      <c r="D25" s="1"/>
      <c r="E25" s="1">
        <v>-21633</v>
      </c>
      <c r="F25" s="1"/>
      <c r="G25" s="1">
        <v>-7762</v>
      </c>
      <c r="H25" s="1"/>
      <c r="I25" s="1"/>
      <c r="J25" s="1"/>
      <c r="K25" s="1"/>
      <c r="L25" s="1"/>
      <c r="M25" s="1">
        <f t="shared" si="6"/>
        <v>-29395</v>
      </c>
      <c r="N25" s="1"/>
      <c r="O25" s="1"/>
    </row>
    <row r="26" spans="1:15" ht="15.75" thickBot="1" x14ac:dyDescent="0.3">
      <c r="A26" s="2">
        <v>24</v>
      </c>
      <c r="C26" s="9" t="s">
        <v>30</v>
      </c>
      <c r="D26" s="7">
        <f>D24+D25</f>
        <v>4989</v>
      </c>
      <c r="E26" s="7">
        <f>E24+E25</f>
        <v>2425</v>
      </c>
      <c r="F26" s="7">
        <f t="shared" ref="F26:M26" si="7">F24+F25</f>
        <v>6244</v>
      </c>
      <c r="G26" s="7">
        <f t="shared" si="7"/>
        <v>2711</v>
      </c>
      <c r="H26" s="7">
        <f t="shared" si="7"/>
        <v>2787</v>
      </c>
      <c r="I26" s="7">
        <f t="shared" si="7"/>
        <v>4512</v>
      </c>
      <c r="J26" s="7">
        <f t="shared" si="7"/>
        <v>7406.26</v>
      </c>
      <c r="K26" s="7">
        <f t="shared" si="7"/>
        <v>812</v>
      </c>
      <c r="L26" s="7">
        <f t="shared" si="7"/>
        <v>2345</v>
      </c>
      <c r="M26" s="7">
        <f t="shared" si="7"/>
        <v>34231.26</v>
      </c>
      <c r="N26" s="1"/>
      <c r="O26" s="1"/>
    </row>
    <row r="27" spans="1:15" ht="15.75" thickTop="1" x14ac:dyDescent="0.25">
      <c r="A27" s="2">
        <v>25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25">
      <c r="A28" s="2">
        <v>26</v>
      </c>
      <c r="B28" s="2" t="s">
        <v>26</v>
      </c>
      <c r="C28" s="2" t="s">
        <v>33</v>
      </c>
      <c r="D28" s="1">
        <v>645</v>
      </c>
      <c r="E28" s="1">
        <v>79173.3</v>
      </c>
      <c r="F28" s="1">
        <v>6718</v>
      </c>
      <c r="G28" s="1">
        <v>28932.41</v>
      </c>
      <c r="H28" s="1">
        <v>3147</v>
      </c>
      <c r="I28" s="1">
        <v>4726</v>
      </c>
      <c r="J28" s="1">
        <v>1462</v>
      </c>
      <c r="K28" s="1"/>
      <c r="L28" s="1">
        <v>991</v>
      </c>
      <c r="M28" s="1">
        <f t="shared" ref="M28:M31" si="8">SUM(D28:L28)</f>
        <v>125794.71</v>
      </c>
      <c r="N28" s="1"/>
      <c r="O28" s="1"/>
    </row>
    <row r="29" spans="1:15" x14ac:dyDescent="0.25">
      <c r="A29" s="2">
        <v>27</v>
      </c>
      <c r="C29" s="2" t="s">
        <v>48</v>
      </c>
      <c r="D29" s="1"/>
      <c r="E29" s="1">
        <v>-57521</v>
      </c>
      <c r="F29" s="1"/>
      <c r="G29" s="1">
        <v>-11778.9</v>
      </c>
      <c r="H29" s="1"/>
      <c r="I29" s="1"/>
      <c r="J29" s="1"/>
      <c r="K29" s="1"/>
      <c r="L29" s="1"/>
      <c r="M29" s="1">
        <f t="shared" si="8"/>
        <v>-69299.899999999994</v>
      </c>
      <c r="N29" s="1"/>
      <c r="O29" s="1"/>
    </row>
    <row r="30" spans="1:15" x14ac:dyDescent="0.25">
      <c r="A30" s="2">
        <v>28</v>
      </c>
      <c r="C30" s="2" t="s">
        <v>57</v>
      </c>
      <c r="D30" s="16">
        <f>SUM(D28:D29)</f>
        <v>645</v>
      </c>
      <c r="E30" s="16">
        <f t="shared" ref="E30:M30" si="9">SUM(E28:E29)</f>
        <v>21652.300000000003</v>
      </c>
      <c r="F30" s="16">
        <f t="shared" si="9"/>
        <v>6718</v>
      </c>
      <c r="G30" s="16">
        <f t="shared" si="9"/>
        <v>17153.510000000002</v>
      </c>
      <c r="H30" s="16">
        <f t="shared" si="9"/>
        <v>3147</v>
      </c>
      <c r="I30" s="16">
        <f t="shared" si="9"/>
        <v>4726</v>
      </c>
      <c r="J30" s="16">
        <f t="shared" si="9"/>
        <v>1462</v>
      </c>
      <c r="K30" s="16">
        <f t="shared" si="9"/>
        <v>0</v>
      </c>
      <c r="L30" s="16">
        <f t="shared" si="9"/>
        <v>991</v>
      </c>
      <c r="M30" s="16">
        <f t="shared" si="9"/>
        <v>56494.810000000012</v>
      </c>
      <c r="N30" s="1"/>
      <c r="O30" s="1"/>
    </row>
    <row r="31" spans="1:15" x14ac:dyDescent="0.25">
      <c r="A31" s="2">
        <v>29</v>
      </c>
      <c r="C31" s="2" t="s">
        <v>49</v>
      </c>
      <c r="D31" s="1"/>
      <c r="E31" s="1">
        <v>32800</v>
      </c>
      <c r="F31" s="1"/>
      <c r="G31" s="1"/>
      <c r="H31" s="1"/>
      <c r="I31" s="1"/>
      <c r="J31" s="1"/>
      <c r="K31" s="1"/>
      <c r="L31" s="1"/>
      <c r="M31" s="1">
        <f t="shared" si="8"/>
        <v>32800</v>
      </c>
      <c r="N31" s="1"/>
      <c r="O31" s="1"/>
    </row>
    <row r="32" spans="1:15" ht="15.75" thickBot="1" x14ac:dyDescent="0.3">
      <c r="A32" s="2">
        <v>30</v>
      </c>
      <c r="D32" s="7">
        <f>SUM(D30:D31)</f>
        <v>645</v>
      </c>
      <c r="E32" s="7">
        <f t="shared" ref="E32:M32" si="10">SUM(E30:E31)</f>
        <v>54452.3</v>
      </c>
      <c r="F32" s="7">
        <f t="shared" si="10"/>
        <v>6718</v>
      </c>
      <c r="G32" s="7">
        <f t="shared" si="10"/>
        <v>17153.510000000002</v>
      </c>
      <c r="H32" s="7">
        <f t="shared" si="10"/>
        <v>3147</v>
      </c>
      <c r="I32" s="7">
        <f t="shared" si="10"/>
        <v>4726</v>
      </c>
      <c r="J32" s="7">
        <f t="shared" si="10"/>
        <v>1462</v>
      </c>
      <c r="K32" s="7">
        <f t="shared" si="10"/>
        <v>0</v>
      </c>
      <c r="L32" s="7">
        <f t="shared" si="10"/>
        <v>991</v>
      </c>
      <c r="M32" s="7">
        <f t="shared" si="10"/>
        <v>89294.810000000012</v>
      </c>
      <c r="N32" s="1"/>
      <c r="O32" s="1"/>
    </row>
    <row r="33" spans="1:15" ht="15.75" thickTop="1" x14ac:dyDescent="0.25">
      <c r="A33" s="2">
        <v>31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x14ac:dyDescent="0.25">
      <c r="A34" s="2">
        <v>32</v>
      </c>
      <c r="B34" s="2" t="s">
        <v>27</v>
      </c>
      <c r="C34" s="2" t="s">
        <v>34</v>
      </c>
      <c r="D34" s="1"/>
      <c r="E34" s="1">
        <v>172250</v>
      </c>
      <c r="F34" s="1"/>
      <c r="G34" s="1">
        <v>73455</v>
      </c>
      <c r="H34" s="1"/>
      <c r="I34" s="1"/>
      <c r="J34" s="1"/>
      <c r="K34" s="1"/>
      <c r="L34" s="1"/>
      <c r="M34" s="1">
        <f t="shared" ref="M34" si="11">SUM(D34:L34)</f>
        <v>245705</v>
      </c>
      <c r="N34" s="1"/>
      <c r="O34" s="1"/>
    </row>
    <row r="35" spans="1:15" x14ac:dyDescent="0.25">
      <c r="A35" s="2">
        <v>33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x14ac:dyDescent="0.25">
      <c r="A36" s="2">
        <v>34</v>
      </c>
      <c r="B36" s="2" t="s">
        <v>28</v>
      </c>
      <c r="C36" s="2" t="s">
        <v>35</v>
      </c>
      <c r="D36" s="1">
        <v>136</v>
      </c>
      <c r="E36" s="1">
        <f>210149-172250</f>
        <v>37899</v>
      </c>
      <c r="F36" s="1"/>
      <c r="G36" s="1">
        <f>118690-73455+174</f>
        <v>45409</v>
      </c>
      <c r="H36" s="1">
        <v>100</v>
      </c>
      <c r="I36" s="1">
        <v>100</v>
      </c>
      <c r="J36" s="1"/>
      <c r="K36" s="1"/>
      <c r="L36" s="1"/>
      <c r="M36" s="1">
        <f t="shared" ref="M36" si="12">SUM(D36:L36)</f>
        <v>83644</v>
      </c>
      <c r="N36" s="1"/>
      <c r="O36" s="1"/>
    </row>
    <row r="37" spans="1:15" x14ac:dyDescent="0.25">
      <c r="A37" s="2">
        <v>35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s="9" customFormat="1" x14ac:dyDescent="0.25">
      <c r="A38" s="2">
        <v>36</v>
      </c>
      <c r="B38" s="9" t="s">
        <v>45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5" x14ac:dyDescent="0.25">
      <c r="A39" s="2">
        <v>37</v>
      </c>
      <c r="C39" s="6" t="s">
        <v>37</v>
      </c>
      <c r="D39" s="10"/>
      <c r="E39" s="10"/>
      <c r="F39" s="10"/>
      <c r="G39" s="10"/>
      <c r="H39" s="10"/>
      <c r="I39" s="10"/>
      <c r="J39" s="10"/>
      <c r="K39" s="10"/>
      <c r="L39" s="10"/>
      <c r="M39" s="1"/>
      <c r="N39" s="1"/>
      <c r="O39" s="1"/>
    </row>
    <row r="40" spans="1:15" x14ac:dyDescent="0.25">
      <c r="A40" s="2">
        <v>38</v>
      </c>
      <c r="C40" s="5" t="s">
        <v>38</v>
      </c>
      <c r="D40" s="1">
        <v>2466.9300000000003</v>
      </c>
      <c r="E40" s="1">
        <v>21989.59</v>
      </c>
      <c r="F40" s="1">
        <v>3547.8999999999996</v>
      </c>
      <c r="G40" s="1">
        <v>17457.870000000003</v>
      </c>
      <c r="H40" s="1">
        <v>3042.1499999999996</v>
      </c>
      <c r="I40" s="1">
        <v>3677.4399999999991</v>
      </c>
      <c r="J40" s="1">
        <f>578+207.02+252.09+1408.52-555.27+43.35</f>
        <v>1933.71</v>
      </c>
      <c r="K40" s="1">
        <v>391.25</v>
      </c>
      <c r="L40" s="1">
        <v>1018.4700000000001</v>
      </c>
      <c r="M40" s="1">
        <f t="shared" ref="M40:M42" si="13">SUM(D40:L40)</f>
        <v>55525.310000000005</v>
      </c>
      <c r="N40" s="1"/>
      <c r="O40" s="1"/>
    </row>
    <row r="41" spans="1:15" x14ac:dyDescent="0.25">
      <c r="A41" s="2">
        <v>39</v>
      </c>
      <c r="C41" s="5" t="s">
        <v>39</v>
      </c>
      <c r="D41" s="1">
        <v>1107.19</v>
      </c>
      <c r="E41" s="1">
        <v>9783.43</v>
      </c>
      <c r="F41" s="1">
        <v>1501</v>
      </c>
      <c r="G41" s="1">
        <v>7213.74</v>
      </c>
      <c r="H41" s="1">
        <v>1460.75</v>
      </c>
      <c r="I41" s="1">
        <v>1615.6000000000004</v>
      </c>
      <c r="J41" s="1">
        <v>844.31</v>
      </c>
      <c r="K41" s="1">
        <v>174.96</v>
      </c>
      <c r="L41" s="1">
        <v>497.25</v>
      </c>
      <c r="M41" s="1">
        <f t="shared" si="13"/>
        <v>24198.23</v>
      </c>
      <c r="N41" s="1"/>
      <c r="O41" s="1"/>
    </row>
    <row r="42" spans="1:15" x14ac:dyDescent="0.25">
      <c r="A42" s="2">
        <v>40</v>
      </c>
      <c r="C42" s="5" t="s">
        <v>40</v>
      </c>
      <c r="D42" s="1"/>
      <c r="E42" s="1">
        <v>-31066</v>
      </c>
      <c r="F42" s="1"/>
      <c r="G42" s="1">
        <v>-10233.219999999999</v>
      </c>
      <c r="H42" s="1"/>
      <c r="I42" s="1"/>
      <c r="J42" s="1"/>
      <c r="K42" s="1"/>
      <c r="L42" s="1"/>
      <c r="M42" s="1">
        <f t="shared" si="13"/>
        <v>-41299.22</v>
      </c>
      <c r="N42" s="1"/>
      <c r="O42" s="1"/>
    </row>
    <row r="43" spans="1:15" ht="15.75" thickBot="1" x14ac:dyDescent="0.3">
      <c r="A43" s="2">
        <v>41</v>
      </c>
      <c r="C43" s="6" t="s">
        <v>41</v>
      </c>
      <c r="D43" s="8">
        <f>SUM(D40:D42)</f>
        <v>3574.1200000000003</v>
      </c>
      <c r="E43" s="8">
        <f t="shared" ref="E43:M43" si="14">SUM(E40:E42)</f>
        <v>707.02000000000044</v>
      </c>
      <c r="F43" s="8">
        <f t="shared" si="14"/>
        <v>5048.8999999999996</v>
      </c>
      <c r="G43" s="8">
        <f t="shared" si="14"/>
        <v>14438.390000000001</v>
      </c>
      <c r="H43" s="8">
        <f t="shared" si="14"/>
        <v>4502.8999999999996</v>
      </c>
      <c r="I43" s="8">
        <f t="shared" si="14"/>
        <v>5293.0399999999991</v>
      </c>
      <c r="J43" s="8">
        <f t="shared" si="14"/>
        <v>2778.02</v>
      </c>
      <c r="K43" s="8">
        <f t="shared" si="14"/>
        <v>566.21</v>
      </c>
      <c r="L43" s="8">
        <f t="shared" si="14"/>
        <v>1515.7200000000003</v>
      </c>
      <c r="M43" s="8">
        <f t="shared" si="14"/>
        <v>38424.320000000007</v>
      </c>
      <c r="N43" s="1"/>
      <c r="O43" s="1"/>
    </row>
    <row r="44" spans="1:15" x14ac:dyDescent="0.25">
      <c r="A44" s="2">
        <v>42</v>
      </c>
      <c r="C44" s="6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"/>
      <c r="O44" s="1"/>
    </row>
    <row r="45" spans="1:15" x14ac:dyDescent="0.25">
      <c r="A45" s="2">
        <v>43</v>
      </c>
      <c r="C45" s="6" t="s">
        <v>42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25">
      <c r="A46" s="2">
        <v>44</v>
      </c>
      <c r="C46" s="12" t="s">
        <v>43</v>
      </c>
      <c r="D46" s="1">
        <v>10817.42</v>
      </c>
      <c r="E46" s="1">
        <v>32636.129999999994</v>
      </c>
      <c r="F46" s="1">
        <v>12742.970000000001</v>
      </c>
      <c r="G46" s="1">
        <v>14955.810000000001</v>
      </c>
      <c r="H46" s="1">
        <v>3897.5000000000005</v>
      </c>
      <c r="I46" s="1">
        <v>6218.85</v>
      </c>
      <c r="J46" s="1">
        <v>11104.42</v>
      </c>
      <c r="K46" s="1">
        <v>878.55</v>
      </c>
      <c r="L46" s="1">
        <v>5051.8</v>
      </c>
      <c r="M46" s="1">
        <f t="shared" ref="M46:M48" si="15">SUM(D46:L46)</f>
        <v>98303.450000000012</v>
      </c>
      <c r="N46" s="1"/>
      <c r="O46" s="1"/>
    </row>
    <row r="47" spans="1:15" x14ac:dyDescent="0.25">
      <c r="A47" s="2">
        <v>45</v>
      </c>
      <c r="C47" s="5" t="s">
        <v>55</v>
      </c>
      <c r="D47" s="1">
        <f>-D24</f>
        <v>-4989</v>
      </c>
      <c r="E47" s="1">
        <f>-E24+2160</f>
        <v>-21898</v>
      </c>
      <c r="F47" s="1">
        <f t="shared" ref="F47:I47" si="16">-F24</f>
        <v>-6244</v>
      </c>
      <c r="G47" s="1">
        <f t="shared" si="16"/>
        <v>-10473</v>
      </c>
      <c r="H47" s="1">
        <f t="shared" si="16"/>
        <v>-2787</v>
      </c>
      <c r="I47" s="1">
        <f t="shared" si="16"/>
        <v>-4512</v>
      </c>
      <c r="J47" s="1">
        <v>-7406.26</v>
      </c>
      <c r="K47" s="1">
        <f t="shared" ref="K47:L47" si="17">-K24</f>
        <v>-812</v>
      </c>
      <c r="L47" s="1">
        <f t="shared" si="17"/>
        <v>-2345</v>
      </c>
      <c r="M47" s="1">
        <f t="shared" si="15"/>
        <v>-61466.26</v>
      </c>
      <c r="N47" s="1"/>
      <c r="O47" s="1"/>
    </row>
    <row r="48" spans="1:15" x14ac:dyDescent="0.25">
      <c r="A48" s="2">
        <v>46</v>
      </c>
      <c r="C48" s="1" t="s">
        <v>58</v>
      </c>
      <c r="D48" s="1"/>
      <c r="E48" s="1">
        <f>-32288-E25</f>
        <v>-10655</v>
      </c>
      <c r="F48" s="1"/>
      <c r="G48" s="1">
        <f>-11087.96-G25</f>
        <v>-3325.9599999999991</v>
      </c>
      <c r="H48" s="1"/>
      <c r="I48" s="1"/>
      <c r="J48" s="1"/>
      <c r="K48" s="1"/>
      <c r="L48" s="1"/>
      <c r="M48" s="1">
        <f t="shared" si="15"/>
        <v>-13980.96</v>
      </c>
      <c r="N48" s="1"/>
      <c r="O48" s="1"/>
    </row>
    <row r="49" spans="1:15" ht="15.75" thickBot="1" x14ac:dyDescent="0.3">
      <c r="A49" s="2">
        <v>47</v>
      </c>
      <c r="C49" s="4" t="s">
        <v>44</v>
      </c>
      <c r="D49" s="8">
        <f>SUM(D46:D48)</f>
        <v>5828.42</v>
      </c>
      <c r="E49" s="8">
        <f t="shared" ref="E49:M49" si="18">SUM(E46:E48)</f>
        <v>83.129999999993743</v>
      </c>
      <c r="F49" s="8">
        <f t="shared" si="18"/>
        <v>6498.9700000000012</v>
      </c>
      <c r="G49" s="8">
        <f t="shared" si="18"/>
        <v>1156.8500000000022</v>
      </c>
      <c r="H49" s="8">
        <f t="shared" si="18"/>
        <v>1110.5000000000005</v>
      </c>
      <c r="I49" s="8">
        <f t="shared" si="18"/>
        <v>1706.8500000000004</v>
      </c>
      <c r="J49" s="8">
        <f t="shared" si="18"/>
        <v>3698.16</v>
      </c>
      <c r="K49" s="8">
        <f t="shared" si="18"/>
        <v>66.549999999999955</v>
      </c>
      <c r="L49" s="8">
        <f t="shared" si="18"/>
        <v>2706.8</v>
      </c>
      <c r="M49" s="8">
        <f t="shared" si="18"/>
        <v>22856.23000000001</v>
      </c>
      <c r="N49" s="1"/>
      <c r="O49" s="1"/>
    </row>
    <row r="50" spans="1:15" x14ac:dyDescent="0.25">
      <c r="A50" s="2">
        <v>48</v>
      </c>
    </row>
    <row r="51" spans="1:15" s="9" customFormat="1" x14ac:dyDescent="0.25">
      <c r="A51" s="2">
        <v>49</v>
      </c>
      <c r="C51" s="9" t="s">
        <v>46</v>
      </c>
      <c r="D51" s="13">
        <f>D49+D43+D36+D34+D32+D26+D22+D20+D12+D6</f>
        <v>20766.46</v>
      </c>
      <c r="E51" s="13">
        <f t="shared" ref="E51:M51" si="19">E49+E43+E36+E34+E32+E26+E22+E20+E12+E6</f>
        <v>2228161.3299999996</v>
      </c>
      <c r="F51" s="13">
        <f t="shared" si="19"/>
        <v>42258.65</v>
      </c>
      <c r="G51" s="13">
        <f t="shared" si="19"/>
        <v>560896.12</v>
      </c>
      <c r="H51" s="13">
        <f t="shared" si="19"/>
        <v>23085.58</v>
      </c>
      <c r="I51" s="13">
        <f t="shared" si="19"/>
        <v>33866.339999999997</v>
      </c>
      <c r="J51" s="13">
        <f t="shared" si="19"/>
        <v>22053.33</v>
      </c>
      <c r="K51" s="13">
        <f t="shared" si="19"/>
        <v>3380.76</v>
      </c>
      <c r="L51" s="13">
        <f t="shared" si="19"/>
        <v>11898.810000000001</v>
      </c>
      <c r="M51" s="13">
        <f t="shared" si="19"/>
        <v>2946367.3800000008</v>
      </c>
    </row>
    <row r="52" spans="1:15" x14ac:dyDescent="0.25">
      <c r="A52" s="2">
        <v>50</v>
      </c>
    </row>
    <row r="53" spans="1:15" s="14" customFormat="1" x14ac:dyDescent="0.25">
      <c r="A53" s="2">
        <v>51</v>
      </c>
      <c r="C53" s="14" t="s">
        <v>47</v>
      </c>
      <c r="D53" s="14">
        <v>20767</v>
      </c>
      <c r="E53" s="14">
        <v>2228161</v>
      </c>
      <c r="F53" s="14">
        <f>45302.62-F4</f>
        <v>42259.090000000004</v>
      </c>
      <c r="G53" s="14">
        <v>560897</v>
      </c>
      <c r="H53" s="14">
        <v>23085.439999999999</v>
      </c>
      <c r="I53" s="14">
        <v>33866.17</v>
      </c>
      <c r="J53" s="14">
        <f>23865.79-J4</f>
        <v>22053.48</v>
      </c>
      <c r="K53" s="14">
        <v>3381</v>
      </c>
      <c r="L53" s="14">
        <v>11898</v>
      </c>
      <c r="M53" s="4">
        <f t="shared" ref="M53" si="20">SUM(D53:L53)</f>
        <v>2946368.1799999997</v>
      </c>
    </row>
    <row r="54" spans="1:15" x14ac:dyDescent="0.25">
      <c r="A54" s="2">
        <v>52</v>
      </c>
    </row>
    <row r="55" spans="1:15" x14ac:dyDescent="0.25">
      <c r="A55" s="2">
        <v>53</v>
      </c>
      <c r="C55" s="9" t="s">
        <v>51</v>
      </c>
      <c r="D55" s="13">
        <f>D51-D53</f>
        <v>-0.54000000000087311</v>
      </c>
      <c r="E55" s="13">
        <f t="shared" ref="E55:M55" si="21">E51-E53</f>
        <v>0.32999999960884452</v>
      </c>
      <c r="F55" s="13">
        <f t="shared" si="21"/>
        <v>-0.44000000000232831</v>
      </c>
      <c r="G55" s="13">
        <f t="shared" si="21"/>
        <v>-0.88000000000465661</v>
      </c>
      <c r="H55" s="13">
        <f t="shared" si="21"/>
        <v>0.1400000000030559</v>
      </c>
      <c r="I55" s="13">
        <f t="shared" si="21"/>
        <v>0.16999999999825377</v>
      </c>
      <c r="J55" s="13">
        <f t="shared" si="21"/>
        <v>-0.14999999999781721</v>
      </c>
      <c r="K55" s="13">
        <f t="shared" si="21"/>
        <v>-0.23999999999978172</v>
      </c>
      <c r="L55" s="13">
        <f t="shared" si="21"/>
        <v>0.81000000000130967</v>
      </c>
      <c r="M55" s="13">
        <f t="shared" si="21"/>
        <v>-0.79999999888241291</v>
      </c>
    </row>
  </sheetData>
  <pageMargins left="0.7" right="0.7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