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8_{1DC31BCD-FFB1-40FC-9374-12008349B7FD}" xr6:coauthVersionLast="44" xr6:coauthVersionMax="44" xr10:uidLastSave="{00000000-0000-0000-0000-000000000000}"/>
  <bookViews>
    <workbookView xWindow="-120" yWindow="-120" windowWidth="29040" windowHeight="15840" xr2:uid="{9ABC1C92-C6C2-47FC-85AC-4D8C32F93491}"/>
  </bookViews>
  <sheets>
    <sheet name="Summertree" sheetId="1" r:id="rId1"/>
    <sheet name="Summertree Flow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0" i="2" l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E63" i="2"/>
  <c r="F63" i="2" s="1"/>
  <c r="E62" i="2"/>
  <c r="F62" i="2" s="1"/>
  <c r="E61" i="2"/>
  <c r="E60" i="2" s="1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E46" i="2" s="1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8" i="2"/>
  <c r="AH35" i="2"/>
  <c r="AH34" i="2"/>
  <c r="AH33" i="2"/>
  <c r="AH32" i="2"/>
  <c r="AH31" i="2"/>
  <c r="AH30" i="2"/>
  <c r="AH29" i="2"/>
  <c r="AH28" i="2"/>
  <c r="AH27" i="2"/>
  <c r="AH26" i="2"/>
  <c r="AH25" i="2"/>
  <c r="AH24" i="2"/>
  <c r="P29" i="1"/>
  <c r="O28" i="1"/>
  <c r="N28" i="1"/>
  <c r="M28" i="1"/>
  <c r="L28" i="1"/>
  <c r="H28" i="1"/>
  <c r="G28" i="1"/>
  <c r="E28" i="1"/>
  <c r="B28" i="1"/>
  <c r="O27" i="1"/>
  <c r="N27" i="1"/>
  <c r="M27" i="1"/>
  <c r="L27" i="1"/>
  <c r="H27" i="1"/>
  <c r="G27" i="1"/>
  <c r="E27" i="1"/>
  <c r="B27" i="1"/>
  <c r="O26" i="1"/>
  <c r="N26" i="1"/>
  <c r="M26" i="1"/>
  <c r="L26" i="1"/>
  <c r="H26" i="1"/>
  <c r="G26" i="1"/>
  <c r="E26" i="1"/>
  <c r="B26" i="1"/>
  <c r="O25" i="1"/>
  <c r="N25" i="1"/>
  <c r="M25" i="1"/>
  <c r="L25" i="1"/>
  <c r="H25" i="1"/>
  <c r="G25" i="1"/>
  <c r="E25" i="1"/>
  <c r="B25" i="1"/>
  <c r="O24" i="1"/>
  <c r="N24" i="1"/>
  <c r="M24" i="1"/>
  <c r="L24" i="1"/>
  <c r="H24" i="1"/>
  <c r="G24" i="1"/>
  <c r="E24" i="1"/>
  <c r="B24" i="1"/>
  <c r="O23" i="1"/>
  <c r="N23" i="1"/>
  <c r="M23" i="1"/>
  <c r="L23" i="1"/>
  <c r="H23" i="1"/>
  <c r="G23" i="1"/>
  <c r="E23" i="1"/>
  <c r="B23" i="1"/>
  <c r="O22" i="1"/>
  <c r="N22" i="1"/>
  <c r="M22" i="1"/>
  <c r="L22" i="1"/>
  <c r="H22" i="1"/>
  <c r="G22" i="1"/>
  <c r="E22" i="1"/>
  <c r="B22" i="1"/>
  <c r="O21" i="1"/>
  <c r="M21" i="1"/>
  <c r="H21" i="1"/>
  <c r="G21" i="1"/>
  <c r="E21" i="1"/>
  <c r="B21" i="1"/>
  <c r="M20" i="1"/>
  <c r="L21" i="1" s="1"/>
  <c r="N21" i="1" s="1"/>
  <c r="H20" i="1"/>
  <c r="G20" i="1"/>
  <c r="E20" i="1"/>
  <c r="B20" i="1"/>
  <c r="O19" i="1"/>
  <c r="M19" i="1"/>
  <c r="L20" i="1" s="1"/>
  <c r="H19" i="1"/>
  <c r="G19" i="1"/>
  <c r="E19" i="1"/>
  <c r="B19" i="1"/>
  <c r="M18" i="1"/>
  <c r="L19" i="1" s="1"/>
  <c r="L18" i="1"/>
  <c r="N18" i="1" s="1"/>
  <c r="H18" i="1"/>
  <c r="G18" i="1"/>
  <c r="E18" i="1"/>
  <c r="B18" i="1"/>
  <c r="O17" i="1"/>
  <c r="O29" i="1" s="1"/>
  <c r="M17" i="1"/>
  <c r="L17" i="1"/>
  <c r="N17" i="1" s="1"/>
  <c r="H17" i="1"/>
  <c r="H29" i="1" s="1"/>
  <c r="G17" i="1"/>
  <c r="G29" i="1" s="1"/>
  <c r="E70" i="2" l="1"/>
  <c r="N19" i="1"/>
  <c r="N29" i="1" s="1"/>
  <c r="N20" i="1"/>
  <c r="F39" i="2"/>
  <c r="F70" i="2" s="1"/>
  <c r="F47" i="2"/>
  <c r="F6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</author>
  </authors>
  <commentList>
    <comment ref="B14" authorId="0" shapeId="0" xr:uid="{99842918-D458-41ED-9D53-0199BC5F1723}">
      <text>
        <r>
          <rPr>
            <sz val="8"/>
            <color indexed="81"/>
            <rFont val="Tahoma"/>
            <family val="2"/>
          </rPr>
          <t>Pulled from Purchased Water and Sewer workbook (invoice data).</t>
        </r>
      </text>
    </comment>
    <comment ref="E14" authorId="0" shapeId="0" xr:uid="{F89C9B83-0083-4669-A48D-5CC73358D855}">
      <text>
        <r>
          <rPr>
            <sz val="8"/>
            <color indexed="81"/>
            <rFont val="Tahoma"/>
            <family val="2"/>
          </rPr>
          <t>Pulled from Purchased Water and Sewer workbook. (invoice details)</t>
        </r>
      </text>
    </comment>
    <comment ref="D15" authorId="0" shapeId="0" xr:uid="{3A9F5B30-E05F-4E2D-84DE-60BDA9E0D371}">
      <text>
        <r>
          <rPr>
            <sz val="8"/>
            <color indexed="81"/>
            <rFont val="Tahoma"/>
            <family val="2"/>
          </rPr>
          <t>Pulled from Purchased Water and Sewer worksheets (invoice details)</t>
        </r>
      </text>
    </comment>
    <comment ref="G15" authorId="0" shapeId="0" xr:uid="{27F7BC6D-6CAD-47EF-AFEA-D2A3E0584E33}">
      <text>
        <r>
          <rPr>
            <sz val="8"/>
            <color indexed="81"/>
            <rFont val="Tahoma"/>
            <family val="2"/>
          </rPr>
          <t>Pulled from Purchase Water-Sewer workbook.(invoice details)</t>
        </r>
      </text>
    </comment>
  </commentList>
</comments>
</file>

<file path=xl/sharedStrings.xml><?xml version="1.0" encoding="utf-8"?>
<sst xmlns="http://schemas.openxmlformats.org/spreadsheetml/2006/main" count="81" uniqueCount="43">
  <si>
    <t>252/414  (625) Summertree 2019
(Sewer Treatment by Pasco County)</t>
  </si>
  <si>
    <t>Hyperlinks!A1</t>
  </si>
  <si>
    <t>Sewer Treatment By Pasco County</t>
  </si>
  <si>
    <t>Pasco County Utilities Services Branch</t>
  </si>
  <si>
    <t>(Billing cycle for sewer purchased is the 22nd - 27th of the month</t>
  </si>
  <si>
    <t>Acct:  0080930</t>
  </si>
  <si>
    <t>following the 'service to date')</t>
  </si>
  <si>
    <t>Service Dates</t>
  </si>
  <si>
    <t>Meter Read</t>
  </si>
  <si>
    <t>Master L/S Totalizer Reads</t>
  </si>
  <si>
    <t>From</t>
  </si>
  <si>
    <t>To</t>
  </si>
  <si>
    <t>No. of Cons. Days</t>
  </si>
  <si>
    <t>Previous</t>
  </si>
  <si>
    <t xml:space="preserve">Current </t>
  </si>
  <si>
    <t>Gallons Used</t>
  </si>
  <si>
    <t>UIF Flow</t>
  </si>
  <si>
    <t>Start Read</t>
  </si>
  <si>
    <t>Total</t>
  </si>
  <si>
    <t>WW</t>
  </si>
  <si>
    <t>Billed</t>
  </si>
  <si>
    <t>Total RF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</si>
  <si>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</si>
  <si>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</si>
  <si>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</si>
  <si>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</si>
  <si>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</si>
  <si>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</si>
  <si>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</si>
  <si>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</si>
  <si>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</si>
  <si>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</si>
  <si>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</si>
  <si>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</t>
  </si>
  <si>
    <t>Summertree 2019Totalizer Reads/Flow</t>
  </si>
  <si>
    <t>Meter Reads</t>
  </si>
  <si>
    <t>Prev:</t>
  </si>
  <si>
    <t>Day</t>
  </si>
  <si>
    <t>Flow</t>
  </si>
  <si>
    <t>Date</t>
  </si>
  <si>
    <t>Read</t>
  </si>
  <si>
    <t>Usage</t>
  </si>
  <si>
    <t>Formated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</si>
</sst>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/dd/yy;@"/>
    <numFmt numFmtId="165" formatCode="0.0000"/>
    <numFmt numFmtId="166" formatCode="0.000"/>
  </numFmts>
  <fonts count="29">
    <font>
      <sz val="11"/>
      <color theme="1"/>
      <name val="Arial"/>
      <family val="2"/>
    </font>
    <font>
      <sz val="10"/>
      <name val="Geneva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Geneva"/>
      <family val="2"/>
    </font>
    <font>
      <u/>
      <sz val="10"/>
      <color theme="10"/>
      <name val="Arial"/>
      <family val="2"/>
    </font>
    <font>
      <b/>
      <sz val="8"/>
      <name val="Arial"/>
      <family val="2"/>
    </font>
    <font>
      <b/>
      <sz val="11"/>
      <color indexed="12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color theme="3" tint="-0.249977111117893"/>
      <name val="Arial"/>
      <family val="2"/>
    </font>
    <font>
      <sz val="11"/>
      <name val="Arial"/>
      <family val="2"/>
    </font>
    <font>
      <b/>
      <sz val="9"/>
      <color theme="3" tint="-0.249977111117893"/>
      <name val="Arial"/>
      <family val="2"/>
    </font>
    <font>
      <sz val="10"/>
      <color theme="1"/>
      <name val="Arial"/>
      <family val="2"/>
    </font>
    <font>
      <sz val="10"/>
      <color theme="3" tint="-0.249977111117893"/>
      <name val="Arial"/>
      <family val="2"/>
    </font>
    <font>
      <sz val="9"/>
      <color rgb="FFFF0000"/>
      <name val="Arial"/>
      <family val="2"/>
    </font>
    <font>
      <b/>
      <sz val="11"/>
      <color theme="3" tint="-0.249977111117893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12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10"/>
      <name val="Geneva"/>
    </font>
    <font>
      <b/>
      <sz val="10"/>
      <color theme="1"/>
      <name val="Arial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Protection="0"/>
    <xf numFmtId="0" fontId="5" fillId="0" borderId="0" applyProtection="0"/>
    <xf numFmtId="0" fontId="5" fillId="0" borderId="0" applyProtection="0"/>
  </cellStyleXfs>
  <cellXfs count="99">
    <xf numFmtId="0" fontId="0" fillId="0" borderId="0" xfId="0"/>
    <xf numFmtId="0" fontId="2" fillId="2" borderId="1" xfId="3" applyFont="1" applyFill="1" applyBorder="1" applyAlignment="1">
      <alignment horizontal="center" wrapText="1"/>
    </xf>
    <xf numFmtId="0" fontId="2" fillId="2" borderId="0" xfId="3" applyFont="1" applyFill="1" applyAlignment="1">
      <alignment horizontal="center" wrapText="1"/>
    </xf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0" xfId="4" applyFont="1"/>
    <xf numFmtId="0" fontId="2" fillId="0" borderId="0" xfId="3" applyFont="1" applyAlignment="1">
      <alignment horizontal="center"/>
    </xf>
    <xf numFmtId="0" fontId="4" fillId="0" borderId="0" xfId="4" applyFont="1" applyAlignment="1">
      <alignment horizontal="left"/>
    </xf>
    <xf numFmtId="0" fontId="6" fillId="0" borderId="0" xfId="2" applyAlignment="1" applyProtection="1"/>
    <xf numFmtId="0" fontId="7" fillId="0" borderId="0" xfId="4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5" xfId="5" applyFont="1" applyBorder="1" applyAlignment="1">
      <alignment horizontal="center"/>
    </xf>
    <xf numFmtId="0" fontId="11" fillId="0" borderId="7" xfId="5" applyFont="1" applyBorder="1" applyAlignment="1">
      <alignment horizontal="center"/>
    </xf>
    <xf numFmtId="0" fontId="11" fillId="0" borderId="6" xfId="5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1" fillId="0" borderId="0" xfId="5" applyFont="1" applyAlignment="1">
      <alignment horizontal="center"/>
    </xf>
    <xf numFmtId="0" fontId="13" fillId="0" borderId="8" xfId="5" applyFont="1" applyBorder="1" applyAlignment="1">
      <alignment horizontal="center"/>
    </xf>
    <xf numFmtId="0" fontId="13" fillId="0" borderId="5" xfId="5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7" fontId="4" fillId="0" borderId="9" xfId="4" applyNumberFormat="1" applyFont="1" applyBorder="1" applyAlignment="1">
      <alignment wrapText="1"/>
    </xf>
    <xf numFmtId="1" fontId="15" fillId="3" borderId="8" xfId="0" applyNumberFormat="1" applyFont="1" applyFill="1" applyBorder="1" applyAlignment="1">
      <alignment horizontal="center"/>
    </xf>
    <xf numFmtId="164" fontId="15" fillId="0" borderId="8" xfId="0" applyNumberFormat="1" applyFont="1" applyBorder="1" applyAlignment="1">
      <alignment horizontal="center"/>
    </xf>
    <xf numFmtId="165" fontId="15" fillId="3" borderId="8" xfId="0" applyNumberFormat="1" applyFont="1" applyFill="1" applyBorder="1" applyAlignment="1">
      <alignment horizontal="center"/>
    </xf>
    <xf numFmtId="0" fontId="16" fillId="3" borderId="8" xfId="0" applyFont="1" applyFill="1" applyBorder="1"/>
    <xf numFmtId="17" fontId="4" fillId="0" borderId="8" xfId="0" applyNumberFormat="1" applyFont="1" applyBorder="1" applyAlignment="1">
      <alignment wrapText="1"/>
    </xf>
    <xf numFmtId="164" fontId="17" fillId="3" borderId="8" xfId="5" applyNumberFormat="1" applyFont="1" applyFill="1" applyBorder="1" applyAlignment="1">
      <alignment horizontal="left"/>
    </xf>
    <xf numFmtId="1" fontId="4" fillId="0" borderId="8" xfId="6" applyNumberFormat="1" applyFont="1" applyBorder="1" applyAlignment="1">
      <alignment horizontal="center"/>
    </xf>
    <xf numFmtId="166" fontId="13" fillId="3" borderId="8" xfId="5" applyNumberFormat="1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17" fontId="10" fillId="0" borderId="8" xfId="0" applyNumberFormat="1" applyFont="1" applyBorder="1" applyAlignment="1">
      <alignment horizontal="left" wrapText="1"/>
    </xf>
    <xf numFmtId="1" fontId="15" fillId="0" borderId="8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1" fontId="4" fillId="0" borderId="8" xfId="5" applyNumberFormat="1" applyFont="1" applyBorder="1" applyAlignment="1">
      <alignment horizontal="center" wrapText="1"/>
    </xf>
    <xf numFmtId="2" fontId="15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19" fillId="0" borderId="0" xfId="0" applyFont="1"/>
    <xf numFmtId="1" fontId="4" fillId="0" borderId="8" xfId="5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2" fontId="16" fillId="0" borderId="10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0" fontId="0" fillId="0" borderId="2" xfId="0" applyBorder="1"/>
    <xf numFmtId="0" fontId="15" fillId="0" borderId="0" xfId="0" applyFont="1"/>
    <xf numFmtId="0" fontId="10" fillId="0" borderId="0" xfId="0" applyFont="1" applyAlignment="1">
      <alignment horizontal="right"/>
    </xf>
    <xf numFmtId="165" fontId="10" fillId="0" borderId="8" xfId="0" applyNumberFormat="1" applyFont="1" applyBorder="1" applyAlignment="1">
      <alignment horizontal="center"/>
    </xf>
    <xf numFmtId="165" fontId="22" fillId="0" borderId="8" xfId="0" applyNumberFormat="1" applyFont="1" applyBorder="1" applyAlignment="1">
      <alignment horizontal="center"/>
    </xf>
    <xf numFmtId="0" fontId="11" fillId="0" borderId="0" xfId="5" applyFont="1"/>
    <xf numFmtId="0" fontId="10" fillId="0" borderId="0" xfId="5" applyFont="1"/>
    <xf numFmtId="0" fontId="23" fillId="0" borderId="8" xfId="5" applyFont="1" applyBorder="1" applyAlignment="1">
      <alignment horizontal="right"/>
    </xf>
    <xf numFmtId="2" fontId="10" fillId="0" borderId="6" xfId="1" applyNumberFormat="1" applyFont="1" applyBorder="1" applyAlignment="1">
      <alignment horizontal="center"/>
    </xf>
    <xf numFmtId="2" fontId="22" fillId="0" borderId="8" xfId="0" applyNumberFormat="1" applyFont="1" applyBorder="1" applyAlignment="1">
      <alignment horizontal="center"/>
    </xf>
    <xf numFmtId="2" fontId="24" fillId="0" borderId="8" xfId="0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2" quotePrefix="1" applyAlignment="1" applyProtection="1"/>
    <xf numFmtId="0" fontId="11" fillId="0" borderId="0" xfId="0" applyFont="1"/>
    <xf numFmtId="0" fontId="26" fillId="0" borderId="0" xfId="0" applyFont="1" applyAlignment="1">
      <alignment horizontal="right"/>
    </xf>
    <xf numFmtId="0" fontId="26" fillId="0" borderId="0" xfId="0" applyFont="1"/>
    <xf numFmtId="0" fontId="10" fillId="2" borderId="8" xfId="0" applyFont="1" applyFill="1" applyBorder="1" applyAlignment="1">
      <alignment horizontal="center"/>
    </xf>
    <xf numFmtId="1" fontId="0" fillId="0" borderId="0" xfId="0" applyNumberFormat="1"/>
    <xf numFmtId="1" fontId="4" fillId="2" borderId="8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/>
    <xf numFmtId="0" fontId="10" fillId="4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6" fontId="10" fillId="4" borderId="8" xfId="0" applyNumberFormat="1" applyFont="1" applyFill="1" applyBorder="1" applyAlignment="1">
      <alignment horizontal="center"/>
    </xf>
    <xf numFmtId="166" fontId="10" fillId="0" borderId="8" xfId="0" applyNumberFormat="1" applyFont="1" applyBorder="1" applyAlignment="1">
      <alignment horizontal="center"/>
    </xf>
    <xf numFmtId="166" fontId="4" fillId="2" borderId="8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166" fontId="0" fillId="0" borderId="8" xfId="0" applyNumberFormat="1" applyBorder="1"/>
    <xf numFmtId="0" fontId="0" fillId="0" borderId="8" xfId="0" applyBorder="1"/>
    <xf numFmtId="1" fontId="0" fillId="0" borderId="8" xfId="0" applyNumberFormat="1" applyBorder="1"/>
    <xf numFmtId="0" fontId="0" fillId="0" borderId="15" xfId="0" applyBorder="1"/>
    <xf numFmtId="1" fontId="0" fillId="0" borderId="16" xfId="0" applyNumberFormat="1" applyBorder="1"/>
    <xf numFmtId="1" fontId="28" fillId="0" borderId="16" xfId="0" applyNumberFormat="1" applyFont="1" applyBorder="1"/>
    <xf numFmtId="166" fontId="0" fillId="0" borderId="17" xfId="0" applyNumberFormat="1" applyBorder="1"/>
  </cellXfs>
  <cellStyles count="7">
    <cellStyle name="Comma" xfId="1" builtinId="3"/>
    <cellStyle name="Hyperlink" xfId="2" builtinId="8"/>
    <cellStyle name="Normal" xfId="0" builtinId="0"/>
    <cellStyle name="Normal_Sheet9" xfId="4" xr:uid="{ADDC4155-197B-42E0-B6EF-C3F0924B29FB}"/>
    <cellStyle name="Normal_WisBar - BV Manor" xfId="5" xr:uid="{52F43DD5-0ABE-4305-8B06-97A39077B7A2}"/>
    <cellStyle name="Normal_WisBar Totalizer Rdgs" xfId="6" xr:uid="{C7558AB0-2AA7-4421-87E6-5FCDE24E1D8E}"/>
    <cellStyle name="Normal_WW Plant Capacities" xfId="3" xr:uid="{051B7601-A161-468F-BC9B-0A81049B90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22BFF-BC92-4A46-B413-C15CCDB98AA7}">
  <sheetPr>
    <tabColor rgb="FF92D050"/>
  </sheetPr>
  <dimension ref="A1:V29"/>
  <sheetViews>
    <sheetView tabSelected="1" zoomScaleNormal="100" workbookViewId="0">
      <selection activeCell="B37" sqref="B37"/>
    </sheetView>
  </sheetViews>
  <sheetFormatPr defaultRowHeight="14.25"/>
  <cols>
    <col min="1" max="1" width="14.25" customWidth="1"/>
    <col min="2" max="2" width="10.875" customWidth="1"/>
    <col min="3" max="3" width="10.625" customWidth="1"/>
    <col min="4" max="4" width="10" customWidth="1"/>
    <col min="5" max="5" width="9.875" customWidth="1"/>
    <col min="6" max="6" width="10.125" customWidth="1"/>
    <col min="7" max="7" width="9.25" customWidth="1"/>
    <col min="8" max="8" width="8.75" customWidth="1"/>
    <col min="11" max="11" width="13.625" customWidth="1"/>
    <col min="12" max="12" width="11.75" customWidth="1"/>
    <col min="13" max="13" width="8.625" customWidth="1"/>
    <col min="14" max="14" width="6.125" customWidth="1"/>
    <col min="15" max="15" width="8.375" customWidth="1"/>
  </cols>
  <sheetData>
    <row r="1" spans="1:16" ht="30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16">
      <c r="A2" s="3"/>
      <c r="B2" s="4"/>
      <c r="C2" s="5"/>
      <c r="D2" s="5"/>
      <c r="E2" s="5"/>
      <c r="F2" s="5"/>
      <c r="G2" s="5"/>
    </row>
    <row r="3" spans="1:16" ht="15.75" hidden="1">
      <c r="A3" s="6"/>
      <c r="B3" s="6"/>
      <c r="C3" s="6"/>
      <c r="D3" s="6"/>
      <c r="E3" s="6"/>
      <c r="F3" s="5"/>
      <c r="G3" s="5"/>
    </row>
    <row r="4" spans="1:16" hidden="1">
      <c r="A4" s="3"/>
      <c r="B4" s="5"/>
      <c r="C4" s="5"/>
      <c r="D4" s="5"/>
      <c r="E4" s="5"/>
      <c r="F4" s="5"/>
      <c r="G4" s="5"/>
    </row>
    <row r="5" spans="1:16">
      <c r="A5" s="3"/>
      <c r="B5" s="5"/>
      <c r="C5" s="5"/>
      <c r="D5" s="7"/>
      <c r="E5" s="5"/>
      <c r="F5" s="5"/>
      <c r="G5" s="5"/>
      <c r="H5" s="8" t="s">
        <v>1</v>
      </c>
    </row>
    <row r="6" spans="1:16">
      <c r="A6" s="5"/>
      <c r="B6" s="5"/>
      <c r="C6" s="5"/>
      <c r="D6" s="5"/>
      <c r="F6" s="9"/>
      <c r="G6" s="5"/>
    </row>
    <row r="10" spans="1:16" ht="15">
      <c r="A10" s="10" t="s">
        <v>2</v>
      </c>
      <c r="B10" s="11"/>
      <c r="C10" s="11"/>
      <c r="D10" s="11"/>
      <c r="E10" s="11"/>
      <c r="F10" s="11"/>
      <c r="G10" s="11"/>
    </row>
    <row r="11" spans="1:16">
      <c r="A11" s="12" t="s">
        <v>3</v>
      </c>
      <c r="B11" s="13"/>
      <c r="C11" s="13"/>
      <c r="D11" s="13"/>
      <c r="E11" s="14" t="s">
        <v>4</v>
      </c>
      <c r="F11" s="13"/>
      <c r="G11" s="13"/>
      <c r="H11" s="13"/>
    </row>
    <row r="12" spans="1:16">
      <c r="A12" s="12" t="s">
        <v>5</v>
      </c>
      <c r="B12" s="13"/>
      <c r="C12" s="13"/>
      <c r="D12" s="13"/>
      <c r="E12" s="15" t="s">
        <v>6</v>
      </c>
      <c r="F12" s="13"/>
      <c r="G12" s="13"/>
      <c r="H12" s="13"/>
    </row>
    <row r="13" spans="1:16">
      <c r="A13" s="12"/>
      <c r="B13" s="13"/>
      <c r="C13" s="13"/>
      <c r="D13" s="13"/>
      <c r="E13" s="13"/>
      <c r="F13" s="13"/>
      <c r="G13" s="13"/>
      <c r="H13" s="13"/>
    </row>
    <row r="14" spans="1:16" ht="15">
      <c r="A14" s="12"/>
      <c r="B14" s="16" t="s">
        <v>7</v>
      </c>
      <c r="C14" s="17"/>
      <c r="D14" s="13"/>
      <c r="E14" s="18" t="s">
        <v>8</v>
      </c>
      <c r="F14" s="19"/>
      <c r="G14" s="13"/>
      <c r="H14" s="13"/>
      <c r="L14" s="20" t="s">
        <v>9</v>
      </c>
      <c r="M14" s="21"/>
      <c r="N14" s="22"/>
    </row>
    <row r="15" spans="1:16" ht="26.25">
      <c r="A15" s="23"/>
      <c r="B15" s="24" t="s">
        <v>10</v>
      </c>
      <c r="C15" s="24" t="s">
        <v>11</v>
      </c>
      <c r="D15" s="24" t="s">
        <v>12</v>
      </c>
      <c r="E15" s="24" t="s">
        <v>13</v>
      </c>
      <c r="F15" s="24" t="s">
        <v>14</v>
      </c>
      <c r="G15" s="24" t="s">
        <v>15</v>
      </c>
      <c r="H15" s="25" t="s">
        <v>16</v>
      </c>
      <c r="K15" s="26"/>
      <c r="L15" s="27" t="s">
        <v>17</v>
      </c>
      <c r="M15" s="27" t="s">
        <v>11</v>
      </c>
      <c r="N15" s="28" t="s">
        <v>18</v>
      </c>
      <c r="O15" s="29" t="s">
        <v>19</v>
      </c>
    </row>
    <row r="16" spans="1:16" ht="15">
      <c r="A16" s="30">
        <v>43800</v>
      </c>
      <c r="B16" s="31"/>
      <c r="C16" s="32">
        <v>43462</v>
      </c>
      <c r="D16" s="31"/>
      <c r="E16" s="31"/>
      <c r="F16" s="31"/>
      <c r="G16" s="33"/>
      <c r="H16" s="34"/>
      <c r="K16" s="35">
        <v>43800</v>
      </c>
      <c r="L16" s="36"/>
      <c r="M16" s="37">
        <v>160091</v>
      </c>
      <c r="N16" s="38"/>
      <c r="O16" s="39" t="s">
        <v>20</v>
      </c>
      <c r="P16" s="24" t="s">
        <v>21</v>
      </c>
    </row>
    <row r="17" spans="1:22">
      <c r="A17" s="40">
        <v>43466</v>
      </c>
      <c r="B17" s="32">
        <v>43462</v>
      </c>
      <c r="C17" s="32">
        <v>43494</v>
      </c>
      <c r="D17" s="41">
        <v>32</v>
      </c>
      <c r="E17" s="41">
        <v>159762</v>
      </c>
      <c r="F17" s="41">
        <v>163232</v>
      </c>
      <c r="G17" s="42">
        <f>3470/1000</f>
        <v>3.47</v>
      </c>
      <c r="H17" s="43">
        <f>SUM('Summertree Flow Summary'!AF8-'Summertree Flow Summary'!C6)/1000</f>
        <v>3.3690000000000002</v>
      </c>
      <c r="K17" s="40">
        <v>43466</v>
      </c>
      <c r="L17" s="44">
        <f t="shared" ref="L17:L28" si="0">M16</f>
        <v>160091</v>
      </c>
      <c r="M17" s="37">
        <f>'Summertree Flow Summary'!AD8</f>
        <v>163202</v>
      </c>
      <c r="N17" s="45">
        <f t="shared" ref="N17:N28" si="1">(M17-L17)/1000</f>
        <v>3.1110000000000002</v>
      </c>
      <c r="O17" s="43">
        <f>0.0107+2.76835</f>
        <v>2.7790499999999998</v>
      </c>
      <c r="P17" s="45">
        <v>11.8</v>
      </c>
    </row>
    <row r="18" spans="1:22" ht="15">
      <c r="A18" s="46" t="s">
        <v>22</v>
      </c>
      <c r="B18" s="32">
        <f>C17</f>
        <v>43494</v>
      </c>
      <c r="C18" s="32">
        <v>43524</v>
      </c>
      <c r="D18" s="41">
        <v>30</v>
      </c>
      <c r="E18" s="41">
        <f>F17</f>
        <v>163232</v>
      </c>
      <c r="F18" s="41">
        <v>166459</v>
      </c>
      <c r="G18" s="42">
        <f>3227/1000</f>
        <v>3.2269999999999999</v>
      </c>
      <c r="H18" s="43">
        <f>('Summertree Flow Summary'!AC9-'Summertree Flow Summary'!AD8)/1000</f>
        <v>3.13</v>
      </c>
      <c r="K18" s="46" t="s">
        <v>22</v>
      </c>
      <c r="L18" s="44">
        <f t="shared" si="0"/>
        <v>163202</v>
      </c>
      <c r="M18" s="44">
        <f>'Summertree Flow Summary'!AC9</f>
        <v>166332</v>
      </c>
      <c r="N18" s="45">
        <f t="shared" si="1"/>
        <v>3.13</v>
      </c>
      <c r="O18" s="43">
        <v>2.9303080000000001</v>
      </c>
      <c r="P18" s="45">
        <v>1.1000000000000001</v>
      </c>
      <c r="S18" s="47"/>
      <c r="T18" s="47"/>
      <c r="U18" s="47"/>
      <c r="V18" s="47"/>
    </row>
    <row r="19" spans="1:22" ht="15">
      <c r="A19" s="46" t="s">
        <v>23</v>
      </c>
      <c r="B19" s="32">
        <f t="shared" ref="B19:B28" si="2">C18</f>
        <v>43524</v>
      </c>
      <c r="C19" s="32">
        <v>43553</v>
      </c>
      <c r="D19" s="41">
        <v>29</v>
      </c>
      <c r="E19" s="41">
        <f t="shared" ref="E19:E28" si="3">F18</f>
        <v>166459</v>
      </c>
      <c r="F19" s="41">
        <v>169354</v>
      </c>
      <c r="G19" s="42">
        <f>2895000/1000000</f>
        <v>2.895</v>
      </c>
      <c r="H19" s="43">
        <f>SUM('Summertree Flow Summary'!AD10-'Summertree Flow Summary'!AC9)/1000</f>
        <v>3.113</v>
      </c>
      <c r="K19" s="46" t="s">
        <v>23</v>
      </c>
      <c r="L19" s="48">
        <f t="shared" si="0"/>
        <v>166332</v>
      </c>
      <c r="M19" s="48">
        <f>'Summertree Flow Summary'!AD10</f>
        <v>169445</v>
      </c>
      <c r="N19" s="45">
        <f t="shared" si="1"/>
        <v>3.113</v>
      </c>
      <c r="O19" s="43">
        <f>2.53406+0.00296</f>
        <v>2.5370200000000001</v>
      </c>
      <c r="P19" s="45">
        <v>0.8</v>
      </c>
      <c r="S19" s="47"/>
      <c r="T19" s="47"/>
      <c r="U19" s="47"/>
      <c r="V19" s="47"/>
    </row>
    <row r="20" spans="1:22" ht="15">
      <c r="A20" s="46" t="s">
        <v>24</v>
      </c>
      <c r="B20" s="32">
        <f t="shared" si="2"/>
        <v>43553</v>
      </c>
      <c r="C20" s="32">
        <v>43584</v>
      </c>
      <c r="D20" s="41">
        <v>31</v>
      </c>
      <c r="E20" s="41">
        <f t="shared" si="3"/>
        <v>169354</v>
      </c>
      <c r="F20" s="41">
        <v>172407</v>
      </c>
      <c r="G20" s="49">
        <f>3053000/1000000</f>
        <v>3.0529999999999999</v>
      </c>
      <c r="H20" s="43">
        <f>SUM('Summertree Flow Summary'!AD11-'Summertree Flow Summary'!AD10)/1000</f>
        <v>2.9750000000000001</v>
      </c>
      <c r="K20" s="46" t="s">
        <v>24</v>
      </c>
      <c r="L20" s="48">
        <f t="shared" si="0"/>
        <v>169445</v>
      </c>
      <c r="M20" s="48">
        <f>'Summertree Flow Summary'!AD11</f>
        <v>172420</v>
      </c>
      <c r="N20" s="45">
        <f t="shared" si="1"/>
        <v>2.9750000000000001</v>
      </c>
      <c r="O20" s="43">
        <v>2.5497899999999998</v>
      </c>
      <c r="P20" s="45">
        <v>4.0999999999999996</v>
      </c>
      <c r="S20" s="47"/>
      <c r="T20" s="47"/>
      <c r="U20" s="47"/>
      <c r="V20" s="47"/>
    </row>
    <row r="21" spans="1:22" ht="15">
      <c r="A21" s="46" t="s">
        <v>25</v>
      </c>
      <c r="B21" s="32">
        <f t="shared" si="2"/>
        <v>43584</v>
      </c>
      <c r="C21" s="32">
        <v>43616</v>
      </c>
      <c r="D21" s="41">
        <v>32</v>
      </c>
      <c r="E21" s="41">
        <f t="shared" si="3"/>
        <v>172407</v>
      </c>
      <c r="F21" s="41">
        <v>175135</v>
      </c>
      <c r="G21" s="42">
        <f>2728000/1000000</f>
        <v>2.7280000000000002</v>
      </c>
      <c r="H21" s="43">
        <f>SUM('Summertree Flow Summary'!AF12-'Summertree Flow Summary'!AD11)/1000</f>
        <v>2.66</v>
      </c>
      <c r="K21" s="46" t="s">
        <v>25</v>
      </c>
      <c r="L21" s="48">
        <f t="shared" si="0"/>
        <v>172420</v>
      </c>
      <c r="M21" s="37">
        <f>'Summertree Flow Summary'!AF12</f>
        <v>175080</v>
      </c>
      <c r="N21" s="45">
        <f t="shared" si="1"/>
        <v>2.66</v>
      </c>
      <c r="O21" s="43">
        <f>0.01+2.21001</f>
        <v>2.2200099999999998</v>
      </c>
      <c r="P21" s="50">
        <v>4.3</v>
      </c>
      <c r="S21" s="47"/>
      <c r="T21" s="51"/>
      <c r="U21" s="51"/>
      <c r="V21" s="51"/>
    </row>
    <row r="22" spans="1:22" ht="15">
      <c r="A22" s="46" t="s">
        <v>26</v>
      </c>
      <c r="B22" s="32">
        <f t="shared" si="2"/>
        <v>43616</v>
      </c>
      <c r="C22" s="32">
        <v>43644</v>
      </c>
      <c r="D22" s="41">
        <v>28</v>
      </c>
      <c r="E22" s="41">
        <f t="shared" si="3"/>
        <v>175135</v>
      </c>
      <c r="F22" s="41">
        <v>177839</v>
      </c>
      <c r="G22" s="42">
        <f>2704000/1000000</f>
        <v>2.7040000000000002</v>
      </c>
      <c r="H22" s="43">
        <f>SUM('Summertree Flow Summary'!AC13-'Summertree Flow Summary'!AF12)/1000</f>
        <v>2.7519999999999998</v>
      </c>
      <c r="K22" s="46" t="s">
        <v>26</v>
      </c>
      <c r="L22" s="48">
        <f t="shared" si="0"/>
        <v>175080</v>
      </c>
      <c r="M22" s="48">
        <f>'Summertree Flow Summary'!AD13</f>
        <v>177898</v>
      </c>
      <c r="N22" s="45">
        <f t="shared" si="1"/>
        <v>2.8180000000000001</v>
      </c>
      <c r="O22" s="43">
        <f>0.00014+2.32525</f>
        <v>2.3253900000000001</v>
      </c>
      <c r="P22" s="45">
        <v>10.3</v>
      </c>
      <c r="S22" s="47"/>
      <c r="T22" s="47"/>
      <c r="U22" s="52"/>
      <c r="V22" s="52"/>
    </row>
    <row r="23" spans="1:22" ht="15">
      <c r="A23" s="46" t="s">
        <v>27</v>
      </c>
      <c r="B23" s="32">
        <f t="shared" si="2"/>
        <v>43644</v>
      </c>
      <c r="C23" s="32">
        <v>43676</v>
      </c>
      <c r="D23" s="41">
        <v>32</v>
      </c>
      <c r="E23" s="41">
        <f t="shared" si="3"/>
        <v>177839</v>
      </c>
      <c r="F23" s="41">
        <v>180435</v>
      </c>
      <c r="G23" s="42">
        <f>2596000/1000000</f>
        <v>2.5960000000000001</v>
      </c>
      <c r="H23" s="43">
        <f>SUM('Summertree Flow Summary'!AE14-'Summertree Flow Summary'!AC13)/1000</f>
        <v>2.61</v>
      </c>
      <c r="K23" s="46" t="s">
        <v>27</v>
      </c>
      <c r="L23" s="48">
        <f t="shared" si="0"/>
        <v>177898</v>
      </c>
      <c r="M23" s="48">
        <f>'Summertree Flow Summary'!AE14</f>
        <v>180442</v>
      </c>
      <c r="N23" s="45">
        <f t="shared" si="1"/>
        <v>2.544</v>
      </c>
      <c r="O23" s="43">
        <f>0.05395+1.96852</f>
        <v>2.0224700000000002</v>
      </c>
      <c r="P23" s="45">
        <v>10.5</v>
      </c>
      <c r="S23" s="51"/>
      <c r="T23" s="47"/>
      <c r="U23" s="47"/>
      <c r="V23" s="47"/>
    </row>
    <row r="24" spans="1:22">
      <c r="A24" s="46" t="s">
        <v>28</v>
      </c>
      <c r="B24" s="32">
        <f t="shared" si="2"/>
        <v>43676</v>
      </c>
      <c r="C24" s="32">
        <v>43707</v>
      </c>
      <c r="D24" s="41">
        <v>31</v>
      </c>
      <c r="E24" s="41">
        <f t="shared" si="3"/>
        <v>180435</v>
      </c>
      <c r="F24" s="41">
        <v>183818</v>
      </c>
      <c r="G24" s="42">
        <f>3383000/1000000</f>
        <v>3.383</v>
      </c>
      <c r="H24" s="43">
        <f>SUM('Summertree Flow Summary'!AE15-'Summertree Flow Summary'!AE14)/1000</f>
        <v>2.5819999999999999</v>
      </c>
      <c r="K24" s="46" t="s">
        <v>28</v>
      </c>
      <c r="L24" s="48">
        <f t="shared" si="0"/>
        <v>180442</v>
      </c>
      <c r="M24" s="48">
        <f>'Summertree Flow Summary'!AF15</f>
        <v>183173</v>
      </c>
      <c r="N24" s="45">
        <f t="shared" si="1"/>
        <v>2.7309999999999999</v>
      </c>
      <c r="O24" s="43">
        <f>1.933888</f>
        <v>1.9338880000000001</v>
      </c>
      <c r="P24" s="45">
        <v>15.8</v>
      </c>
    </row>
    <row r="25" spans="1:22">
      <c r="A25" s="46" t="s">
        <v>29</v>
      </c>
      <c r="B25" s="32">
        <f t="shared" si="2"/>
        <v>43707</v>
      </c>
      <c r="C25" s="32">
        <v>43738</v>
      </c>
      <c r="D25" s="41">
        <v>31</v>
      </c>
      <c r="E25" s="41">
        <f t="shared" si="3"/>
        <v>183818</v>
      </c>
      <c r="F25" s="41">
        <v>186819</v>
      </c>
      <c r="G25" s="42">
        <f>3001000/1000000</f>
        <v>3.0009999999999999</v>
      </c>
      <c r="H25" s="43">
        <f>('Summertree Flow Summary'!AE16-'Summertree Flow Summary'!AE15)/1000</f>
        <v>3.8130000000000002</v>
      </c>
      <c r="K25" s="46" t="s">
        <v>29</v>
      </c>
      <c r="L25" s="48">
        <f t="shared" si="0"/>
        <v>183173</v>
      </c>
      <c r="M25" s="48">
        <f>'Summertree Flow Summary'!AE16</f>
        <v>186837</v>
      </c>
      <c r="N25" s="45">
        <f t="shared" si="1"/>
        <v>3.6640000000000001</v>
      </c>
      <c r="O25" s="43">
        <f>1.93425</f>
        <v>1.93425</v>
      </c>
      <c r="P25" s="45">
        <v>1.8</v>
      </c>
    </row>
    <row r="26" spans="1:22">
      <c r="A26" s="46" t="s">
        <v>30</v>
      </c>
      <c r="B26" s="32">
        <f t="shared" si="2"/>
        <v>43738</v>
      </c>
      <c r="C26" s="32">
        <v>43768</v>
      </c>
      <c r="D26" s="41">
        <v>30</v>
      </c>
      <c r="E26" s="41">
        <f t="shared" si="3"/>
        <v>186819</v>
      </c>
      <c r="F26" s="41">
        <v>189707</v>
      </c>
      <c r="G26" s="42">
        <f>2888000/1000000</f>
        <v>2.8879999999999999</v>
      </c>
      <c r="H26" s="43">
        <f>SUM('Summertree Flow Summary'!B33:AE33,'Summertree Flow Summary'!AE32)</f>
        <v>2.8540000000000001</v>
      </c>
      <c r="K26" s="46" t="s">
        <v>30</v>
      </c>
      <c r="L26" s="48">
        <f t="shared" si="0"/>
        <v>186837</v>
      </c>
      <c r="M26" s="48">
        <f>'Summertree Flow Summary'!AF17</f>
        <v>189705</v>
      </c>
      <c r="N26" s="45">
        <f t="shared" si="1"/>
        <v>2.8679999999999999</v>
      </c>
      <c r="O26" s="53">
        <f>2.251851+0.06069</f>
        <v>2.312541</v>
      </c>
      <c r="P26" s="45">
        <v>8.9</v>
      </c>
    </row>
    <row r="27" spans="1:22">
      <c r="A27" s="46" t="s">
        <v>31</v>
      </c>
      <c r="B27" s="32">
        <f t="shared" si="2"/>
        <v>43768</v>
      </c>
      <c r="C27" s="32">
        <v>43796</v>
      </c>
      <c r="D27" s="41">
        <v>28</v>
      </c>
      <c r="E27" s="41">
        <f t="shared" si="3"/>
        <v>189707</v>
      </c>
      <c r="F27" s="41">
        <v>192253</v>
      </c>
      <c r="G27" s="42">
        <f>2546000/1000000</f>
        <v>2.5459999999999998</v>
      </c>
      <c r="H27" s="43">
        <f>SUM('Summertree Flow Summary'!B34:AB34)</f>
        <v>2.5510000000000006</v>
      </c>
      <c r="K27" s="46" t="s">
        <v>31</v>
      </c>
      <c r="L27" s="54">
        <f t="shared" si="0"/>
        <v>189705</v>
      </c>
      <c r="M27" s="48">
        <f>'Summertree Flow Summary'!AE18</f>
        <v>192502</v>
      </c>
      <c r="N27" s="45">
        <f t="shared" si="1"/>
        <v>2.7970000000000002</v>
      </c>
      <c r="O27" s="43">
        <f>2.29298+0.03492</f>
        <v>2.3279000000000001</v>
      </c>
      <c r="P27" s="45">
        <v>2.4</v>
      </c>
    </row>
    <row r="28" spans="1:22">
      <c r="A28" s="55" t="s">
        <v>32</v>
      </c>
      <c r="B28" s="32">
        <f t="shared" si="2"/>
        <v>43796</v>
      </c>
      <c r="C28" s="32">
        <v>43826</v>
      </c>
      <c r="D28" s="41">
        <v>30</v>
      </c>
      <c r="E28" s="41">
        <f t="shared" si="3"/>
        <v>192253</v>
      </c>
      <c r="F28" s="41">
        <v>195161</v>
      </c>
      <c r="G28" s="42">
        <f>2869000/1000000</f>
        <v>2.8690000000000002</v>
      </c>
      <c r="H28" s="43">
        <f>SUM('Summertree Flow Summary'!AC34:AE34,'Summertree Flow Summary'!B35:AB35)</f>
        <v>2.8960000000000004</v>
      </c>
      <c r="K28" s="55" t="s">
        <v>32</v>
      </c>
      <c r="L28" s="54">
        <f t="shared" si="0"/>
        <v>192502</v>
      </c>
      <c r="M28" s="48">
        <f>'Summertree Flow Summary'!AF19</f>
        <v>195578</v>
      </c>
      <c r="N28" s="45">
        <f t="shared" si="1"/>
        <v>3.0760000000000001</v>
      </c>
      <c r="O28" s="43">
        <f>2.2395</f>
        <v>2.2395</v>
      </c>
      <c r="P28" s="45">
        <v>4.5</v>
      </c>
    </row>
    <row r="29" spans="1:22" ht="15">
      <c r="A29" s="56"/>
      <c r="B29" s="57"/>
      <c r="C29" s="57"/>
      <c r="D29" s="57"/>
      <c r="E29" s="57"/>
      <c r="F29" s="58" t="s">
        <v>18</v>
      </c>
      <c r="G29" s="59">
        <f>SUM(G17:G28)</f>
        <v>35.36</v>
      </c>
      <c r="H29" s="60">
        <f>SUM(H17:H28)</f>
        <v>35.305</v>
      </c>
      <c r="K29" s="61"/>
      <c r="L29" s="62"/>
      <c r="M29" s="63" t="s">
        <v>33</v>
      </c>
      <c r="N29" s="64">
        <f>SUM(N17:N28)</f>
        <v>35.487000000000002</v>
      </c>
      <c r="O29" s="65">
        <f>SUM(O17:O28)</f>
        <v>28.112116999999998</v>
      </c>
      <c r="P29" s="66">
        <f>SUM(P17:P28)</f>
        <v>76.300000000000011</v>
      </c>
    </row>
  </sheetData>
  <mergeCells count="6">
    <mergeCell ref="A1:H1"/>
    <mergeCell ref="A3:E3"/>
    <mergeCell ref="A10:G10"/>
    <mergeCell ref="B14:C14"/>
    <mergeCell ref="E14:F14"/>
    <mergeCell ref="L14:N14"/>
  </mergeCells>
  <hyperlinks>
    <hyperlink ref="H5" location="Hyperlinks!A1" display="Hyperlinks!A1" xr:uid="{8702A3BD-FF94-466D-8AF2-9B345AA08C8C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134AC-523B-43E5-B138-89C9753B4B8E}">
  <sheetPr>
    <tabColor rgb="FF92D050"/>
  </sheetPr>
  <dimension ref="A1:AJ70"/>
  <sheetViews>
    <sheetView zoomScale="90" zoomScaleNormal="90" workbookViewId="0">
      <selection activeCell="B37" sqref="B37"/>
    </sheetView>
  </sheetViews>
  <sheetFormatPr defaultRowHeight="14.25"/>
  <cols>
    <col min="1" max="1" width="11.625" customWidth="1"/>
    <col min="2" max="5" width="7.625" customWidth="1"/>
    <col min="6" max="6" width="8.75" bestFit="1" customWidth="1"/>
    <col min="7" max="32" width="7.625" customWidth="1"/>
    <col min="33" max="33" width="1.125" customWidth="1"/>
    <col min="34" max="34" width="8.125" bestFit="1" customWidth="1"/>
    <col min="35" max="36" width="8.25" customWidth="1"/>
  </cols>
  <sheetData>
    <row r="1" spans="1:36" ht="15.75">
      <c r="A1" s="67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13"/>
      <c r="AH1" s="13"/>
      <c r="AI1" s="13"/>
      <c r="AJ1" s="13"/>
    </row>
    <row r="2" spans="1:36" ht="15">
      <c r="A2" s="69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13"/>
      <c r="AH2" s="13"/>
      <c r="AI2" s="13"/>
      <c r="AJ2" s="13"/>
    </row>
    <row r="3" spans="1:36">
      <c r="A3" s="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13"/>
      <c r="AH3" s="13"/>
      <c r="AI3" s="13"/>
      <c r="AJ3" s="13"/>
    </row>
    <row r="4" spans="1:36">
      <c r="A4" s="70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13"/>
      <c r="AH4" s="13"/>
      <c r="AI4" s="13"/>
      <c r="AJ4" s="13"/>
    </row>
    <row r="5" spans="1:36">
      <c r="A5" s="70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13"/>
      <c r="AH5" s="13"/>
      <c r="AI5" s="13"/>
      <c r="AJ5" s="13"/>
    </row>
    <row r="6" spans="1:36" ht="15">
      <c r="A6" s="71" t="s">
        <v>35</v>
      </c>
      <c r="B6" s="72" t="s">
        <v>36</v>
      </c>
      <c r="C6" s="73">
        <v>160091</v>
      </c>
    </row>
    <row r="7" spans="1:36">
      <c r="A7" s="74" t="s">
        <v>37</v>
      </c>
      <c r="B7" s="74">
        <v>1</v>
      </c>
      <c r="C7" s="74">
        <v>2</v>
      </c>
      <c r="D7" s="74">
        <v>3</v>
      </c>
      <c r="E7" s="74">
        <v>4</v>
      </c>
      <c r="F7" s="74">
        <v>5</v>
      </c>
      <c r="G7" s="74">
        <v>6</v>
      </c>
      <c r="H7" s="74">
        <v>7</v>
      </c>
      <c r="I7" s="74">
        <v>8</v>
      </c>
      <c r="J7" s="74">
        <v>9</v>
      </c>
      <c r="K7" s="74">
        <v>10</v>
      </c>
      <c r="L7" s="74">
        <v>11</v>
      </c>
      <c r="M7" s="74">
        <v>12</v>
      </c>
      <c r="N7" s="74">
        <v>13</v>
      </c>
      <c r="O7" s="74">
        <v>14</v>
      </c>
      <c r="P7" s="74">
        <v>15</v>
      </c>
      <c r="Q7" s="74">
        <v>16</v>
      </c>
      <c r="R7" s="74">
        <v>17</v>
      </c>
      <c r="S7" s="74">
        <v>18</v>
      </c>
      <c r="T7" s="74">
        <v>19</v>
      </c>
      <c r="U7" s="74">
        <v>20</v>
      </c>
      <c r="V7" s="74">
        <v>21</v>
      </c>
      <c r="W7" s="74">
        <v>22</v>
      </c>
      <c r="X7" s="74">
        <v>23</v>
      </c>
      <c r="Y7" s="74">
        <v>24</v>
      </c>
      <c r="Z7" s="74">
        <v>25</v>
      </c>
      <c r="AA7" s="74">
        <v>26</v>
      </c>
      <c r="AB7" s="74">
        <v>27</v>
      </c>
      <c r="AC7" s="74">
        <v>28</v>
      </c>
      <c r="AD7" s="74">
        <v>29</v>
      </c>
      <c r="AE7" s="74">
        <v>30</v>
      </c>
      <c r="AF7" s="74">
        <v>31</v>
      </c>
    </row>
    <row r="8" spans="1:36">
      <c r="A8" s="40">
        <v>43466</v>
      </c>
      <c r="B8" s="54">
        <v>160196</v>
      </c>
      <c r="C8" s="54">
        <v>160292</v>
      </c>
      <c r="D8" s="54">
        <v>160393</v>
      </c>
      <c r="E8" s="54">
        <v>160619</v>
      </c>
      <c r="F8" s="54">
        <v>160730</v>
      </c>
      <c r="G8" s="54"/>
      <c r="H8" s="54">
        <v>160785</v>
      </c>
      <c r="I8" s="54">
        <v>160947</v>
      </c>
      <c r="J8" s="54">
        <v>160993</v>
      </c>
      <c r="K8" s="54">
        <v>161133</v>
      </c>
      <c r="L8" s="54">
        <v>161207</v>
      </c>
      <c r="M8" s="54">
        <v>161333</v>
      </c>
      <c r="N8" s="54"/>
      <c r="O8" s="54">
        <v>161611</v>
      </c>
      <c r="P8" s="54">
        <v>161644</v>
      </c>
      <c r="Q8" s="54">
        <v>161736</v>
      </c>
      <c r="R8" s="54">
        <v>161827</v>
      </c>
      <c r="S8" s="54">
        <v>161892</v>
      </c>
      <c r="T8" s="54">
        <v>162034</v>
      </c>
      <c r="U8" s="54"/>
      <c r="V8" s="54">
        <v>162272</v>
      </c>
      <c r="W8" s="54">
        <v>162370</v>
      </c>
      <c r="X8" s="54">
        <v>162480</v>
      </c>
      <c r="Y8" s="54">
        <v>162602</v>
      </c>
      <c r="Z8" s="54">
        <v>162702</v>
      </c>
      <c r="AA8" s="54">
        <v>162834</v>
      </c>
      <c r="AB8" s="54"/>
      <c r="AC8" s="54">
        <v>163097</v>
      </c>
      <c r="AD8" s="54">
        <v>163202</v>
      </c>
      <c r="AE8" s="54">
        <v>163352</v>
      </c>
      <c r="AF8" s="54">
        <v>163460</v>
      </c>
      <c r="AH8" s="75"/>
    </row>
    <row r="9" spans="1:36">
      <c r="A9" s="55" t="s">
        <v>22</v>
      </c>
      <c r="B9" s="54">
        <v>163460</v>
      </c>
      <c r="C9" s="54">
        <v>163581</v>
      </c>
      <c r="D9" s="54">
        <v>163720</v>
      </c>
      <c r="E9" s="54"/>
      <c r="F9" s="54">
        <v>163925</v>
      </c>
      <c r="G9" s="54">
        <v>164040</v>
      </c>
      <c r="H9" s="54">
        <v>164131</v>
      </c>
      <c r="I9" s="54">
        <v>164241</v>
      </c>
      <c r="J9" s="54">
        <v>164315</v>
      </c>
      <c r="K9" s="54">
        <v>164464</v>
      </c>
      <c r="L9" s="54"/>
      <c r="M9" s="54">
        <v>164672</v>
      </c>
      <c r="N9" s="54">
        <v>164765</v>
      </c>
      <c r="O9" s="54">
        <v>164858</v>
      </c>
      <c r="P9" s="54">
        <v>164954</v>
      </c>
      <c r="Q9" s="54">
        <v>165068</v>
      </c>
      <c r="R9" s="54">
        <v>165211</v>
      </c>
      <c r="S9" s="54"/>
      <c r="T9" s="54">
        <v>165385</v>
      </c>
      <c r="U9" s="54">
        <v>165525</v>
      </c>
      <c r="V9" s="54">
        <v>165596</v>
      </c>
      <c r="W9" s="54">
        <v>165695</v>
      </c>
      <c r="X9" s="54">
        <v>165834</v>
      </c>
      <c r="Y9" s="54">
        <v>165945</v>
      </c>
      <c r="Z9" s="54"/>
      <c r="AA9" s="54">
        <v>166154</v>
      </c>
      <c r="AB9" s="54">
        <v>166250</v>
      </c>
      <c r="AC9" s="54">
        <v>166332</v>
      </c>
      <c r="AD9" s="76">
        <v>166468</v>
      </c>
      <c r="AE9" s="76"/>
      <c r="AF9" s="76"/>
    </row>
    <row r="10" spans="1:36">
      <c r="A10" s="55" t="s">
        <v>23</v>
      </c>
      <c r="B10" s="54">
        <v>166568</v>
      </c>
      <c r="C10" s="54">
        <v>166683</v>
      </c>
      <c r="D10" s="54"/>
      <c r="E10" s="54">
        <v>166852</v>
      </c>
      <c r="F10" s="54">
        <v>166960</v>
      </c>
      <c r="G10" s="54">
        <v>167076</v>
      </c>
      <c r="H10" s="54">
        <v>167227</v>
      </c>
      <c r="I10" s="54">
        <v>167322</v>
      </c>
      <c r="J10" s="54">
        <v>167385</v>
      </c>
      <c r="K10" s="54"/>
      <c r="L10" s="54">
        <v>167636</v>
      </c>
      <c r="M10" s="54">
        <v>167734</v>
      </c>
      <c r="N10" s="54">
        <v>167852</v>
      </c>
      <c r="O10" s="54">
        <v>167964</v>
      </c>
      <c r="P10" s="54">
        <v>168030</v>
      </c>
      <c r="Q10" s="54">
        <v>168163</v>
      </c>
      <c r="R10" s="54"/>
      <c r="S10" s="54">
        <v>168379</v>
      </c>
      <c r="T10" s="54">
        <v>168478</v>
      </c>
      <c r="U10" s="54">
        <v>168576</v>
      </c>
      <c r="V10" s="54">
        <v>168641</v>
      </c>
      <c r="W10" s="54">
        <v>168738</v>
      </c>
      <c r="X10" s="54">
        <v>168873</v>
      </c>
      <c r="Y10" s="54"/>
      <c r="Z10" s="54">
        <v>169034</v>
      </c>
      <c r="AA10" s="54">
        <v>169156</v>
      </c>
      <c r="AB10" s="54">
        <v>169265</v>
      </c>
      <c r="AC10" s="54">
        <v>169362</v>
      </c>
      <c r="AD10" s="54">
        <v>169445</v>
      </c>
      <c r="AE10" s="54">
        <v>169576</v>
      </c>
      <c r="AF10" s="54"/>
      <c r="AG10" s="77"/>
    </row>
    <row r="11" spans="1:36">
      <c r="A11" s="55" t="s">
        <v>24</v>
      </c>
      <c r="B11" s="54">
        <v>169741</v>
      </c>
      <c r="C11" s="54">
        <v>169854</v>
      </c>
      <c r="D11" s="54">
        <v>169950</v>
      </c>
      <c r="E11" s="54">
        <v>170039</v>
      </c>
      <c r="F11" s="54">
        <v>170120</v>
      </c>
      <c r="G11" s="54">
        <v>170243</v>
      </c>
      <c r="H11" s="54"/>
      <c r="I11" s="54">
        <v>170439</v>
      </c>
      <c r="J11" s="54">
        <v>170496</v>
      </c>
      <c r="K11" s="54">
        <v>170588</v>
      </c>
      <c r="L11" s="54">
        <v>170675</v>
      </c>
      <c r="M11" s="54">
        <v>170769</v>
      </c>
      <c r="N11" s="54">
        <v>170896</v>
      </c>
      <c r="O11" s="54"/>
      <c r="P11" s="54">
        <v>171065</v>
      </c>
      <c r="Q11" s="54"/>
      <c r="R11" s="54"/>
      <c r="S11" s="54">
        <v>171347</v>
      </c>
      <c r="T11" s="54">
        <v>171445</v>
      </c>
      <c r="U11" s="54">
        <v>171583</v>
      </c>
      <c r="V11" s="54"/>
      <c r="W11" s="54">
        <v>171779</v>
      </c>
      <c r="X11" s="54">
        <v>171839</v>
      </c>
      <c r="Y11" s="54">
        <v>171945</v>
      </c>
      <c r="Z11" s="54">
        <v>172011</v>
      </c>
      <c r="AA11" s="54">
        <v>172118</v>
      </c>
      <c r="AB11" s="54">
        <v>172257</v>
      </c>
      <c r="AC11" s="54"/>
      <c r="AD11" s="54">
        <v>172420</v>
      </c>
      <c r="AE11" s="54">
        <v>172512</v>
      </c>
      <c r="AF11" s="76"/>
      <c r="AG11" s="77"/>
    </row>
    <row r="12" spans="1:36">
      <c r="A12" s="55" t="s">
        <v>25</v>
      </c>
      <c r="B12" s="54">
        <v>172583</v>
      </c>
      <c r="C12" s="54">
        <v>172638</v>
      </c>
      <c r="D12" s="54">
        <v>172754</v>
      </c>
      <c r="E12" s="54">
        <v>172883</v>
      </c>
      <c r="F12" s="54"/>
      <c r="G12" s="54">
        <v>173041</v>
      </c>
      <c r="H12" s="54">
        <v>173126</v>
      </c>
      <c r="I12" s="54">
        <v>173232</v>
      </c>
      <c r="J12" s="54">
        <v>173321</v>
      </c>
      <c r="K12" s="54">
        <v>173366</v>
      </c>
      <c r="L12" s="54">
        <v>173463</v>
      </c>
      <c r="M12" s="54"/>
      <c r="N12" s="54"/>
      <c r="O12" s="54">
        <v>173713</v>
      </c>
      <c r="P12" s="54">
        <v>173802</v>
      </c>
      <c r="Q12" s="54">
        <v>173887</v>
      </c>
      <c r="R12" s="54">
        <v>173980</v>
      </c>
      <c r="S12" s="54">
        <v>174099</v>
      </c>
      <c r="T12" s="54"/>
      <c r="U12" s="54"/>
      <c r="V12" s="54"/>
      <c r="W12" s="54"/>
      <c r="X12" s="54"/>
      <c r="Y12" s="54"/>
      <c r="Z12" s="54"/>
      <c r="AA12" s="78"/>
      <c r="AB12" s="54"/>
      <c r="AC12" s="54"/>
      <c r="AD12" s="54"/>
      <c r="AE12" s="54"/>
      <c r="AF12" s="54">
        <v>175080</v>
      </c>
    </row>
    <row r="13" spans="1:36">
      <c r="A13" s="55" t="s">
        <v>26</v>
      </c>
      <c r="B13" s="54">
        <v>175193</v>
      </c>
      <c r="C13" s="54"/>
      <c r="D13" s="54">
        <v>175355</v>
      </c>
      <c r="E13" s="54">
        <v>175441</v>
      </c>
      <c r="F13" s="54">
        <v>175559</v>
      </c>
      <c r="G13" s="54">
        <v>175616</v>
      </c>
      <c r="H13" s="54">
        <v>175689</v>
      </c>
      <c r="I13" s="54">
        <v>175783</v>
      </c>
      <c r="J13" s="54"/>
      <c r="K13" s="54">
        <v>175966</v>
      </c>
      <c r="L13" s="54">
        <v>176060</v>
      </c>
      <c r="M13" s="54">
        <v>176106</v>
      </c>
      <c r="N13" s="54">
        <v>176196</v>
      </c>
      <c r="O13" s="54">
        <v>176289</v>
      </c>
      <c r="P13" s="54">
        <v>176389</v>
      </c>
      <c r="Q13" s="54"/>
      <c r="R13" s="54">
        <v>176652</v>
      </c>
      <c r="S13" s="54">
        <v>176765</v>
      </c>
      <c r="T13" s="54">
        <v>176874</v>
      </c>
      <c r="U13" s="54">
        <v>177066</v>
      </c>
      <c r="V13" s="54">
        <v>177177</v>
      </c>
      <c r="W13" s="54">
        <v>177280</v>
      </c>
      <c r="X13" s="54"/>
      <c r="Y13" s="54"/>
      <c r="Z13" s="54">
        <v>177582</v>
      </c>
      <c r="AA13" s="54">
        <v>177667</v>
      </c>
      <c r="AB13" s="54">
        <v>177740</v>
      </c>
      <c r="AC13" s="54">
        <v>177832</v>
      </c>
      <c r="AD13" s="54">
        <v>177898</v>
      </c>
      <c r="AE13" s="54"/>
      <c r="AF13" s="76"/>
    </row>
    <row r="14" spans="1:36">
      <c r="A14" s="55" t="s">
        <v>27</v>
      </c>
      <c r="B14" s="54">
        <v>178100</v>
      </c>
      <c r="C14" s="54">
        <v>178195</v>
      </c>
      <c r="D14" s="54">
        <v>178250</v>
      </c>
      <c r="E14" s="54">
        <v>178342</v>
      </c>
      <c r="F14" s="54">
        <v>178422</v>
      </c>
      <c r="G14" s="54">
        <v>178513</v>
      </c>
      <c r="H14" s="54"/>
      <c r="I14" s="54">
        <v>178725</v>
      </c>
      <c r="J14" s="54"/>
      <c r="K14" s="54">
        <v>178933</v>
      </c>
      <c r="L14" s="54">
        <v>179016</v>
      </c>
      <c r="M14" s="54">
        <v>179088</v>
      </c>
      <c r="N14" s="54">
        <v>179177</v>
      </c>
      <c r="O14" s="54"/>
      <c r="P14" s="54">
        <v>179367</v>
      </c>
      <c r="Q14" s="54">
        <v>179445</v>
      </c>
      <c r="R14" s="54">
        <v>179608</v>
      </c>
      <c r="S14" s="54">
        <v>179670</v>
      </c>
      <c r="T14" s="78"/>
      <c r="U14" s="54"/>
      <c r="V14" s="54"/>
      <c r="W14" s="54"/>
      <c r="X14" s="54">
        <v>179752</v>
      </c>
      <c r="Y14" s="54">
        <v>179837</v>
      </c>
      <c r="Z14" s="54">
        <v>179934</v>
      </c>
      <c r="AA14" s="54">
        <v>180044</v>
      </c>
      <c r="AB14" s="54">
        <v>180158</v>
      </c>
      <c r="AC14" s="54"/>
      <c r="AD14" s="54">
        <v>180368</v>
      </c>
      <c r="AE14" s="54">
        <v>180442</v>
      </c>
      <c r="AF14" s="54">
        <v>180500</v>
      </c>
      <c r="AH14" s="79"/>
    </row>
    <row r="15" spans="1:36">
      <c r="A15" s="55" t="s">
        <v>28</v>
      </c>
      <c r="B15" s="54">
        <v>180609</v>
      </c>
      <c r="C15" s="54">
        <v>180686</v>
      </c>
      <c r="D15" s="54">
        <v>180776</v>
      </c>
      <c r="E15" s="54"/>
      <c r="F15" s="54">
        <v>180959</v>
      </c>
      <c r="G15" s="54">
        <v>181064</v>
      </c>
      <c r="H15" s="54">
        <v>181127</v>
      </c>
      <c r="I15" s="54">
        <v>181211</v>
      </c>
      <c r="J15" s="54">
        <v>181309</v>
      </c>
      <c r="K15" s="54">
        <v>181360</v>
      </c>
      <c r="L15" s="54"/>
      <c r="M15" s="54">
        <v>181553</v>
      </c>
      <c r="N15" s="54">
        <v>181665</v>
      </c>
      <c r="O15" s="54">
        <v>181770</v>
      </c>
      <c r="P15" s="54">
        <v>181944</v>
      </c>
      <c r="Q15" s="54">
        <v>182192</v>
      </c>
      <c r="R15" s="54">
        <v>182476</v>
      </c>
      <c r="S15" s="54"/>
      <c r="T15" s="54">
        <v>182872</v>
      </c>
      <c r="U15" s="54">
        <v>183030</v>
      </c>
      <c r="V15" s="54">
        <v>183157</v>
      </c>
      <c r="W15" s="54">
        <v>183288</v>
      </c>
      <c r="X15" s="54">
        <v>183316</v>
      </c>
      <c r="Y15" s="54">
        <v>183459</v>
      </c>
      <c r="Z15" s="54"/>
      <c r="AA15" s="54">
        <v>183650</v>
      </c>
      <c r="AB15" s="54">
        <v>183748</v>
      </c>
      <c r="AC15" s="54">
        <v>183842</v>
      </c>
      <c r="AD15" s="54">
        <v>183957</v>
      </c>
      <c r="AE15" s="54">
        <v>183024</v>
      </c>
      <c r="AF15" s="54">
        <v>183173</v>
      </c>
    </row>
    <row r="16" spans="1:36">
      <c r="A16" s="55" t="s">
        <v>29</v>
      </c>
      <c r="B16" s="54">
        <v>183315</v>
      </c>
      <c r="C16" s="54">
        <v>183470</v>
      </c>
      <c r="D16" s="54">
        <v>183573</v>
      </c>
      <c r="E16" s="54">
        <v>184645</v>
      </c>
      <c r="F16" s="54">
        <v>184766</v>
      </c>
      <c r="G16" s="54">
        <v>184835</v>
      </c>
      <c r="H16" s="54">
        <v>185015</v>
      </c>
      <c r="I16" s="54"/>
      <c r="J16" s="54">
        <v>185015</v>
      </c>
      <c r="K16" s="54">
        <v>185117</v>
      </c>
      <c r="L16" s="54">
        <v>185204</v>
      </c>
      <c r="M16" s="54"/>
      <c r="N16" s="54">
        <v>185409</v>
      </c>
      <c r="O16" s="54">
        <v>185466</v>
      </c>
      <c r="P16" s="54"/>
      <c r="Q16" s="54">
        <v>185650</v>
      </c>
      <c r="R16" s="54">
        <v>185745</v>
      </c>
      <c r="S16" s="54">
        <v>185844</v>
      </c>
      <c r="T16" s="54">
        <v>185925</v>
      </c>
      <c r="U16" s="54">
        <v>185986</v>
      </c>
      <c r="V16" s="54">
        <v>186066</v>
      </c>
      <c r="W16" s="54"/>
      <c r="X16" s="54">
        <v>186224</v>
      </c>
      <c r="Y16" s="54">
        <v>186323</v>
      </c>
      <c r="Z16" s="54">
        <v>186375</v>
      </c>
      <c r="AA16" s="54">
        <v>186469</v>
      </c>
      <c r="AB16" s="54">
        <v>186535</v>
      </c>
      <c r="AC16" s="54">
        <v>186663</v>
      </c>
      <c r="AD16" s="54"/>
      <c r="AE16" s="54">
        <v>186837</v>
      </c>
      <c r="AF16" s="76"/>
    </row>
    <row r="17" spans="1:34">
      <c r="A17" s="55" t="s">
        <v>30</v>
      </c>
      <c r="B17" s="54">
        <v>186907</v>
      </c>
      <c r="C17" s="54">
        <v>186989</v>
      </c>
      <c r="D17" s="54">
        <v>187058</v>
      </c>
      <c r="E17" s="54">
        <v>187127</v>
      </c>
      <c r="F17" s="54">
        <v>187178</v>
      </c>
      <c r="G17" s="54"/>
      <c r="H17" s="54">
        <v>187381</v>
      </c>
      <c r="I17" s="54">
        <v>187461</v>
      </c>
      <c r="J17" s="54">
        <v>187552</v>
      </c>
      <c r="K17" s="54">
        <v>187609</v>
      </c>
      <c r="L17" s="54">
        <v>187731</v>
      </c>
      <c r="M17" s="54">
        <v>187826</v>
      </c>
      <c r="N17" s="54"/>
      <c r="O17" s="54">
        <v>187980</v>
      </c>
      <c r="P17" s="54">
        <v>188072</v>
      </c>
      <c r="Q17" s="54">
        <v>188153</v>
      </c>
      <c r="R17" s="54">
        <v>188222</v>
      </c>
      <c r="S17" s="54">
        <v>188347</v>
      </c>
      <c r="T17" s="54">
        <v>188435</v>
      </c>
      <c r="U17" s="54"/>
      <c r="V17" s="54">
        <v>188724</v>
      </c>
      <c r="W17" s="54">
        <v>188795</v>
      </c>
      <c r="X17" s="54">
        <v>188905</v>
      </c>
      <c r="Y17" s="54">
        <v>189003</v>
      </c>
      <c r="Z17" s="54">
        <v>189144</v>
      </c>
      <c r="AA17" s="54">
        <v>189202</v>
      </c>
      <c r="AB17" s="54"/>
      <c r="AC17" s="54">
        <v>189386</v>
      </c>
      <c r="AD17" s="54">
        <v>189500</v>
      </c>
      <c r="AE17" s="54"/>
      <c r="AF17" s="54">
        <v>189705</v>
      </c>
    </row>
    <row r="18" spans="1:34">
      <c r="A18" s="55" t="s">
        <v>31</v>
      </c>
      <c r="B18" s="54">
        <v>189835</v>
      </c>
      <c r="C18" s="54">
        <v>189929</v>
      </c>
      <c r="D18" s="54"/>
      <c r="E18" s="54">
        <v>190157</v>
      </c>
      <c r="F18" s="54">
        <v>190216</v>
      </c>
      <c r="G18" s="54">
        <v>190332</v>
      </c>
      <c r="H18" s="54">
        <v>190413</v>
      </c>
      <c r="I18" s="54">
        <v>190516</v>
      </c>
      <c r="J18" s="54">
        <v>190569</v>
      </c>
      <c r="K18" s="54"/>
      <c r="L18" s="54">
        <v>190765</v>
      </c>
      <c r="M18" s="54">
        <v>190863</v>
      </c>
      <c r="N18" s="54">
        <v>190949</v>
      </c>
      <c r="O18" s="54">
        <v>191052</v>
      </c>
      <c r="P18" s="54">
        <v>191115</v>
      </c>
      <c r="Q18" s="54">
        <v>191222</v>
      </c>
      <c r="R18" s="54"/>
      <c r="S18" s="54">
        <v>191424</v>
      </c>
      <c r="T18" s="54">
        <v>191513</v>
      </c>
      <c r="U18" s="54"/>
      <c r="V18" s="54">
        <v>191598</v>
      </c>
      <c r="W18" s="54">
        <v>191791</v>
      </c>
      <c r="X18" s="54">
        <v>191847</v>
      </c>
      <c r="Y18" s="54"/>
      <c r="Z18" s="54">
        <v>192053</v>
      </c>
      <c r="AA18" s="54">
        <v>192144</v>
      </c>
      <c r="AB18" s="54">
        <v>192256</v>
      </c>
      <c r="AC18" s="54">
        <v>192325</v>
      </c>
      <c r="AD18" s="54">
        <v>192425</v>
      </c>
      <c r="AE18" s="54">
        <v>192502</v>
      </c>
      <c r="AF18" s="76"/>
    </row>
    <row r="19" spans="1:34">
      <c r="A19" s="55" t="s">
        <v>32</v>
      </c>
      <c r="B19" s="54"/>
      <c r="C19" s="54">
        <v>192731</v>
      </c>
      <c r="D19" s="54">
        <v>192783</v>
      </c>
      <c r="E19" s="54">
        <v>192871</v>
      </c>
      <c r="F19" s="54">
        <v>192962</v>
      </c>
      <c r="G19" s="54">
        <v>193101</v>
      </c>
      <c r="H19" s="54">
        <v>193201</v>
      </c>
      <c r="I19" s="54"/>
      <c r="J19" s="54">
        <v>193376</v>
      </c>
      <c r="K19" s="54">
        <v>193430</v>
      </c>
      <c r="L19" s="54">
        <v>193522</v>
      </c>
      <c r="M19" s="54">
        <v>193649</v>
      </c>
      <c r="N19" s="54">
        <v>193705</v>
      </c>
      <c r="O19" s="54">
        <v>193823</v>
      </c>
      <c r="P19" s="54"/>
      <c r="Q19" s="54">
        <v>193984</v>
      </c>
      <c r="R19" s="54">
        <v>194078</v>
      </c>
      <c r="S19" s="54">
        <v>194212</v>
      </c>
      <c r="T19" s="54">
        <v>194293</v>
      </c>
      <c r="U19" s="54">
        <v>194403</v>
      </c>
      <c r="V19" s="54">
        <v>194499</v>
      </c>
      <c r="W19" s="54"/>
      <c r="X19" s="54">
        <v>194730</v>
      </c>
      <c r="Y19" s="54">
        <v>194832</v>
      </c>
      <c r="Z19" s="54">
        <v>194947</v>
      </c>
      <c r="AA19" s="54">
        <v>195084</v>
      </c>
      <c r="AB19" s="54">
        <v>195152</v>
      </c>
      <c r="AC19" s="54">
        <v>195266</v>
      </c>
      <c r="AD19" s="54"/>
      <c r="AE19" s="54">
        <v>195464</v>
      </c>
      <c r="AF19" s="54">
        <v>195578</v>
      </c>
    </row>
    <row r="20" spans="1:34" ht="27.75" customHeight="1"/>
    <row r="21" spans="1:34">
      <c r="AG21" s="80"/>
    </row>
    <row r="22" spans="1:34" ht="15">
      <c r="A22" s="71" t="s">
        <v>38</v>
      </c>
    </row>
    <row r="23" spans="1:34">
      <c r="A23" s="74" t="s">
        <v>37</v>
      </c>
      <c r="B23" s="74">
        <v>1</v>
      </c>
      <c r="C23" s="74">
        <v>2</v>
      </c>
      <c r="D23" s="74">
        <v>3</v>
      </c>
      <c r="E23" s="74">
        <v>4</v>
      </c>
      <c r="F23" s="74">
        <v>5</v>
      </c>
      <c r="G23" s="74">
        <v>6</v>
      </c>
      <c r="H23" s="74">
        <v>7</v>
      </c>
      <c r="I23" s="74">
        <v>8</v>
      </c>
      <c r="J23" s="74">
        <v>9</v>
      </c>
      <c r="K23" s="74">
        <v>10</v>
      </c>
      <c r="L23" s="74">
        <v>11</v>
      </c>
      <c r="M23" s="74">
        <v>12</v>
      </c>
      <c r="N23" s="74">
        <v>13</v>
      </c>
      <c r="O23" s="74">
        <v>14</v>
      </c>
      <c r="P23" s="74">
        <v>15</v>
      </c>
      <c r="Q23" s="74">
        <v>16</v>
      </c>
      <c r="R23" s="74">
        <v>17</v>
      </c>
      <c r="S23" s="74">
        <v>18</v>
      </c>
      <c r="T23" s="74">
        <v>19</v>
      </c>
      <c r="U23" s="74">
        <v>20</v>
      </c>
      <c r="V23" s="74">
        <v>21</v>
      </c>
      <c r="W23" s="74">
        <v>22</v>
      </c>
      <c r="X23" s="74">
        <v>23</v>
      </c>
      <c r="Y23" s="74">
        <v>24</v>
      </c>
      <c r="Z23" s="74">
        <v>25</v>
      </c>
      <c r="AA23" s="74">
        <v>26</v>
      </c>
      <c r="AB23" s="74">
        <v>27</v>
      </c>
      <c r="AC23" s="74">
        <v>28</v>
      </c>
      <c r="AD23" s="74">
        <v>29</v>
      </c>
      <c r="AE23" s="74">
        <v>30</v>
      </c>
      <c r="AF23" s="74">
        <v>31</v>
      </c>
      <c r="AG23" s="81"/>
      <c r="AH23" s="82" t="s">
        <v>18</v>
      </c>
    </row>
    <row r="24" spans="1:34">
      <c r="A24" s="40">
        <v>43466</v>
      </c>
      <c r="B24" s="83">
        <v>0.10500000000000001</v>
      </c>
      <c r="C24" s="83">
        <v>9.6000000000000002E-2</v>
      </c>
      <c r="D24" s="83">
        <v>0.10100000000000001</v>
      </c>
      <c r="E24" s="83">
        <v>0.22599999999999998</v>
      </c>
      <c r="F24" s="83">
        <v>0.111</v>
      </c>
      <c r="G24" s="83">
        <v>2.75E-2</v>
      </c>
      <c r="H24" s="83">
        <v>2.75E-2</v>
      </c>
      <c r="I24" s="83">
        <v>0.16200000000000001</v>
      </c>
      <c r="J24" s="83">
        <v>4.5999999999999999E-2</v>
      </c>
      <c r="K24" s="83">
        <v>0.13999999999999999</v>
      </c>
      <c r="L24" s="83">
        <v>7.3999999999999996E-2</v>
      </c>
      <c r="M24" s="83">
        <v>0.126</v>
      </c>
      <c r="N24" s="83">
        <v>0.13899999999999998</v>
      </c>
      <c r="O24" s="83">
        <v>0.13899999999999998</v>
      </c>
      <c r="P24" s="83">
        <v>3.3000000000000002E-2</v>
      </c>
      <c r="Q24" s="83">
        <v>9.1999999999999998E-2</v>
      </c>
      <c r="R24" s="83">
        <v>9.0999999999999998E-2</v>
      </c>
      <c r="S24" s="83">
        <v>6.4999999999999988E-2</v>
      </c>
      <c r="T24" s="83">
        <v>0.14200000000000002</v>
      </c>
      <c r="U24" s="83">
        <v>0.11900000000000001</v>
      </c>
      <c r="V24" s="83">
        <v>0.11900000000000001</v>
      </c>
      <c r="W24" s="83">
        <v>9.8000000000000004E-2</v>
      </c>
      <c r="X24" s="83">
        <v>0.11</v>
      </c>
      <c r="Y24" s="83">
        <v>0.122</v>
      </c>
      <c r="Z24" s="83">
        <v>0.1</v>
      </c>
      <c r="AA24" s="83">
        <v>0.13200000000000001</v>
      </c>
      <c r="AB24" s="83">
        <v>0.13150000000000001</v>
      </c>
      <c r="AC24" s="83">
        <v>0.13150000000000001</v>
      </c>
      <c r="AD24" s="83">
        <v>0.10500000000000001</v>
      </c>
      <c r="AE24" s="83">
        <v>0.15</v>
      </c>
      <c r="AF24" s="83">
        <v>0.108</v>
      </c>
      <c r="AG24" s="84"/>
      <c r="AH24" s="85">
        <f>SUM(B24:AF24)</f>
        <v>3.3690000000000002</v>
      </c>
    </row>
    <row r="25" spans="1:34">
      <c r="A25" s="55" t="s">
        <v>22</v>
      </c>
      <c r="B25" s="83">
        <v>0.121</v>
      </c>
      <c r="C25" s="83">
        <v>0.13899999999999998</v>
      </c>
      <c r="D25" s="83">
        <v>0.10299999999999999</v>
      </c>
      <c r="E25" s="83">
        <v>0.10249999999999999</v>
      </c>
      <c r="F25" s="83">
        <v>0.115</v>
      </c>
      <c r="G25" s="83">
        <v>9.0999999999999998E-2</v>
      </c>
      <c r="H25" s="83">
        <v>0.11</v>
      </c>
      <c r="I25" s="83">
        <v>7.3999999999999996E-2</v>
      </c>
      <c r="J25" s="83">
        <v>0.14899999999999999</v>
      </c>
      <c r="K25" s="83">
        <v>0.104</v>
      </c>
      <c r="L25" s="83">
        <v>0.104</v>
      </c>
      <c r="M25" s="83">
        <v>9.2999999999999999E-2</v>
      </c>
      <c r="N25" s="83">
        <v>9.2999999999999999E-2</v>
      </c>
      <c r="O25" s="83">
        <v>9.6000000000000002E-2</v>
      </c>
      <c r="P25" s="83">
        <v>0.114</v>
      </c>
      <c r="Q25" s="83">
        <v>0.14300000000000002</v>
      </c>
      <c r="R25" s="83">
        <v>8.6999999999999994E-2</v>
      </c>
      <c r="S25" s="83">
        <v>8.6999999999999994E-2</v>
      </c>
      <c r="T25" s="83">
        <v>0.13999999999999999</v>
      </c>
      <c r="U25" s="83">
        <v>7.1000000000000008E-2</v>
      </c>
      <c r="V25" s="83">
        <v>9.8999999999999991E-2</v>
      </c>
      <c r="W25" s="83">
        <v>0.13899999999999998</v>
      </c>
      <c r="X25" s="83">
        <v>0.111</v>
      </c>
      <c r="Y25" s="83">
        <v>0.10500000000000001</v>
      </c>
      <c r="Z25" s="83">
        <v>0.10450000000000001</v>
      </c>
      <c r="AA25" s="83">
        <v>9.6000000000000002E-2</v>
      </c>
      <c r="AB25" s="83">
        <v>8.2000000000000003E-2</v>
      </c>
      <c r="AC25" s="83">
        <v>0.13600000000000001</v>
      </c>
      <c r="AD25" s="76"/>
      <c r="AE25" s="86"/>
      <c r="AF25" s="86"/>
      <c r="AG25" s="84"/>
      <c r="AH25" s="85">
        <f t="shared" ref="AH25:AH35" si="0">SUM(B25:AF25)</f>
        <v>3.0090000000000003</v>
      </c>
    </row>
    <row r="26" spans="1:34">
      <c r="A26" s="55" t="s">
        <v>23</v>
      </c>
      <c r="B26" s="83">
        <v>0.1</v>
      </c>
      <c r="C26" s="83">
        <v>0.115</v>
      </c>
      <c r="D26" s="83">
        <v>8.4499999999999992E-2</v>
      </c>
      <c r="E26" s="83">
        <v>8.4499999999999992E-2</v>
      </c>
      <c r="F26" s="83">
        <v>0.108</v>
      </c>
      <c r="G26" s="83">
        <v>0.11600000000000001</v>
      </c>
      <c r="H26" s="83">
        <v>0.15100000000000002</v>
      </c>
      <c r="I26" s="83">
        <v>9.5000000000000001E-2</v>
      </c>
      <c r="J26" s="83">
        <v>6.3E-2</v>
      </c>
      <c r="K26" s="83">
        <v>0.1255</v>
      </c>
      <c r="L26" s="83">
        <v>0.1255</v>
      </c>
      <c r="M26" s="83">
        <v>9.8000000000000004E-2</v>
      </c>
      <c r="N26" s="83">
        <v>0.11799999999999999</v>
      </c>
      <c r="O26" s="83">
        <v>0.112</v>
      </c>
      <c r="P26" s="83">
        <v>6.6000000000000003E-2</v>
      </c>
      <c r="Q26" s="83">
        <v>0.13300000000000001</v>
      </c>
      <c r="R26" s="83">
        <v>0.108</v>
      </c>
      <c r="S26" s="83">
        <v>0.108</v>
      </c>
      <c r="T26" s="83">
        <v>9.8999999999999991E-2</v>
      </c>
      <c r="U26" s="83">
        <v>9.8000000000000004E-2</v>
      </c>
      <c r="V26" s="83">
        <v>6.4999999999999988E-2</v>
      </c>
      <c r="W26" s="83">
        <v>9.7000000000000003E-2</v>
      </c>
      <c r="X26" s="83">
        <v>0.13500000000000001</v>
      </c>
      <c r="Y26" s="83">
        <v>8.0500000000000002E-2</v>
      </c>
      <c r="Z26" s="83">
        <v>8.0500000000000002E-2</v>
      </c>
      <c r="AA26" s="83">
        <v>0.122</v>
      </c>
      <c r="AB26" s="83">
        <v>0.10900000000000001</v>
      </c>
      <c r="AC26" s="83">
        <v>9.7000000000000003E-2</v>
      </c>
      <c r="AD26" s="83">
        <v>8.3000000000000004E-2</v>
      </c>
      <c r="AE26" s="83">
        <v>0.13100000000000001</v>
      </c>
      <c r="AF26" s="83">
        <v>8.3000000000000004E-2</v>
      </c>
      <c r="AG26" s="84"/>
      <c r="AH26" s="85">
        <f t="shared" si="0"/>
        <v>3.1909999999999998</v>
      </c>
    </row>
    <row r="27" spans="1:34">
      <c r="A27" s="55" t="s">
        <v>24</v>
      </c>
      <c r="B27" s="83">
        <v>8.2500000000000004E-2</v>
      </c>
      <c r="C27" s="83">
        <v>0.11299999999999999</v>
      </c>
      <c r="D27" s="83">
        <v>9.6000000000000002E-2</v>
      </c>
      <c r="E27" s="83">
        <v>8.8999999999999996E-2</v>
      </c>
      <c r="F27" s="83">
        <v>8.1000000000000003E-2</v>
      </c>
      <c r="G27" s="83">
        <v>0.12300000000000001</v>
      </c>
      <c r="H27" s="83">
        <v>9.8000000000000004E-2</v>
      </c>
      <c r="I27" s="83">
        <v>9.8000000000000004E-2</v>
      </c>
      <c r="J27" s="83">
        <v>5.7000000000000002E-2</v>
      </c>
      <c r="K27" s="83">
        <v>9.1999999999999998E-2</v>
      </c>
      <c r="L27" s="83">
        <v>8.6999999999999994E-2</v>
      </c>
      <c r="M27" s="83">
        <v>9.4E-2</v>
      </c>
      <c r="N27" s="83">
        <v>0.127</v>
      </c>
      <c r="O27" s="83">
        <v>8.4499999999999992E-2</v>
      </c>
      <c r="P27" s="83">
        <v>8.4499999999999992E-2</v>
      </c>
      <c r="Q27" s="83">
        <v>9.4E-2</v>
      </c>
      <c r="R27" s="83">
        <v>9.4E-2</v>
      </c>
      <c r="S27" s="83">
        <v>9.4E-2</v>
      </c>
      <c r="T27" s="83">
        <v>9.8000000000000004E-2</v>
      </c>
      <c r="U27" s="83">
        <v>0.13799999999999998</v>
      </c>
      <c r="V27" s="83">
        <v>9.8000000000000004E-2</v>
      </c>
      <c r="W27" s="83">
        <v>9.8000000000000004E-2</v>
      </c>
      <c r="X27" s="83">
        <v>6.0000000000000005E-2</v>
      </c>
      <c r="Y27" s="83">
        <v>0.106</v>
      </c>
      <c r="Z27" s="83">
        <v>6.6000000000000003E-2</v>
      </c>
      <c r="AA27" s="83">
        <v>0.107</v>
      </c>
      <c r="AB27" s="83">
        <v>0.13899999999999998</v>
      </c>
      <c r="AC27" s="83">
        <v>8.1500000000000003E-2</v>
      </c>
      <c r="AD27" s="83">
        <v>8.1500000000000003E-2</v>
      </c>
      <c r="AE27" s="83">
        <v>9.1999999999999998E-2</v>
      </c>
      <c r="AF27" s="86"/>
      <c r="AG27" s="84"/>
      <c r="AH27" s="85">
        <f t="shared" si="0"/>
        <v>2.8535000000000004</v>
      </c>
    </row>
    <row r="28" spans="1:34">
      <c r="A28" s="55" t="s">
        <v>25</v>
      </c>
      <c r="B28" s="83">
        <v>7.1000000000000008E-2</v>
      </c>
      <c r="C28" s="83">
        <v>5.5E-2</v>
      </c>
      <c r="D28" s="83">
        <v>0.11600000000000001</v>
      </c>
      <c r="E28" s="83">
        <v>0.129</v>
      </c>
      <c r="F28" s="83">
        <v>7.9000000000000001E-2</v>
      </c>
      <c r="G28" s="83">
        <v>7.9000000000000001E-2</v>
      </c>
      <c r="H28" s="83">
        <v>8.5000000000000006E-2</v>
      </c>
      <c r="I28" s="83">
        <v>0.106</v>
      </c>
      <c r="J28" s="83">
        <v>8.8999999999999996E-2</v>
      </c>
      <c r="K28" s="83">
        <v>4.5000000000000005E-2</v>
      </c>
      <c r="L28" s="83">
        <v>9.7000000000000003E-2</v>
      </c>
      <c r="M28" s="83">
        <v>8.3333333333333329E-2</v>
      </c>
      <c r="N28" s="83">
        <v>8.3333333333333329E-2</v>
      </c>
      <c r="O28" s="83">
        <v>8.3333333333333329E-2</v>
      </c>
      <c r="P28" s="83">
        <v>8.8999999999999996E-2</v>
      </c>
      <c r="Q28" s="83">
        <v>8.5000000000000006E-2</v>
      </c>
      <c r="R28" s="83">
        <v>9.2999999999999999E-2</v>
      </c>
      <c r="S28" s="83">
        <v>0.11900000000000001</v>
      </c>
      <c r="T28" s="83">
        <v>7.5461538461538455E-2</v>
      </c>
      <c r="U28" s="83">
        <v>7.5461538461538455E-2</v>
      </c>
      <c r="V28" s="83">
        <v>7.5461538461538455E-2</v>
      </c>
      <c r="W28" s="83">
        <v>7.5461538461538455E-2</v>
      </c>
      <c r="X28" s="83">
        <v>7.5461538461538455E-2</v>
      </c>
      <c r="Y28" s="83">
        <v>7.5461538461538455E-2</v>
      </c>
      <c r="Z28" s="83">
        <v>7.5461538461538455E-2</v>
      </c>
      <c r="AA28" s="83">
        <v>7.5461538461538455E-2</v>
      </c>
      <c r="AB28" s="83">
        <v>7.5461538461538455E-2</v>
      </c>
      <c r="AC28" s="83">
        <v>7.5461538461538455E-2</v>
      </c>
      <c r="AD28" s="83">
        <v>7.5461538461538455E-2</v>
      </c>
      <c r="AE28" s="83">
        <v>7.5461538461538455E-2</v>
      </c>
      <c r="AF28" s="83">
        <v>7.5461538461538455E-2</v>
      </c>
      <c r="AG28" s="84"/>
      <c r="AH28" s="85">
        <f t="shared" si="0"/>
        <v>2.5679999999999983</v>
      </c>
    </row>
    <row r="29" spans="1:34">
      <c r="A29" s="55" t="s">
        <v>26</v>
      </c>
      <c r="B29" s="83">
        <v>0.11299999999999999</v>
      </c>
      <c r="C29" s="83">
        <v>8.1000000000000003E-2</v>
      </c>
      <c r="D29" s="83">
        <v>8.1000000000000003E-2</v>
      </c>
      <c r="E29" s="83">
        <v>8.6000000000000007E-2</v>
      </c>
      <c r="F29" s="83">
        <v>0.11799999999999999</v>
      </c>
      <c r="G29" s="83">
        <v>5.7000000000000002E-2</v>
      </c>
      <c r="H29" s="83">
        <v>7.2999999999999995E-2</v>
      </c>
      <c r="I29" s="83">
        <v>9.4E-2</v>
      </c>
      <c r="J29" s="83">
        <v>9.1999999999999998E-2</v>
      </c>
      <c r="K29" s="83">
        <v>9.1499999999999998E-2</v>
      </c>
      <c r="L29" s="83">
        <v>9.4E-2</v>
      </c>
      <c r="M29" s="83">
        <v>4.5999999999999999E-2</v>
      </c>
      <c r="N29" s="83">
        <v>9.0000000000000011E-2</v>
      </c>
      <c r="O29" s="83">
        <v>9.2999999999999999E-2</v>
      </c>
      <c r="P29" s="83">
        <v>0.1</v>
      </c>
      <c r="Q29" s="83">
        <v>0.13200000000000001</v>
      </c>
      <c r="R29" s="83">
        <v>0.13150000000000001</v>
      </c>
      <c r="S29" s="83">
        <v>0.11299999999999999</v>
      </c>
      <c r="T29" s="83">
        <v>0.10900000000000001</v>
      </c>
      <c r="U29" s="83">
        <v>0.192</v>
      </c>
      <c r="V29" s="83">
        <v>0.111</v>
      </c>
      <c r="W29" s="83">
        <v>0.10299999999999999</v>
      </c>
      <c r="X29" s="83">
        <v>0.10100000000000001</v>
      </c>
      <c r="Y29" s="83">
        <v>0.10100000000000001</v>
      </c>
      <c r="Z29" s="83">
        <v>0.10066666666666667</v>
      </c>
      <c r="AA29" s="83">
        <v>8.5000000000000006E-2</v>
      </c>
      <c r="AB29" s="83">
        <v>7.2999999999999995E-2</v>
      </c>
      <c r="AC29" s="83">
        <v>9.1999999999999998E-2</v>
      </c>
      <c r="AD29" s="83">
        <v>6.6000000000000003E-2</v>
      </c>
      <c r="AE29" s="83">
        <v>0.10100000000000001</v>
      </c>
      <c r="AF29" s="86"/>
      <c r="AG29" s="84"/>
      <c r="AH29" s="85">
        <f t="shared" si="0"/>
        <v>2.9206666666666665</v>
      </c>
    </row>
    <row r="30" spans="1:34">
      <c r="A30" s="55" t="s">
        <v>27</v>
      </c>
      <c r="B30" s="83">
        <v>0.10100000000000001</v>
      </c>
      <c r="C30" s="83">
        <v>0.10100000000000001</v>
      </c>
      <c r="D30" s="83">
        <v>9.5000000000000001E-2</v>
      </c>
      <c r="E30" s="83">
        <v>5.5E-2</v>
      </c>
      <c r="F30" s="83">
        <v>9.1999999999999998E-2</v>
      </c>
      <c r="G30" s="83">
        <v>0.08</v>
      </c>
      <c r="H30" s="83">
        <v>9.0999999999999998E-2</v>
      </c>
      <c r="I30" s="83">
        <v>0.106</v>
      </c>
      <c r="J30" s="83">
        <v>0.106</v>
      </c>
      <c r="K30" s="83">
        <v>0.104</v>
      </c>
      <c r="L30" s="83">
        <v>0.104</v>
      </c>
      <c r="M30" s="83">
        <v>8.3000000000000004E-2</v>
      </c>
      <c r="N30" s="83">
        <v>7.2000000000000008E-2</v>
      </c>
      <c r="O30" s="83">
        <v>8.8999999999999996E-2</v>
      </c>
      <c r="P30" s="83">
        <v>9.5000000000000001E-2</v>
      </c>
      <c r="Q30" s="83">
        <v>9.5000000000000001E-2</v>
      </c>
      <c r="R30" s="83">
        <v>7.8E-2</v>
      </c>
      <c r="S30" s="83">
        <v>0.16300000000000001</v>
      </c>
      <c r="T30" s="83">
        <v>6.2E-2</v>
      </c>
      <c r="U30" s="83">
        <v>1.6399999999999998E-2</v>
      </c>
      <c r="V30" s="83">
        <v>1.6399999999999998E-2</v>
      </c>
      <c r="W30" s="83">
        <v>1.6399999999999998E-2</v>
      </c>
      <c r="X30" s="83">
        <v>1.6399999999999998E-2</v>
      </c>
      <c r="Y30" s="83">
        <v>1.6399999999999998E-2</v>
      </c>
      <c r="Z30" s="83">
        <v>8.5000000000000006E-2</v>
      </c>
      <c r="AA30" s="83">
        <v>9.7000000000000003E-2</v>
      </c>
      <c r="AB30" s="83">
        <v>0.11</v>
      </c>
      <c r="AC30" s="83">
        <v>0.114</v>
      </c>
      <c r="AD30" s="83">
        <v>0.10500000000000001</v>
      </c>
      <c r="AE30" s="83">
        <v>0.10500000000000001</v>
      </c>
      <c r="AF30" s="83">
        <v>7.3999999999999996E-2</v>
      </c>
      <c r="AG30" s="84">
        <v>5.8000000000000003E-2</v>
      </c>
      <c r="AH30" s="85">
        <f t="shared" si="0"/>
        <v>2.5439999999999996</v>
      </c>
    </row>
    <row r="31" spans="1:34">
      <c r="A31" s="55" t="s">
        <v>28</v>
      </c>
      <c r="B31" s="83">
        <v>0.10900000000000001</v>
      </c>
      <c r="C31" s="83">
        <v>7.6999999999999999E-2</v>
      </c>
      <c r="D31" s="83">
        <v>9.0000000000000011E-2</v>
      </c>
      <c r="E31" s="83">
        <v>9.1499999999999998E-2</v>
      </c>
      <c r="F31" s="83">
        <v>9.1499999999999998E-2</v>
      </c>
      <c r="G31" s="83">
        <v>0.10500000000000001</v>
      </c>
      <c r="H31" s="83">
        <v>6.3E-2</v>
      </c>
      <c r="I31" s="83">
        <v>8.3999999999999991E-2</v>
      </c>
      <c r="J31" s="83">
        <v>9.8000000000000004E-2</v>
      </c>
      <c r="K31" s="83">
        <v>5.0999999999999997E-2</v>
      </c>
      <c r="L31" s="83">
        <v>9.6500000000000002E-2</v>
      </c>
      <c r="M31" s="83">
        <v>9.6500000000000002E-2</v>
      </c>
      <c r="N31" s="83">
        <v>0.112</v>
      </c>
      <c r="O31" s="83">
        <v>0.10500000000000001</v>
      </c>
      <c r="P31" s="83">
        <v>0.17399999999999999</v>
      </c>
      <c r="Q31" s="83">
        <v>0.248</v>
      </c>
      <c r="R31" s="83">
        <v>0.28400000000000003</v>
      </c>
      <c r="S31" s="83">
        <v>0.19799999999999998</v>
      </c>
      <c r="T31" s="83">
        <v>0.19799999999999998</v>
      </c>
      <c r="U31" s="83">
        <v>0.158</v>
      </c>
      <c r="V31" s="83">
        <v>0.127</v>
      </c>
      <c r="W31" s="83">
        <v>0.13100000000000001</v>
      </c>
      <c r="X31" s="83">
        <v>2.8000000000000001E-2</v>
      </c>
      <c r="Y31" s="83">
        <v>0.14300000000000002</v>
      </c>
      <c r="Z31" s="83">
        <v>9.5500000000000002E-2</v>
      </c>
      <c r="AA31" s="83">
        <v>9.5500000000000002E-2</v>
      </c>
      <c r="AB31" s="83">
        <v>9.8000000000000004E-2</v>
      </c>
      <c r="AC31" s="83">
        <v>9.4E-2</v>
      </c>
      <c r="AD31" s="83">
        <v>0.115</v>
      </c>
      <c r="AE31" s="83">
        <v>6.7000000000000004E-2</v>
      </c>
      <c r="AF31" s="83">
        <v>0.14899999999999999</v>
      </c>
      <c r="AG31" s="84"/>
      <c r="AH31" s="85">
        <f t="shared" si="0"/>
        <v>3.6730000000000005</v>
      </c>
    </row>
    <row r="32" spans="1:34">
      <c r="A32" s="55" t="s">
        <v>29</v>
      </c>
      <c r="B32" s="83">
        <v>0.14200000000000002</v>
      </c>
      <c r="C32" s="83">
        <v>0.155</v>
      </c>
      <c r="D32">
        <v>0.10299999999999999</v>
      </c>
      <c r="E32" s="83">
        <v>1.0720000000000001</v>
      </c>
      <c r="F32" s="83">
        <v>0.121</v>
      </c>
      <c r="G32" s="83">
        <v>6.8999999999999992E-2</v>
      </c>
      <c r="H32" s="83">
        <v>0.18000000000000002</v>
      </c>
      <c r="I32" s="83">
        <v>0</v>
      </c>
      <c r="J32" s="83">
        <v>0</v>
      </c>
      <c r="K32" s="83">
        <v>0.10199999999999999</v>
      </c>
      <c r="L32" s="83">
        <v>8.6999999999999994E-2</v>
      </c>
      <c r="M32" s="83">
        <v>0.10249999999999999</v>
      </c>
      <c r="N32" s="83">
        <v>0.10249999999999999</v>
      </c>
      <c r="O32" s="83">
        <v>5.7000000000000002E-2</v>
      </c>
      <c r="P32" s="83">
        <v>9.1999999999999998E-2</v>
      </c>
      <c r="Q32" s="83">
        <v>9.1999999999999998E-2</v>
      </c>
      <c r="R32" s="83">
        <v>9.5000000000000001E-2</v>
      </c>
      <c r="S32" s="83">
        <v>9.8999999999999991E-2</v>
      </c>
      <c r="T32" s="83">
        <v>8.1000000000000003E-2</v>
      </c>
      <c r="U32" s="83">
        <v>6.0999999999999999E-2</v>
      </c>
      <c r="V32" s="83">
        <v>0.08</v>
      </c>
      <c r="W32" s="83">
        <v>7.9000000000000001E-2</v>
      </c>
      <c r="X32" s="83">
        <v>7.9000000000000001E-2</v>
      </c>
      <c r="Y32" s="83">
        <v>9.8999999999999991E-2</v>
      </c>
      <c r="Z32" s="83">
        <v>5.1999999999999998E-2</v>
      </c>
      <c r="AA32" s="83">
        <v>9.4E-2</v>
      </c>
      <c r="AB32" s="83">
        <v>6.6000000000000003E-2</v>
      </c>
      <c r="AC32" s="83">
        <v>0.128</v>
      </c>
      <c r="AD32" s="83">
        <v>8.6999999999999994E-2</v>
      </c>
      <c r="AE32" s="83">
        <v>8.6999999999999994E-2</v>
      </c>
      <c r="AF32" s="86"/>
      <c r="AG32" s="84"/>
      <c r="AH32" s="85">
        <f t="shared" si="0"/>
        <v>3.6640000000000015</v>
      </c>
    </row>
    <row r="33" spans="1:34">
      <c r="A33" s="55" t="s">
        <v>30</v>
      </c>
      <c r="B33" s="83">
        <v>6.9999999999999993E-2</v>
      </c>
      <c r="C33" s="83">
        <v>8.2000000000000003E-2</v>
      </c>
      <c r="D33" s="83">
        <v>6.8999999999999992E-2</v>
      </c>
      <c r="E33" s="83">
        <v>6.8999999999999992E-2</v>
      </c>
      <c r="F33" s="83">
        <v>5.0999999999999997E-2</v>
      </c>
      <c r="G33" s="83">
        <v>0.10199999999999999</v>
      </c>
      <c r="H33" s="83">
        <v>0.10150000000000001</v>
      </c>
      <c r="I33" s="83">
        <v>0.08</v>
      </c>
      <c r="J33" s="83">
        <v>9.0999999999999998E-2</v>
      </c>
      <c r="K33" s="83">
        <v>5.7000000000000002E-2</v>
      </c>
      <c r="L33" s="83">
        <v>0.122</v>
      </c>
      <c r="M33" s="83">
        <v>9.5000000000000001E-2</v>
      </c>
      <c r="N33" s="83">
        <v>7.6999999999999999E-2</v>
      </c>
      <c r="O33" s="83">
        <v>7.6999999999999999E-2</v>
      </c>
      <c r="P33" s="83">
        <v>9.1999999999999998E-2</v>
      </c>
      <c r="Q33" s="83">
        <v>8.1000000000000003E-2</v>
      </c>
      <c r="R33" s="83">
        <v>6.8999999999999992E-2</v>
      </c>
      <c r="S33" s="83">
        <v>0.125</v>
      </c>
      <c r="T33" s="83">
        <v>8.7999999999999995E-2</v>
      </c>
      <c r="U33" s="83">
        <v>0.14499999999999999</v>
      </c>
      <c r="V33" s="83">
        <v>0.14449999999999999</v>
      </c>
      <c r="W33" s="83">
        <v>7.1000000000000008E-2</v>
      </c>
      <c r="X33" s="83">
        <v>0.11</v>
      </c>
      <c r="Y33" s="83">
        <v>9.8000000000000004E-2</v>
      </c>
      <c r="Z33" s="83">
        <v>0.14100000000000001</v>
      </c>
      <c r="AA33" s="83">
        <v>5.8000000000000003E-2</v>
      </c>
      <c r="AB33" s="83">
        <v>9.1999999999999998E-2</v>
      </c>
      <c r="AC33" s="83">
        <v>9.1999999999999998E-2</v>
      </c>
      <c r="AD33" s="83">
        <v>0.114</v>
      </c>
      <c r="AE33" s="83">
        <v>0.10299999999999999</v>
      </c>
      <c r="AF33" s="83">
        <v>0.10249999999999999</v>
      </c>
      <c r="AG33" s="84"/>
      <c r="AH33" s="85">
        <f t="shared" si="0"/>
        <v>2.8694999999999999</v>
      </c>
    </row>
    <row r="34" spans="1:34">
      <c r="A34" s="55" t="s">
        <v>31</v>
      </c>
      <c r="B34" s="83">
        <v>0.12999999999999998</v>
      </c>
      <c r="C34" s="83">
        <v>9.4E-2</v>
      </c>
      <c r="D34" s="83">
        <v>0.114</v>
      </c>
      <c r="E34" s="83">
        <v>0.114</v>
      </c>
      <c r="F34" s="83">
        <v>5.8999999999999997E-2</v>
      </c>
      <c r="G34" s="83">
        <v>0.11600000000000001</v>
      </c>
      <c r="H34" s="83">
        <v>8.1000000000000003E-2</v>
      </c>
      <c r="I34" s="83">
        <v>0.10299999999999999</v>
      </c>
      <c r="J34" s="83">
        <v>5.2999999999999999E-2</v>
      </c>
      <c r="K34" s="83">
        <v>9.8000000000000004E-2</v>
      </c>
      <c r="L34" s="83">
        <v>9.8000000000000004E-2</v>
      </c>
      <c r="M34" s="83">
        <v>9.8000000000000004E-2</v>
      </c>
      <c r="N34" s="83">
        <v>8.6000000000000007E-2</v>
      </c>
      <c r="O34" s="83">
        <v>0.10299999999999999</v>
      </c>
      <c r="P34" s="83">
        <v>6.3E-2</v>
      </c>
      <c r="Q34" s="83">
        <v>0.107</v>
      </c>
      <c r="R34" s="83">
        <v>0.10100000000000001</v>
      </c>
      <c r="S34" s="83">
        <v>0.10100000000000001</v>
      </c>
      <c r="T34" s="83">
        <v>8.8999999999999996E-2</v>
      </c>
      <c r="U34" s="83">
        <v>4.2500000000000003E-2</v>
      </c>
      <c r="V34" s="83">
        <v>4.2500000000000003E-2</v>
      </c>
      <c r="W34" s="83">
        <v>0.193</v>
      </c>
      <c r="X34" s="83">
        <v>5.6000000000000001E-2</v>
      </c>
      <c r="Y34" s="83">
        <v>0.10299999999999999</v>
      </c>
      <c r="Z34" s="83">
        <v>0.10299999999999999</v>
      </c>
      <c r="AA34" s="83">
        <v>9.0999999999999998E-2</v>
      </c>
      <c r="AB34" s="83">
        <v>0.112</v>
      </c>
      <c r="AC34" s="83">
        <v>6.8999999999999992E-2</v>
      </c>
      <c r="AD34" s="83">
        <v>0.1</v>
      </c>
      <c r="AE34" s="83">
        <v>7.6999999999999999E-2</v>
      </c>
      <c r="AF34" s="86"/>
      <c r="AG34" s="84"/>
      <c r="AH34" s="85">
        <f t="shared" si="0"/>
        <v>2.7970000000000006</v>
      </c>
    </row>
    <row r="35" spans="1:34">
      <c r="A35" s="55" t="s">
        <v>32</v>
      </c>
      <c r="B35" s="83">
        <v>0.1145</v>
      </c>
      <c r="C35" s="83">
        <v>0.1145</v>
      </c>
      <c r="D35" s="83">
        <v>5.1999999999999998E-2</v>
      </c>
      <c r="E35" s="83">
        <v>8.7999999999999995E-2</v>
      </c>
      <c r="F35" s="83">
        <v>9.0999999999999998E-2</v>
      </c>
      <c r="G35" s="83">
        <v>0.13899999999999998</v>
      </c>
      <c r="H35" s="83">
        <v>0.1</v>
      </c>
      <c r="I35" s="83">
        <v>8.7499999999999994E-2</v>
      </c>
      <c r="J35" s="83">
        <v>8.7499999999999994E-2</v>
      </c>
      <c r="K35" s="83">
        <v>5.3999999999999999E-2</v>
      </c>
      <c r="L35" s="83">
        <v>9.1999999999999998E-2</v>
      </c>
      <c r="M35" s="83">
        <v>0.127</v>
      </c>
      <c r="N35" s="83">
        <v>5.6000000000000001E-2</v>
      </c>
      <c r="O35" s="83">
        <v>0.11799999999999999</v>
      </c>
      <c r="P35" s="83">
        <v>8.0500000000000002E-2</v>
      </c>
      <c r="Q35" s="83">
        <v>8.0500000000000002E-2</v>
      </c>
      <c r="R35" s="83">
        <v>9.4E-2</v>
      </c>
      <c r="S35" s="83">
        <v>0.13400000000000001</v>
      </c>
      <c r="T35" s="83">
        <v>8.1000000000000003E-2</v>
      </c>
      <c r="U35" s="83">
        <v>0.11</v>
      </c>
      <c r="V35" s="83">
        <v>9.6000000000000002E-2</v>
      </c>
      <c r="W35" s="83">
        <v>0.11550000000000001</v>
      </c>
      <c r="X35" s="83">
        <v>0.11550000000000001</v>
      </c>
      <c r="Y35" s="83">
        <v>0.10199999999999999</v>
      </c>
      <c r="Z35" s="83">
        <v>0.115</v>
      </c>
      <c r="AA35" s="83">
        <v>0.13699999999999998</v>
      </c>
      <c r="AB35" s="83">
        <v>6.8000000000000005E-2</v>
      </c>
      <c r="AC35" s="83">
        <v>0.114</v>
      </c>
      <c r="AD35" s="83">
        <v>9.8999999999999991E-2</v>
      </c>
      <c r="AE35" s="83">
        <v>9.8999999999999991E-2</v>
      </c>
      <c r="AF35" s="83">
        <v>0.114</v>
      </c>
      <c r="AG35" s="84"/>
      <c r="AH35" s="85">
        <f t="shared" si="0"/>
        <v>3.076000000000001</v>
      </c>
    </row>
    <row r="36" spans="1:34" ht="15" thickBot="1"/>
    <row r="37" spans="1:34" ht="15" thickBot="1">
      <c r="C37" s="87" t="s">
        <v>39</v>
      </c>
      <c r="D37" s="88" t="s">
        <v>40</v>
      </c>
      <c r="E37" s="88" t="s">
        <v>41</v>
      </c>
      <c r="F37" s="89" t="s">
        <v>42</v>
      </c>
    </row>
    <row r="38" spans="1:34">
      <c r="C38" s="90">
        <v>30</v>
      </c>
      <c r="D38" s="91">
        <v>192502</v>
      </c>
      <c r="E38" s="91"/>
      <c r="F38" s="92">
        <f t="shared" ref="F38:F63" si="1">E38/1000000*1000</f>
        <v>0</v>
      </c>
    </row>
    <row r="39" spans="1:34">
      <c r="C39" s="93">
        <v>1</v>
      </c>
      <c r="D39" s="93"/>
      <c r="E39" s="94">
        <f>E40</f>
        <v>114.5</v>
      </c>
      <c r="F39" s="92">
        <f t="shared" si="1"/>
        <v>0.1145</v>
      </c>
    </row>
    <row r="40" spans="1:34">
      <c r="C40" s="93">
        <v>2</v>
      </c>
      <c r="D40" s="93">
        <v>192731</v>
      </c>
      <c r="E40" s="94">
        <f>(D40-D38)/2</f>
        <v>114.5</v>
      </c>
      <c r="F40" s="92">
        <f t="shared" si="1"/>
        <v>0.1145</v>
      </c>
    </row>
    <row r="41" spans="1:34">
      <c r="C41" s="93">
        <v>3</v>
      </c>
      <c r="D41" s="93">
        <v>192783</v>
      </c>
      <c r="E41" s="94">
        <f>(D41-D40)</f>
        <v>52</v>
      </c>
      <c r="F41" s="92">
        <f t="shared" si="1"/>
        <v>5.1999999999999998E-2</v>
      </c>
    </row>
    <row r="42" spans="1:34">
      <c r="C42" s="93">
        <v>4</v>
      </c>
      <c r="D42" s="91">
        <v>192871</v>
      </c>
      <c r="E42" s="94">
        <f t="shared" ref="E42:E66" si="2">(D42-D41)</f>
        <v>88</v>
      </c>
      <c r="F42" s="92">
        <f t="shared" si="1"/>
        <v>8.7999999999999995E-2</v>
      </c>
    </row>
    <row r="43" spans="1:34">
      <c r="C43" s="93">
        <v>5</v>
      </c>
      <c r="D43" s="93">
        <v>192962</v>
      </c>
      <c r="E43" s="94">
        <f t="shared" si="2"/>
        <v>91</v>
      </c>
      <c r="F43" s="92">
        <f t="shared" si="1"/>
        <v>9.0999999999999998E-2</v>
      </c>
    </row>
    <row r="44" spans="1:34">
      <c r="C44" s="93">
        <v>6</v>
      </c>
      <c r="D44" s="93">
        <v>193101</v>
      </c>
      <c r="E44" s="94">
        <f t="shared" si="2"/>
        <v>139</v>
      </c>
      <c r="F44" s="92">
        <f t="shared" si="1"/>
        <v>0.13899999999999998</v>
      </c>
    </row>
    <row r="45" spans="1:34">
      <c r="C45" s="93">
        <v>7</v>
      </c>
      <c r="D45" s="93">
        <v>193201</v>
      </c>
      <c r="E45" s="94">
        <f t="shared" si="2"/>
        <v>100</v>
      </c>
      <c r="F45" s="92">
        <f t="shared" si="1"/>
        <v>0.1</v>
      </c>
    </row>
    <row r="46" spans="1:34">
      <c r="C46" s="93">
        <v>8</v>
      </c>
      <c r="D46" s="93"/>
      <c r="E46" s="94">
        <f>E47</f>
        <v>87.5</v>
      </c>
      <c r="F46" s="92">
        <f t="shared" si="1"/>
        <v>8.7499999999999994E-2</v>
      </c>
    </row>
    <row r="47" spans="1:34">
      <c r="C47" s="93">
        <v>9</v>
      </c>
      <c r="D47" s="93">
        <v>193376</v>
      </c>
      <c r="E47" s="94">
        <f>(D47-D45)/2</f>
        <v>87.5</v>
      </c>
      <c r="F47" s="92">
        <f t="shared" si="1"/>
        <v>8.7499999999999994E-2</v>
      </c>
    </row>
    <row r="48" spans="1:34">
      <c r="C48" s="93">
        <v>10</v>
      </c>
      <c r="D48" s="93">
        <v>193430</v>
      </c>
      <c r="E48" s="94">
        <f t="shared" si="2"/>
        <v>54</v>
      </c>
      <c r="F48" s="92">
        <f t="shared" si="1"/>
        <v>5.3999999999999999E-2</v>
      </c>
    </row>
    <row r="49" spans="3:6">
      <c r="C49" s="93">
        <v>11</v>
      </c>
      <c r="D49" s="93">
        <v>193522</v>
      </c>
      <c r="E49" s="94">
        <f t="shared" si="2"/>
        <v>92</v>
      </c>
      <c r="F49" s="92">
        <f t="shared" si="1"/>
        <v>9.1999999999999998E-2</v>
      </c>
    </row>
    <row r="50" spans="3:6">
      <c r="C50" s="93">
        <v>12</v>
      </c>
      <c r="D50" s="93">
        <v>193649</v>
      </c>
      <c r="E50" s="94">
        <f t="shared" si="2"/>
        <v>127</v>
      </c>
      <c r="F50" s="92">
        <f t="shared" si="1"/>
        <v>0.127</v>
      </c>
    </row>
    <row r="51" spans="3:6">
      <c r="C51" s="93">
        <v>13</v>
      </c>
      <c r="D51" s="93">
        <v>193705</v>
      </c>
      <c r="E51" s="94">
        <f t="shared" si="2"/>
        <v>56</v>
      </c>
      <c r="F51" s="92">
        <f t="shared" si="1"/>
        <v>5.6000000000000001E-2</v>
      </c>
    </row>
    <row r="52" spans="3:6">
      <c r="C52" s="93">
        <v>14</v>
      </c>
      <c r="D52" s="93">
        <v>193823</v>
      </c>
      <c r="E52" s="94">
        <f t="shared" si="2"/>
        <v>118</v>
      </c>
      <c r="F52" s="92">
        <f t="shared" si="1"/>
        <v>0.11799999999999999</v>
      </c>
    </row>
    <row r="53" spans="3:6">
      <c r="C53" s="93">
        <v>15</v>
      </c>
      <c r="D53" s="93"/>
      <c r="E53" s="94">
        <f>E54</f>
        <v>80.5</v>
      </c>
      <c r="F53" s="92">
        <f t="shared" si="1"/>
        <v>8.0500000000000002E-2</v>
      </c>
    </row>
    <row r="54" spans="3:6">
      <c r="C54" s="93">
        <v>16</v>
      </c>
      <c r="D54" s="93">
        <v>193984</v>
      </c>
      <c r="E54" s="94">
        <f>(D54-D52)/2</f>
        <v>80.5</v>
      </c>
      <c r="F54" s="92">
        <f t="shared" si="1"/>
        <v>8.0500000000000002E-2</v>
      </c>
    </row>
    <row r="55" spans="3:6">
      <c r="C55" s="93">
        <v>17</v>
      </c>
      <c r="D55" s="93">
        <v>194078</v>
      </c>
      <c r="E55" s="94">
        <f t="shared" si="2"/>
        <v>94</v>
      </c>
      <c r="F55" s="92">
        <f t="shared" si="1"/>
        <v>9.4E-2</v>
      </c>
    </row>
    <row r="56" spans="3:6">
      <c r="C56" s="93">
        <v>18</v>
      </c>
      <c r="D56" s="93">
        <v>194212</v>
      </c>
      <c r="E56" s="94">
        <f t="shared" si="2"/>
        <v>134</v>
      </c>
      <c r="F56" s="92">
        <f t="shared" si="1"/>
        <v>0.13400000000000001</v>
      </c>
    </row>
    <row r="57" spans="3:6">
      <c r="C57" s="93">
        <v>19</v>
      </c>
      <c r="D57" s="93">
        <v>194293</v>
      </c>
      <c r="E57" s="94">
        <f t="shared" si="2"/>
        <v>81</v>
      </c>
      <c r="F57" s="92">
        <f t="shared" si="1"/>
        <v>8.1000000000000003E-2</v>
      </c>
    </row>
    <row r="58" spans="3:6">
      <c r="C58" s="93">
        <v>20</v>
      </c>
      <c r="D58" s="91">
        <v>194403</v>
      </c>
      <c r="E58" s="94">
        <f t="shared" si="2"/>
        <v>110</v>
      </c>
      <c r="F58" s="92">
        <f t="shared" si="1"/>
        <v>0.11</v>
      </c>
    </row>
    <row r="59" spans="3:6">
      <c r="C59" s="93">
        <v>21</v>
      </c>
      <c r="D59" s="93">
        <v>194499</v>
      </c>
      <c r="E59" s="94">
        <f t="shared" si="2"/>
        <v>96</v>
      </c>
      <c r="F59" s="92">
        <f t="shared" si="1"/>
        <v>9.6000000000000002E-2</v>
      </c>
    </row>
    <row r="60" spans="3:6">
      <c r="C60" s="93">
        <v>22</v>
      </c>
      <c r="D60" s="93"/>
      <c r="E60" s="94">
        <f>E61</f>
        <v>115.5</v>
      </c>
      <c r="F60" s="92">
        <f t="shared" si="1"/>
        <v>0.11550000000000001</v>
      </c>
    </row>
    <row r="61" spans="3:6">
      <c r="C61" s="93">
        <v>23</v>
      </c>
      <c r="D61" s="93">
        <v>194730</v>
      </c>
      <c r="E61" s="94">
        <f>(D61-D59)/2</f>
        <v>115.5</v>
      </c>
      <c r="F61" s="92">
        <f t="shared" si="1"/>
        <v>0.11550000000000001</v>
      </c>
    </row>
    <row r="62" spans="3:6">
      <c r="C62" s="93">
        <v>24</v>
      </c>
      <c r="D62" s="93">
        <v>194832</v>
      </c>
      <c r="E62" s="94">
        <f t="shared" si="2"/>
        <v>102</v>
      </c>
      <c r="F62" s="92">
        <f t="shared" si="1"/>
        <v>0.10199999999999999</v>
      </c>
    </row>
    <row r="63" spans="3:6">
      <c r="C63" s="93">
        <v>25</v>
      </c>
      <c r="D63" s="93">
        <v>194947</v>
      </c>
      <c r="E63" s="94">
        <f t="shared" si="2"/>
        <v>115</v>
      </c>
      <c r="F63" s="92">
        <f t="shared" si="1"/>
        <v>0.115</v>
      </c>
    </row>
    <row r="64" spans="3:6">
      <c r="C64" s="93">
        <v>26</v>
      </c>
      <c r="D64" s="91">
        <v>195084</v>
      </c>
      <c r="E64" s="94">
        <f t="shared" si="2"/>
        <v>137</v>
      </c>
      <c r="F64" s="92">
        <f>E64/1000000*1000</f>
        <v>0.13699999999999998</v>
      </c>
    </row>
    <row r="65" spans="3:6">
      <c r="C65" s="93">
        <v>27</v>
      </c>
      <c r="D65" s="93">
        <v>195152</v>
      </c>
      <c r="E65" s="94">
        <f t="shared" si="2"/>
        <v>68</v>
      </c>
      <c r="F65" s="92">
        <f t="shared" ref="F65:F69" si="3">E65/1000000*1000</f>
        <v>6.8000000000000005E-2</v>
      </c>
    </row>
    <row r="66" spans="3:6">
      <c r="C66" s="93">
        <v>28</v>
      </c>
      <c r="D66" s="93">
        <v>195266</v>
      </c>
      <c r="E66" s="94">
        <f t="shared" si="2"/>
        <v>114</v>
      </c>
      <c r="F66" s="92">
        <f t="shared" si="3"/>
        <v>0.114</v>
      </c>
    </row>
    <row r="67" spans="3:6">
      <c r="C67" s="93">
        <v>29</v>
      </c>
      <c r="D67" s="93"/>
      <c r="E67" s="94">
        <f>E68</f>
        <v>99</v>
      </c>
      <c r="F67" s="92">
        <f t="shared" si="3"/>
        <v>9.8999999999999991E-2</v>
      </c>
    </row>
    <row r="68" spans="3:6">
      <c r="C68" s="93">
        <v>30</v>
      </c>
      <c r="D68" s="93">
        <v>195464</v>
      </c>
      <c r="E68" s="94">
        <f>(D68-D66)/2</f>
        <v>99</v>
      </c>
      <c r="F68" s="92">
        <f t="shared" si="3"/>
        <v>9.8999999999999991E-2</v>
      </c>
    </row>
    <row r="69" spans="3:6" ht="15" thickBot="1">
      <c r="C69" s="93">
        <v>30</v>
      </c>
      <c r="D69" s="91">
        <v>195578</v>
      </c>
      <c r="E69" s="94">
        <f>(D69-D68)</f>
        <v>114</v>
      </c>
      <c r="F69" s="92">
        <f t="shared" si="3"/>
        <v>0.114</v>
      </c>
    </row>
    <row r="70" spans="3:6" ht="15.75" thickBot="1">
      <c r="C70" s="95"/>
      <c r="D70" s="96">
        <f>D69-D38</f>
        <v>3076</v>
      </c>
      <c r="E70" s="97">
        <f>SUM(E39:E69)</f>
        <v>3076</v>
      </c>
      <c r="F70" s="98">
        <f>SUM(F39:F69)</f>
        <v>3.076000000000001</v>
      </c>
    </row>
  </sheetData>
  <hyperlinks>
    <hyperlink ref="A3" location="Hyperlinks!A1" display="Hyperlinks!A1" xr:uid="{778603C7-F5DF-4D3F-A4EC-726BEAEF7DB8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FBBF19-A767-412B-9EA1-51B454DD494B}"/>
</file>

<file path=customXml/itemProps2.xml><?xml version="1.0" encoding="utf-8"?>
<ds:datastoreItem xmlns:ds="http://schemas.openxmlformats.org/officeDocument/2006/customXml" ds:itemID="{69F9933B-41B0-481C-934D-DC449607524D}"/>
</file>

<file path=customXml/itemProps3.xml><?xml version="1.0" encoding="utf-8"?>
<ds:datastoreItem xmlns:ds="http://schemas.openxmlformats.org/officeDocument/2006/customXml" ds:itemID="{0D714B09-4A7A-4CBB-8830-59207E1B8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Summertree</vt:lpstr>
      <vt:lpstr>Summertree Flow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2020-02-06T18:19:12Z</dcterms:created>
  <dcterms:modified xsi:type="dcterms:W3CDTF">2020-02-06T18:19:28Z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