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itlin\Desktop\PSC 3rd ROGs\"/>
    </mc:Choice>
  </mc:AlternateContent>
  <bookViews>
    <workbookView xWindow="0" yWindow="0" windowWidth="28800" windowHeight="11685"/>
  </bookViews>
  <sheets>
    <sheet name="Profit and Loss" sheetId="1" r:id="rId1"/>
  </sheets>
  <calcPr calcId="162913"/>
</workbook>
</file>

<file path=xl/calcChain.xml><?xml version="1.0" encoding="utf-8"?>
<calcChain xmlns="http://schemas.openxmlformats.org/spreadsheetml/2006/main">
  <c r="M65" i="1" l="1"/>
  <c r="L65" i="1"/>
  <c r="K65" i="1"/>
  <c r="J65" i="1"/>
  <c r="I65" i="1"/>
  <c r="H65" i="1"/>
  <c r="G65" i="1"/>
  <c r="F65" i="1"/>
  <c r="M49" i="1"/>
  <c r="L49" i="1"/>
  <c r="K49" i="1"/>
  <c r="J49" i="1"/>
  <c r="I49" i="1"/>
  <c r="G49" i="1"/>
  <c r="E49" i="1"/>
  <c r="D49" i="1"/>
  <c r="M34" i="1"/>
  <c r="L34" i="1"/>
  <c r="K34" i="1"/>
  <c r="I34" i="1"/>
  <c r="F34" i="1"/>
  <c r="E34" i="1"/>
  <c r="C34" i="1"/>
  <c r="B34" i="1"/>
  <c r="M33" i="1"/>
  <c r="L33" i="1"/>
  <c r="K33" i="1"/>
  <c r="J33" i="1"/>
  <c r="I33" i="1"/>
  <c r="H33" i="1"/>
  <c r="G33" i="1"/>
  <c r="F33" i="1"/>
  <c r="E33" i="1"/>
  <c r="D33" i="1"/>
  <c r="C33" i="1"/>
  <c r="B33" i="1"/>
  <c r="L32" i="1"/>
  <c r="K32" i="1"/>
  <c r="J32" i="1"/>
  <c r="H32" i="1"/>
  <c r="D32" i="1"/>
  <c r="K31" i="1"/>
  <c r="J31" i="1"/>
  <c r="B31" i="1"/>
  <c r="M30" i="1"/>
  <c r="L30" i="1"/>
  <c r="K30" i="1"/>
  <c r="J30" i="1"/>
  <c r="I30" i="1"/>
  <c r="G30" i="1"/>
  <c r="F30" i="1"/>
  <c r="E30" i="1"/>
  <c r="D30" i="1"/>
  <c r="C30" i="1"/>
  <c r="B30" i="1"/>
  <c r="M24" i="1"/>
  <c r="L24" i="1"/>
  <c r="K24" i="1"/>
  <c r="J24" i="1"/>
  <c r="I24" i="1"/>
  <c r="G24" i="1"/>
  <c r="F24" i="1"/>
  <c r="E24" i="1"/>
  <c r="D24" i="1"/>
  <c r="C24" i="1"/>
  <c r="B24" i="1"/>
  <c r="M45" i="1"/>
  <c r="L45" i="1"/>
  <c r="K45" i="1"/>
  <c r="J45" i="1"/>
  <c r="I45" i="1"/>
  <c r="H45" i="1"/>
  <c r="G45" i="1"/>
  <c r="F45" i="1"/>
  <c r="E45" i="1"/>
  <c r="D45" i="1"/>
  <c r="C45" i="1"/>
  <c r="B45" i="1"/>
  <c r="M20" i="1"/>
  <c r="L20" i="1"/>
  <c r="K20" i="1"/>
  <c r="J20" i="1"/>
  <c r="I20" i="1"/>
  <c r="H20" i="1"/>
  <c r="G20" i="1"/>
  <c r="F20" i="1"/>
  <c r="E20" i="1"/>
  <c r="D20" i="1"/>
  <c r="C20" i="1"/>
  <c r="B20" i="1"/>
  <c r="M18" i="1"/>
  <c r="L18" i="1"/>
  <c r="K18" i="1"/>
  <c r="J18" i="1"/>
  <c r="I18" i="1"/>
  <c r="H18" i="1"/>
  <c r="G18" i="1"/>
  <c r="F18" i="1"/>
  <c r="E18" i="1"/>
  <c r="D18" i="1"/>
  <c r="C18" i="1"/>
  <c r="B18" i="1"/>
  <c r="M15" i="1"/>
  <c r="L15" i="1"/>
  <c r="K15" i="1"/>
  <c r="J15" i="1"/>
  <c r="I15" i="1"/>
  <c r="H15" i="1"/>
  <c r="G15" i="1"/>
  <c r="F15" i="1"/>
  <c r="E15" i="1"/>
  <c r="D15" i="1"/>
  <c r="C15" i="1"/>
  <c r="B15" i="1"/>
  <c r="M12" i="1"/>
  <c r="L12" i="1"/>
  <c r="K12" i="1"/>
  <c r="J12" i="1"/>
  <c r="I12" i="1"/>
  <c r="H12" i="1"/>
  <c r="G12" i="1"/>
  <c r="F12" i="1"/>
  <c r="E12" i="1"/>
  <c r="D12" i="1"/>
  <c r="C12" i="1"/>
  <c r="B12" i="1"/>
  <c r="I29" i="1"/>
  <c r="G29" i="1"/>
  <c r="F29" i="1"/>
  <c r="C29" i="1"/>
  <c r="M28" i="1"/>
  <c r="L28" i="1"/>
  <c r="K28" i="1"/>
  <c r="J28" i="1"/>
  <c r="I28" i="1"/>
  <c r="H28" i="1"/>
  <c r="G28" i="1"/>
  <c r="D28" i="1"/>
  <c r="L27" i="1"/>
  <c r="I27" i="1"/>
  <c r="M26" i="1"/>
  <c r="J26" i="1"/>
  <c r="I26" i="1"/>
  <c r="H26" i="1"/>
  <c r="D26" i="1"/>
  <c r="C26" i="1"/>
  <c r="B26" i="1"/>
  <c r="K25" i="1"/>
  <c r="N25" i="1" s="1"/>
  <c r="K23" i="1"/>
  <c r="I23" i="1"/>
  <c r="G23" i="1"/>
  <c r="M21" i="1"/>
  <c r="K21" i="1"/>
  <c r="J21" i="1"/>
  <c r="I21" i="1"/>
  <c r="H21" i="1"/>
  <c r="G21" i="1"/>
  <c r="F21" i="1"/>
  <c r="D21" i="1"/>
  <c r="C21" i="1"/>
  <c r="B21" i="1"/>
  <c r="M14" i="1"/>
  <c r="L14" i="1"/>
  <c r="K14" i="1"/>
  <c r="J14" i="1"/>
  <c r="I14" i="1"/>
  <c r="H14" i="1"/>
  <c r="G14" i="1"/>
  <c r="F14" i="1"/>
  <c r="E14" i="1"/>
  <c r="D14" i="1"/>
  <c r="C14" i="1"/>
  <c r="B14" i="1"/>
  <c r="M74" i="1"/>
  <c r="L74" i="1"/>
  <c r="K74" i="1"/>
  <c r="J74" i="1"/>
  <c r="I74" i="1"/>
  <c r="H74" i="1"/>
  <c r="G74" i="1"/>
  <c r="F74" i="1"/>
  <c r="E74" i="1"/>
  <c r="D74" i="1"/>
  <c r="C74" i="1"/>
  <c r="B74" i="1"/>
  <c r="M73" i="1"/>
  <c r="L73" i="1"/>
  <c r="K73" i="1"/>
  <c r="J73" i="1"/>
  <c r="I73" i="1"/>
  <c r="H73" i="1"/>
  <c r="G73" i="1"/>
  <c r="F73" i="1"/>
  <c r="E73" i="1"/>
  <c r="D73" i="1"/>
  <c r="C73" i="1"/>
  <c r="B73" i="1"/>
  <c r="M72" i="1"/>
  <c r="L72" i="1"/>
  <c r="K72" i="1"/>
  <c r="J72" i="1"/>
  <c r="I72" i="1"/>
  <c r="H72" i="1"/>
  <c r="G72" i="1"/>
  <c r="F72" i="1"/>
  <c r="E72" i="1"/>
  <c r="D72" i="1"/>
  <c r="C72" i="1"/>
  <c r="B72" i="1"/>
  <c r="M71" i="1"/>
  <c r="L71" i="1"/>
  <c r="K71" i="1"/>
  <c r="J71" i="1"/>
  <c r="I71" i="1"/>
  <c r="H71" i="1"/>
  <c r="G71" i="1"/>
  <c r="F71" i="1"/>
  <c r="E71" i="1"/>
  <c r="D71" i="1"/>
  <c r="C71" i="1"/>
  <c r="B71" i="1"/>
  <c r="M70" i="1"/>
  <c r="L70" i="1"/>
  <c r="K70" i="1"/>
  <c r="J70" i="1"/>
  <c r="I70" i="1"/>
  <c r="H70" i="1"/>
  <c r="G70" i="1"/>
  <c r="F70" i="1"/>
  <c r="E70" i="1"/>
  <c r="D70" i="1"/>
  <c r="C70" i="1"/>
  <c r="B70" i="1"/>
  <c r="M69" i="1"/>
  <c r="L69" i="1"/>
  <c r="K69" i="1"/>
  <c r="J69" i="1"/>
  <c r="I69" i="1"/>
  <c r="H69" i="1"/>
  <c r="G69" i="1"/>
  <c r="F69" i="1"/>
  <c r="E69" i="1"/>
  <c r="D69" i="1"/>
  <c r="C69" i="1"/>
  <c r="B69" i="1"/>
  <c r="M68" i="1"/>
  <c r="L68" i="1"/>
  <c r="K68" i="1"/>
  <c r="I68" i="1"/>
  <c r="H68" i="1"/>
  <c r="E68" i="1"/>
  <c r="C68" i="1"/>
  <c r="B68" i="1"/>
  <c r="M67" i="1"/>
  <c r="L67" i="1"/>
  <c r="K67" i="1"/>
  <c r="J67" i="1"/>
  <c r="I67" i="1"/>
  <c r="H67" i="1"/>
  <c r="G67" i="1"/>
  <c r="F67" i="1"/>
  <c r="E67" i="1"/>
  <c r="D67" i="1"/>
  <c r="C67" i="1"/>
  <c r="B67" i="1"/>
  <c r="M66" i="1"/>
  <c r="J66" i="1"/>
  <c r="H66" i="1"/>
  <c r="G66" i="1"/>
  <c r="D66" i="1"/>
  <c r="M64" i="1"/>
  <c r="L64" i="1"/>
  <c r="K64" i="1"/>
  <c r="J64" i="1"/>
  <c r="I64" i="1"/>
  <c r="H64" i="1"/>
  <c r="G64" i="1"/>
  <c r="F64" i="1"/>
  <c r="E64" i="1"/>
  <c r="D64" i="1"/>
  <c r="C64" i="1"/>
  <c r="B64" i="1"/>
  <c r="C62" i="1"/>
  <c r="N62" i="1" s="1"/>
  <c r="M60" i="1"/>
  <c r="L60" i="1"/>
  <c r="K60" i="1"/>
  <c r="I60" i="1"/>
  <c r="H60" i="1"/>
  <c r="G60" i="1"/>
  <c r="F60" i="1"/>
  <c r="E60" i="1"/>
  <c r="D60" i="1"/>
  <c r="C60" i="1"/>
  <c r="B60" i="1"/>
  <c r="M58" i="1"/>
  <c r="L58" i="1"/>
  <c r="K58" i="1"/>
  <c r="J58" i="1"/>
  <c r="I58" i="1"/>
  <c r="H58" i="1"/>
  <c r="G58" i="1"/>
  <c r="F58" i="1"/>
  <c r="E58" i="1"/>
  <c r="D58" i="1"/>
  <c r="C58" i="1"/>
  <c r="B58" i="1"/>
  <c r="M56" i="1"/>
  <c r="L56" i="1"/>
  <c r="K56" i="1"/>
  <c r="J56" i="1"/>
  <c r="I56" i="1"/>
  <c r="H56" i="1"/>
  <c r="G56" i="1"/>
  <c r="F56" i="1"/>
  <c r="E56" i="1"/>
  <c r="D56" i="1"/>
  <c r="C56" i="1"/>
  <c r="B56" i="1"/>
  <c r="M53" i="1"/>
  <c r="L53" i="1"/>
  <c r="K53" i="1"/>
  <c r="J53" i="1"/>
  <c r="I53" i="1"/>
  <c r="H53" i="1"/>
  <c r="G53" i="1"/>
  <c r="F53" i="1"/>
  <c r="E53" i="1"/>
  <c r="D53" i="1"/>
  <c r="C53" i="1"/>
  <c r="B53" i="1"/>
  <c r="M52" i="1"/>
  <c r="L52" i="1"/>
  <c r="K52" i="1"/>
  <c r="J52" i="1"/>
  <c r="I52" i="1"/>
  <c r="H52" i="1"/>
  <c r="G52" i="1"/>
  <c r="F52" i="1"/>
  <c r="E52" i="1"/>
  <c r="D52" i="1"/>
  <c r="C52" i="1"/>
  <c r="B52" i="1"/>
  <c r="M47" i="1"/>
  <c r="L47" i="1"/>
  <c r="K47" i="1"/>
  <c r="F47" i="1"/>
  <c r="E43" i="1"/>
  <c r="D43" i="1"/>
  <c r="C43" i="1"/>
  <c r="B43" i="1"/>
  <c r="M41" i="1"/>
  <c r="L41" i="1"/>
  <c r="J41" i="1"/>
  <c r="I41" i="1"/>
  <c r="H41" i="1"/>
  <c r="G41" i="1"/>
  <c r="F41" i="1"/>
  <c r="E41" i="1"/>
  <c r="D41" i="1"/>
  <c r="C41" i="1"/>
  <c r="M39" i="1"/>
  <c r="L39" i="1"/>
  <c r="K39" i="1"/>
  <c r="J39" i="1"/>
  <c r="I39" i="1"/>
  <c r="H39" i="1"/>
  <c r="G39" i="1"/>
  <c r="F39" i="1"/>
  <c r="E39" i="1"/>
  <c r="D39" i="1"/>
  <c r="C39" i="1"/>
  <c r="B39" i="1"/>
  <c r="L37" i="1"/>
  <c r="K37" i="1"/>
  <c r="J37" i="1"/>
  <c r="I37" i="1"/>
  <c r="H37" i="1"/>
  <c r="G37" i="1"/>
  <c r="F37" i="1"/>
  <c r="E37" i="1"/>
  <c r="D37" i="1"/>
  <c r="C37" i="1"/>
  <c r="B37" i="1"/>
  <c r="M22" i="1"/>
  <c r="L22" i="1"/>
  <c r="K22" i="1"/>
  <c r="J22" i="1"/>
  <c r="I22" i="1"/>
  <c r="H22" i="1"/>
  <c r="G22" i="1"/>
  <c r="F22" i="1"/>
  <c r="E22" i="1"/>
  <c r="D22" i="1"/>
  <c r="C22" i="1"/>
  <c r="B22" i="1"/>
  <c r="M9" i="1"/>
  <c r="K9" i="1"/>
  <c r="F9" i="1"/>
  <c r="E9" i="1"/>
  <c r="D9" i="1"/>
  <c r="C9" i="1"/>
  <c r="M8" i="1"/>
  <c r="L8" i="1"/>
  <c r="K8" i="1"/>
  <c r="J8" i="1"/>
  <c r="I8" i="1"/>
  <c r="H8" i="1"/>
  <c r="G8" i="1"/>
  <c r="F8" i="1"/>
  <c r="E8" i="1"/>
  <c r="D8" i="1"/>
  <c r="C8" i="1"/>
  <c r="B8" i="1"/>
  <c r="M7" i="1"/>
  <c r="L7" i="1"/>
  <c r="J7" i="1"/>
  <c r="I7" i="1"/>
  <c r="H7" i="1"/>
  <c r="G7" i="1"/>
  <c r="F7" i="1"/>
  <c r="E7" i="1"/>
  <c r="D7" i="1"/>
  <c r="C7" i="1"/>
  <c r="B7" i="1"/>
  <c r="M77" i="1"/>
  <c r="L77" i="1"/>
  <c r="K77" i="1"/>
  <c r="J77" i="1"/>
  <c r="I77" i="1"/>
  <c r="H77" i="1"/>
  <c r="G77" i="1"/>
  <c r="F77" i="1"/>
  <c r="E77" i="1"/>
  <c r="D77" i="1"/>
  <c r="C77" i="1"/>
  <c r="B77" i="1"/>
  <c r="M5" i="1"/>
  <c r="L5" i="1"/>
  <c r="K5" i="1"/>
  <c r="J5" i="1"/>
  <c r="I5" i="1"/>
  <c r="H5" i="1"/>
  <c r="G5" i="1"/>
  <c r="F5" i="1"/>
  <c r="E5" i="1"/>
  <c r="D5" i="1"/>
  <c r="C5" i="1"/>
  <c r="B5" i="1"/>
  <c r="N5" i="1" l="1"/>
  <c r="N77" i="1"/>
  <c r="N7" i="1"/>
  <c r="N9" i="1"/>
  <c r="N43" i="1"/>
  <c r="N47" i="1"/>
  <c r="N52" i="1"/>
  <c r="N56" i="1"/>
  <c r="N58" i="1"/>
  <c r="N60" i="1"/>
  <c r="N53" i="1"/>
  <c r="N31" i="1"/>
  <c r="N64" i="1"/>
  <c r="N23" i="1"/>
  <c r="N32" i="1"/>
  <c r="N33" i="1"/>
  <c r="N34" i="1"/>
  <c r="N24" i="1"/>
  <c r="N22" i="1"/>
  <c r="N66" i="1"/>
  <c r="N67" i="1"/>
  <c r="N68" i="1"/>
  <c r="N69" i="1"/>
  <c r="N70" i="1"/>
  <c r="N71" i="1"/>
  <c r="N72" i="1"/>
  <c r="N73" i="1"/>
  <c r="N74" i="1"/>
  <c r="N27" i="1"/>
  <c r="N12" i="1"/>
  <c r="N15" i="1"/>
  <c r="N18" i="1"/>
  <c r="N20" i="1"/>
  <c r="N45" i="1"/>
  <c r="N49" i="1"/>
  <c r="N65" i="1"/>
  <c r="N39" i="1"/>
  <c r="N14" i="1"/>
  <c r="N26" i="1"/>
  <c r="N8" i="1"/>
  <c r="N37" i="1"/>
  <c r="N41" i="1"/>
  <c r="N28" i="1"/>
  <c r="N29" i="1"/>
  <c r="N30" i="1"/>
  <c r="N21" i="1"/>
  <c r="N75" i="1" l="1"/>
  <c r="N54" i="1"/>
  <c r="N35" i="1"/>
  <c r="N16" i="1"/>
  <c r="N10" i="1"/>
</calcChain>
</file>

<file path=xl/sharedStrings.xml><?xml version="1.0" encoding="utf-8"?>
<sst xmlns="http://schemas.openxmlformats.org/spreadsheetml/2006/main" count="63" uniqueCount="63">
  <si>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</si>
  <si>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</si>
  <si>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</si>
  <si>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</si>
  <si>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</si>
  <si>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</si>
  <si>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</si>
  <si>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</si>
  <si>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</si>
  <si>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</si>
  <si>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</si>
  <si>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</si>
  <si>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Total</t>
  </si>
  <si>
    <t xml:space="preserve">      7018000 Salaries&amp;Wages</t>
  </si>
  <si>
    <t xml:space="preserve">      7018100 Payroll Taxes</t>
  </si>
  <si>
    <t xml:space="preserve">      7048100 Employee Relations</t>
  </si>
  <si>
    <t xml:space="preserve">      7048200 Employee Benefit/Health</t>
  </si>
  <si>
    <t xml:space="preserve">      7048300 Employee Training</t>
  </si>
  <si>
    <t xml:space="preserve">      7200820 Office Supplies</t>
  </si>
  <si>
    <t xml:space="preserve">      7310820 Contract Services- Engineer</t>
  </si>
  <si>
    <t xml:space="preserve">      7320810 Contract Services- Acctg</t>
  </si>
  <si>
    <t xml:space="preserve">      7330810 Contract Services- Legal</t>
  </si>
  <si>
    <t xml:space="preserve">      7350810 Contract Services-Mgmt WLS</t>
  </si>
  <si>
    <t xml:space="preserve">      7410810 Rent - Property</t>
  </si>
  <si>
    <t xml:space="preserve">      7500810 Auto &amp; Travel</t>
  </si>
  <si>
    <t xml:space="preserve">      7500820 Fuel</t>
  </si>
  <si>
    <t xml:space="preserve">      7570050 Insurance - General Liab</t>
  </si>
  <si>
    <t xml:space="preserve">      7588000 Work Comp Insurance</t>
  </si>
  <si>
    <t xml:space="preserve">      7600810 Advertising/Promo/Website</t>
  </si>
  <si>
    <t xml:space="preserve">      7700700 Bad Debts</t>
  </si>
  <si>
    <t xml:space="preserve">      7750510 Utilities</t>
  </si>
  <si>
    <t xml:space="preserve">      7750810 Security &amp; Fire Protection</t>
  </si>
  <si>
    <t xml:space="preserve">      7750820 Postage</t>
  </si>
  <si>
    <t xml:space="preserve">      7750821 Courier</t>
  </si>
  <si>
    <t xml:space="preserve">      7750822 Payroll Admin Costs</t>
  </si>
  <si>
    <t xml:space="preserve">      7750830 Telephone &amp; Fax</t>
  </si>
  <si>
    <t xml:space="preserve">      7750840 Answering Service</t>
  </si>
  <si>
    <t xml:space="preserve">      7750850 Dues &amp; Subscriptions</t>
  </si>
  <si>
    <t xml:space="preserve">      7750860 Bank Fee</t>
  </si>
  <si>
    <t xml:space="preserve">      7750880 Computer</t>
  </si>
  <si>
    <t xml:space="preserve">      7150300 Purchased Power/Lift Stations</t>
  </si>
  <si>
    <t xml:space="preserve">      7200510 Equipment &amp;Supplies</t>
  </si>
  <si>
    <t xml:space="preserve">      7360110 Emergency Repairs</t>
  </si>
  <si>
    <t xml:space="preserve">      7360220 Sewer Lines- Repair &amp; Maintenance</t>
  </si>
  <si>
    <t xml:space="preserve">      7360330 Vacuum Collection System</t>
  </si>
  <si>
    <t xml:space="preserve">      7360410 Lift Stations-Cleaning</t>
  </si>
  <si>
    <t xml:space="preserve">      7360420 Lift Station Repair &amp; Maintenance</t>
  </si>
  <si>
    <t xml:space="preserve">      7360430 Pumps&amp;Panels Repairs &amp; Maint</t>
  </si>
  <si>
    <t xml:space="preserve">      7110500 Sludge Disposal</t>
  </si>
  <si>
    <t xml:space="preserve">      7150500 Purchased Power/ Plant</t>
  </si>
  <si>
    <t xml:space="preserve">      7180500 Chemicals</t>
  </si>
  <si>
    <t xml:space="preserve">      7180510 Supplies</t>
  </si>
  <si>
    <t xml:space="preserve">      7350500 Testing (DEP/Lab)</t>
  </si>
  <si>
    <t xml:space="preserve">      7360200 Vacuum Stn Repairs &amp; Maint</t>
  </si>
  <si>
    <t xml:space="preserve">      7360520 Equipment Repair &amp; Maintenance</t>
  </si>
  <si>
    <t xml:space="preserve">      7360530 Filter Beds</t>
  </si>
  <si>
    <t xml:space="preserve">      7360540 Generator Maintenance</t>
  </si>
  <si>
    <t xml:space="preserve">      7360600 Grounds and Office Maintenance</t>
  </si>
  <si>
    <t xml:space="preserve">      7360610 Plant Repair or Maintenance</t>
  </si>
  <si>
    <t xml:space="preserve">      7420510 Equipment Rental</t>
  </si>
  <si>
    <t xml:space="preserve">      7750500 Sanitation</t>
  </si>
  <si>
    <t>KW Resort Utilities Corp.</t>
  </si>
  <si>
    <t>January - December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</si>
</sst>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#,##0.00\ _€"/>
  </numFmts>
  <fonts count="7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4" fontId="1" fillId="0" borderId="1" xfId="0" applyNumberFormat="1" applyFont="1" applyBorder="1" applyAlignment="1">
      <alignment horizontal="center" wrapText="1"/>
    </xf>
    <xf numFmtId="44" fontId="6" fillId="2" borderId="0" xfId="0" applyNumberFormat="1" applyFont="1" applyFill="1" applyAlignment="1">
      <alignment horizontal="right" wrapText="1"/>
    </xf>
    <xf numFmtId="44" fontId="3" fillId="0" borderId="0" xfId="0" applyNumberFormat="1" applyFont="1" applyAlignment="1">
      <alignment horizontal="right" wrapText="1"/>
    </xf>
    <xf numFmtId="44" fontId="6" fillId="0" borderId="0" xfId="0" applyNumberFormat="1" applyFont="1" applyFill="1" applyAlignment="1">
      <alignment horizontal="right" wrapText="1"/>
    </xf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abSelected="1" topLeftCell="A55" workbookViewId="0">
      <selection activeCell="A77" sqref="A77:XFD77"/>
    </sheetView>
  </sheetViews>
  <sheetFormatPr defaultRowHeight="15" x14ac:dyDescent="0.25"/>
  <cols>
    <col min="1" max="1" width="41.28515625" customWidth="1"/>
    <col min="2" max="2" width="10.28515625" customWidth="1"/>
    <col min="3" max="4" width="11.140625" customWidth="1"/>
    <col min="5" max="5" width="12" customWidth="1"/>
    <col min="6" max="6" width="10.28515625" customWidth="1"/>
    <col min="7" max="7" width="12" customWidth="1"/>
    <col min="8" max="9" width="11.140625" customWidth="1"/>
    <col min="10" max="10" width="10.28515625" customWidth="1"/>
    <col min="11" max="12" width="11.140625" customWidth="1"/>
    <col min="13" max="13" width="12" customWidth="1"/>
    <col min="14" max="14" width="12" style="13" customWidth="1"/>
  </cols>
  <sheetData>
    <row r="1" spans="1:14" ht="18" x14ac:dyDescent="0.25">
      <c r="A1" s="7" t="s">
        <v>61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x14ac:dyDescent="0.25">
      <c r="A2" s="8" t="s">
        <v>62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4" spans="1:14" x14ac:dyDescent="0.25">
      <c r="A4" s="1"/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9" t="s">
        <v>12</v>
      </c>
    </row>
    <row r="5" spans="1:14" x14ac:dyDescent="0.25">
      <c r="A5" s="3" t="s">
        <v>13</v>
      </c>
      <c r="B5" s="5">
        <f>57877.51</f>
        <v>57877.51</v>
      </c>
      <c r="C5" s="5">
        <f>68650.56</f>
        <v>68650.559999999998</v>
      </c>
      <c r="D5" s="5">
        <f>57274.76</f>
        <v>57274.76</v>
      </c>
      <c r="E5" s="5">
        <f>61173.34</f>
        <v>61173.34</v>
      </c>
      <c r="F5" s="5">
        <f>66959.08</f>
        <v>66959.08</v>
      </c>
      <c r="G5" s="5">
        <f>68894.66</f>
        <v>68894.66</v>
      </c>
      <c r="H5" s="5">
        <f>80889.34</f>
        <v>80889.34</v>
      </c>
      <c r="I5" s="5">
        <f>82476.16</f>
        <v>82476.160000000003</v>
      </c>
      <c r="J5" s="5">
        <f>71898.11</f>
        <v>71898.11</v>
      </c>
      <c r="K5" s="5">
        <f>83480.24</f>
        <v>83480.240000000005</v>
      </c>
      <c r="L5" s="5">
        <f>68965.36</f>
        <v>68965.36</v>
      </c>
      <c r="M5" s="5">
        <f>72580.5</f>
        <v>72580.5</v>
      </c>
      <c r="N5" s="10">
        <f t="shared" ref="N5:N72" si="0">(((((((((((B5)+(C5))+(D5))+(E5))+(F5))+(G5))+(H5))+(I5))+(J5))+(K5))+(L5))+(M5)</f>
        <v>841119.62</v>
      </c>
    </row>
    <row r="7" spans="1:14" x14ac:dyDescent="0.25">
      <c r="A7" s="3" t="s">
        <v>15</v>
      </c>
      <c r="B7" s="5">
        <f>41.94</f>
        <v>41.94</v>
      </c>
      <c r="C7" s="5">
        <f>281.81</f>
        <v>281.81</v>
      </c>
      <c r="D7" s="5">
        <f>118.49</f>
        <v>118.49</v>
      </c>
      <c r="E7" s="5">
        <f>112.36</f>
        <v>112.36</v>
      </c>
      <c r="F7" s="5">
        <f>275.37</f>
        <v>275.37</v>
      </c>
      <c r="G7" s="5">
        <f>513.77</f>
        <v>513.77</v>
      </c>
      <c r="H7" s="5">
        <f>567.1</f>
        <v>567.1</v>
      </c>
      <c r="I7" s="5">
        <f>1279.71</f>
        <v>1279.71</v>
      </c>
      <c r="J7" s="5">
        <f>2074.02</f>
        <v>2074.02</v>
      </c>
      <c r="K7" s="4"/>
      <c r="L7" s="5">
        <f>303.14</f>
        <v>303.14</v>
      </c>
      <c r="M7" s="5">
        <f>1238.61</f>
        <v>1238.6099999999999</v>
      </c>
      <c r="N7" s="11">
        <f t="shared" si="0"/>
        <v>6806.32</v>
      </c>
    </row>
    <row r="8" spans="1:14" x14ac:dyDescent="0.25">
      <c r="A8" s="3" t="s">
        <v>16</v>
      </c>
      <c r="B8" s="5">
        <f>12544.98</f>
        <v>12544.98</v>
      </c>
      <c r="C8" s="5">
        <f>13658.31</f>
        <v>13658.31</v>
      </c>
      <c r="D8" s="5">
        <f>12810.22</f>
        <v>12810.22</v>
      </c>
      <c r="E8" s="5">
        <f>11270.53</f>
        <v>11270.53</v>
      </c>
      <c r="F8" s="5">
        <f>13308.73</f>
        <v>13308.73</v>
      </c>
      <c r="G8" s="5">
        <f>16002.63</f>
        <v>16002.63</v>
      </c>
      <c r="H8" s="5">
        <f>13725.72</f>
        <v>13725.72</v>
      </c>
      <c r="I8" s="5">
        <f>14593.86</f>
        <v>14593.86</v>
      </c>
      <c r="J8" s="5">
        <f>10984.28</f>
        <v>10984.28</v>
      </c>
      <c r="K8" s="5">
        <f>11472.75</f>
        <v>11472.75</v>
      </c>
      <c r="L8" s="5">
        <f>10695.83</f>
        <v>10695.83</v>
      </c>
      <c r="M8" s="5">
        <f>10741.33</f>
        <v>10741.33</v>
      </c>
      <c r="N8" s="11">
        <f t="shared" si="0"/>
        <v>151809.16999999998</v>
      </c>
    </row>
    <row r="9" spans="1:14" x14ac:dyDescent="0.25">
      <c r="A9" s="3" t="s">
        <v>17</v>
      </c>
      <c r="B9" s="4"/>
      <c r="C9" s="5">
        <f>72</f>
        <v>72</v>
      </c>
      <c r="D9" s="5">
        <f>115</f>
        <v>115</v>
      </c>
      <c r="E9" s="5">
        <f>207</f>
        <v>207</v>
      </c>
      <c r="F9" s="5">
        <f>50</f>
        <v>50</v>
      </c>
      <c r="G9" s="4"/>
      <c r="H9" s="4"/>
      <c r="I9" s="4"/>
      <c r="J9" s="4"/>
      <c r="K9" s="5">
        <f>50</f>
        <v>50</v>
      </c>
      <c r="L9" s="4"/>
      <c r="M9" s="5">
        <f>1440</f>
        <v>1440</v>
      </c>
      <c r="N9" s="11">
        <f t="shared" si="0"/>
        <v>1934</v>
      </c>
    </row>
    <row r="10" spans="1:14" x14ac:dyDescent="0.25">
      <c r="A10" s="3"/>
      <c r="B10" s="4"/>
      <c r="C10" s="5"/>
      <c r="D10" s="5"/>
      <c r="E10" s="5"/>
      <c r="F10" s="5"/>
      <c r="G10" s="4"/>
      <c r="H10" s="4"/>
      <c r="I10" s="4"/>
      <c r="J10" s="4"/>
      <c r="K10" s="5"/>
      <c r="L10" s="4"/>
      <c r="M10" s="5"/>
      <c r="N10" s="10">
        <f>SUM(N7:N9)</f>
        <v>160549.49</v>
      </c>
    </row>
    <row r="11" spans="1:14" x14ac:dyDescent="0.25">
      <c r="A11" s="3"/>
      <c r="B11" s="4"/>
      <c r="C11" s="5"/>
      <c r="D11" s="5"/>
      <c r="E11" s="5"/>
      <c r="F11" s="5"/>
      <c r="G11" s="4"/>
      <c r="H11" s="4"/>
      <c r="I11" s="4"/>
      <c r="J11" s="4"/>
      <c r="K11" s="5"/>
      <c r="L11" s="4"/>
      <c r="M11" s="5"/>
      <c r="N11" s="12"/>
    </row>
    <row r="12" spans="1:14" x14ac:dyDescent="0.25">
      <c r="A12" s="3" t="s">
        <v>48</v>
      </c>
      <c r="B12" s="5">
        <f>27375.11</f>
        <v>27375.11</v>
      </c>
      <c r="C12" s="5">
        <f>23862.55</f>
        <v>23862.55</v>
      </c>
      <c r="D12" s="5">
        <f>37943.06</f>
        <v>37943.06</v>
      </c>
      <c r="E12" s="5">
        <f>3262.29</f>
        <v>3262.29</v>
      </c>
      <c r="F12" s="5">
        <f>7452.69</f>
        <v>7452.69</v>
      </c>
      <c r="G12" s="5">
        <f>4397</f>
        <v>4397</v>
      </c>
      <c r="H12" s="5">
        <f>3067.71</f>
        <v>3067.71</v>
      </c>
      <c r="I12" s="5">
        <f>3046.07</f>
        <v>3046.07</v>
      </c>
      <c r="J12" s="5">
        <f>3071.69</f>
        <v>3071.69</v>
      </c>
      <c r="K12" s="5">
        <f>3254.69</f>
        <v>3254.69</v>
      </c>
      <c r="L12" s="5">
        <f>3386.87</f>
        <v>3386.87</v>
      </c>
      <c r="M12" s="5">
        <f>3167.81</f>
        <v>3167.81</v>
      </c>
      <c r="N12" s="10">
        <f>(((((((((((B12)+(C12))+(D12))+(E12))+(F12))+(G12))+(H12))+(I12))+(J12))+(K12))+(L12))+(M12)</f>
        <v>123287.54000000001</v>
      </c>
    </row>
    <row r="13" spans="1:14" x14ac:dyDescent="0.25">
      <c r="A13" s="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12"/>
    </row>
    <row r="14" spans="1:14" x14ac:dyDescent="0.25">
      <c r="A14" s="3" t="s">
        <v>40</v>
      </c>
      <c r="B14" s="5">
        <f>1134.21</f>
        <v>1134.21</v>
      </c>
      <c r="C14" s="5">
        <f>1118.49</f>
        <v>1118.49</v>
      </c>
      <c r="D14" s="5">
        <f>1203.44</f>
        <v>1203.44</v>
      </c>
      <c r="E14" s="5">
        <f>1235.89</f>
        <v>1235.8900000000001</v>
      </c>
      <c r="F14" s="5">
        <f>1208.27</f>
        <v>1208.27</v>
      </c>
      <c r="G14" s="5">
        <f>1315.4</f>
        <v>1315.4</v>
      </c>
      <c r="H14" s="5">
        <f>1321.02</f>
        <v>1321.02</v>
      </c>
      <c r="I14" s="5">
        <f>1388.91</f>
        <v>1388.91</v>
      </c>
      <c r="J14" s="5">
        <f>1201.09</f>
        <v>1201.0899999999999</v>
      </c>
      <c r="K14" s="5">
        <f>1631.67</f>
        <v>1631.67</v>
      </c>
      <c r="L14" s="5">
        <f>1236.36</f>
        <v>1236.3599999999999</v>
      </c>
      <c r="M14" s="5">
        <f>1313.44</f>
        <v>1313.44</v>
      </c>
      <c r="N14" s="11">
        <f>(((((((((((B14)+(C14))+(D14))+(E14))+(F14))+(G14))+(H14))+(I14))+(J14))+(K14))+(L14))+(M14)</f>
        <v>15308.19</v>
      </c>
    </row>
    <row r="15" spans="1:14" x14ac:dyDescent="0.25">
      <c r="A15" s="3" t="s">
        <v>49</v>
      </c>
      <c r="B15" s="5">
        <f>11253.03</f>
        <v>11253.03</v>
      </c>
      <c r="C15" s="5">
        <f>11878.9</f>
        <v>11878.9</v>
      </c>
      <c r="D15" s="5">
        <f>12435.15</f>
        <v>12435.15</v>
      </c>
      <c r="E15" s="5">
        <f>17086.99</f>
        <v>17086.990000000002</v>
      </c>
      <c r="F15" s="5">
        <f>14984.36</f>
        <v>14984.36</v>
      </c>
      <c r="G15" s="5">
        <f>16020.94</f>
        <v>16020.94</v>
      </c>
      <c r="H15" s="5">
        <f>19061.32</f>
        <v>19061.32</v>
      </c>
      <c r="I15" s="5">
        <f>18286.34</f>
        <v>18286.34</v>
      </c>
      <c r="J15" s="5">
        <f>15794.96</f>
        <v>15794.96</v>
      </c>
      <c r="K15" s="5">
        <f>17083.97</f>
        <v>17083.97</v>
      </c>
      <c r="L15" s="5">
        <f>15617.66</f>
        <v>15617.66</v>
      </c>
      <c r="M15" s="5">
        <f>16537.8</f>
        <v>16537.8</v>
      </c>
      <c r="N15" s="11">
        <f>(((((((((((B15)+(C15))+(D15))+(E15))+(F15))+(G15))+(H15))+(I15))+(J15))+(K15))+(L15))+(M15)</f>
        <v>186041.41999999998</v>
      </c>
    </row>
    <row r="16" spans="1:14" x14ac:dyDescent="0.25">
      <c r="A16" s="3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0">
        <f>SUM(N14:N15)</f>
        <v>201349.61</v>
      </c>
    </row>
    <row r="17" spans="1:14" x14ac:dyDescent="0.25">
      <c r="A17" s="3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2"/>
    </row>
    <row r="18" spans="1:14" x14ac:dyDescent="0.25">
      <c r="A18" s="3" t="s">
        <v>50</v>
      </c>
      <c r="B18" s="5">
        <f>17807.55</f>
        <v>17807.55</v>
      </c>
      <c r="C18" s="5">
        <f>12465.93</f>
        <v>12465.93</v>
      </c>
      <c r="D18" s="5">
        <f>5751.25</f>
        <v>5751.25</v>
      </c>
      <c r="E18" s="5">
        <f>3698.1</f>
        <v>3698.1</v>
      </c>
      <c r="F18" s="5">
        <f>5954.62</f>
        <v>5954.62</v>
      </c>
      <c r="G18" s="5">
        <f>11940.75</f>
        <v>11940.75</v>
      </c>
      <c r="H18" s="5">
        <f>4145.95</f>
        <v>4145.95</v>
      </c>
      <c r="I18" s="5">
        <f>10923.75</f>
        <v>10923.75</v>
      </c>
      <c r="J18" s="5">
        <f>8640.5</f>
        <v>8640.5</v>
      </c>
      <c r="K18" s="5">
        <f>21294.44</f>
        <v>21294.44</v>
      </c>
      <c r="L18" s="5">
        <f>7294.49</f>
        <v>7294.49</v>
      </c>
      <c r="M18" s="5">
        <f>17397.13</f>
        <v>17397.13</v>
      </c>
      <c r="N18" s="10">
        <f>(((((((((((B18)+(C18))+(D18))+(E18))+(F18))+(G18))+(H18))+(I18))+(J18))+(K18))+(L18))+(M18)</f>
        <v>127314.46</v>
      </c>
    </row>
    <row r="19" spans="1:14" x14ac:dyDescent="0.25">
      <c r="A19" s="3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11"/>
    </row>
    <row r="20" spans="1:14" x14ac:dyDescent="0.25">
      <c r="A20" s="3" t="s">
        <v>51</v>
      </c>
      <c r="B20" s="5">
        <f>1376.81</f>
        <v>1376.81</v>
      </c>
      <c r="C20" s="5">
        <f>2836.83</f>
        <v>2836.83</v>
      </c>
      <c r="D20" s="5">
        <f>2561.21</f>
        <v>2561.21</v>
      </c>
      <c r="E20" s="5">
        <f>2599.72</f>
        <v>2599.7199999999998</v>
      </c>
      <c r="F20" s="5">
        <f>1589.46</f>
        <v>1589.46</v>
      </c>
      <c r="G20" s="5">
        <f>2231.76</f>
        <v>2231.7600000000002</v>
      </c>
      <c r="H20" s="5">
        <f>3813.18</f>
        <v>3813.18</v>
      </c>
      <c r="I20" s="5">
        <f>5392.67</f>
        <v>5392.67</v>
      </c>
      <c r="J20" s="5">
        <f>6982.37</f>
        <v>6982.37</v>
      </c>
      <c r="K20" s="5">
        <f>4457.07</f>
        <v>4457.07</v>
      </c>
      <c r="L20" s="5">
        <f>7542.95</f>
        <v>7542.95</v>
      </c>
      <c r="M20" s="5">
        <f>3955.67</f>
        <v>3955.67</v>
      </c>
      <c r="N20" s="11">
        <f>(((((((((((B20)+(C20))+(D20))+(E20))+(F20))+(G20))+(H20))+(I20))+(J20))+(K20))+(L20))+(M20)</f>
        <v>45339.7</v>
      </c>
    </row>
    <row r="21" spans="1:14" x14ac:dyDescent="0.25">
      <c r="A21" s="3" t="s">
        <v>41</v>
      </c>
      <c r="B21" s="5">
        <f>994.21</f>
        <v>994.21</v>
      </c>
      <c r="C21" s="5">
        <f>87.4</f>
        <v>87.4</v>
      </c>
      <c r="D21" s="5">
        <f>1251.6</f>
        <v>1251.5999999999999</v>
      </c>
      <c r="E21" s="4"/>
      <c r="F21" s="5">
        <f>134.92</f>
        <v>134.91999999999999</v>
      </c>
      <c r="G21" s="5">
        <f>612.55</f>
        <v>612.54999999999995</v>
      </c>
      <c r="H21" s="5">
        <f>447.58</f>
        <v>447.58</v>
      </c>
      <c r="I21" s="5">
        <f>945.83</f>
        <v>945.83</v>
      </c>
      <c r="J21" s="5">
        <f>1884.01</f>
        <v>1884.01</v>
      </c>
      <c r="K21" s="5">
        <f>650.93</f>
        <v>650.92999999999995</v>
      </c>
      <c r="L21" s="4"/>
      <c r="M21" s="5">
        <f>4990.86</f>
        <v>4990.8599999999997</v>
      </c>
      <c r="N21" s="11">
        <f>(((((((((((B21)+(C21))+(D21))+(E21))+(F21))+(G21))+(H21))+(I21))+(J21))+(K21))+(L21))+(M21)</f>
        <v>11999.89</v>
      </c>
    </row>
    <row r="22" spans="1:14" x14ac:dyDescent="0.25">
      <c r="A22" s="3" t="s">
        <v>18</v>
      </c>
      <c r="B22" s="5">
        <f>746.18</f>
        <v>746.18</v>
      </c>
      <c r="C22" s="5">
        <f>524.01</f>
        <v>524.01</v>
      </c>
      <c r="D22" s="5">
        <f>1569.62</f>
        <v>1569.62</v>
      </c>
      <c r="E22" s="5">
        <f>620.38</f>
        <v>620.38</v>
      </c>
      <c r="F22" s="5">
        <f>734.52</f>
        <v>734.52</v>
      </c>
      <c r="G22" s="5">
        <f>1190.18</f>
        <v>1190.18</v>
      </c>
      <c r="H22" s="5">
        <f>648.82</f>
        <v>648.82000000000005</v>
      </c>
      <c r="I22" s="5">
        <f>1056.69</f>
        <v>1056.69</v>
      </c>
      <c r="J22" s="5">
        <f>478.15</f>
        <v>478.15</v>
      </c>
      <c r="K22" s="5">
        <f>1049.22</f>
        <v>1049.22</v>
      </c>
      <c r="L22" s="5">
        <f>2917.77</f>
        <v>2917.77</v>
      </c>
      <c r="M22" s="5">
        <f>892.34</f>
        <v>892.34</v>
      </c>
      <c r="N22" s="11">
        <f>(((((((((((B22)+(C22))+(D22))+(E22))+(F22))+(G22))+(H22))+(I22))+(J22))+(K22))+(L22))+(M22)</f>
        <v>12427.88</v>
      </c>
    </row>
    <row r="23" spans="1:14" x14ac:dyDescent="0.25">
      <c r="A23" s="3" t="s">
        <v>42</v>
      </c>
      <c r="B23" s="4"/>
      <c r="C23" s="4"/>
      <c r="D23" s="4"/>
      <c r="E23" s="4"/>
      <c r="F23" s="4"/>
      <c r="G23" s="5">
        <f>406.9</f>
        <v>406.9</v>
      </c>
      <c r="H23" s="4"/>
      <c r="I23" s="5">
        <f>5275.81</f>
        <v>5275.81</v>
      </c>
      <c r="J23" s="4"/>
      <c r="K23" s="5">
        <f>10050</f>
        <v>10050</v>
      </c>
      <c r="L23" s="4"/>
      <c r="M23" s="4"/>
      <c r="N23" s="11">
        <f>(((((((((((B23)+(C23))+(D23))+(E23))+(F23))+(G23))+(H23))+(I23))+(J23))+(K23))+(L23))+(M23)</f>
        <v>15732.71</v>
      </c>
    </row>
    <row r="24" spans="1:14" x14ac:dyDescent="0.25">
      <c r="A24" s="3" t="s">
        <v>53</v>
      </c>
      <c r="B24" s="5">
        <f>1406.87</f>
        <v>1406.87</v>
      </c>
      <c r="C24" s="5">
        <f>1022.37</f>
        <v>1022.37</v>
      </c>
      <c r="D24" s="5">
        <f>302.28</f>
        <v>302.27999999999997</v>
      </c>
      <c r="E24" s="5">
        <f>2297.47</f>
        <v>2297.4699999999998</v>
      </c>
      <c r="F24" s="5">
        <f>673.62</f>
        <v>673.62</v>
      </c>
      <c r="G24" s="5">
        <f>2883.55</f>
        <v>2883.55</v>
      </c>
      <c r="H24" s="4"/>
      <c r="I24" s="5">
        <f>22.11</f>
        <v>22.11</v>
      </c>
      <c r="J24" s="5">
        <f>271.57</f>
        <v>271.57</v>
      </c>
      <c r="K24" s="5">
        <f>658.88</f>
        <v>658.88</v>
      </c>
      <c r="L24" s="5">
        <f>902</f>
        <v>902</v>
      </c>
      <c r="M24" s="5">
        <f>5789.32</f>
        <v>5789.32</v>
      </c>
      <c r="N24" s="11">
        <f>(((((((((((B24)+(C24))+(D24))+(E24))+(F24))+(G24))+(H24))+(I24))+(J24))+(K24))+(L24))+(M24)</f>
        <v>16230.039999999999</v>
      </c>
    </row>
    <row r="25" spans="1:14" x14ac:dyDescent="0.25">
      <c r="A25" s="3" t="s">
        <v>43</v>
      </c>
      <c r="B25" s="4"/>
      <c r="C25" s="4"/>
      <c r="D25" s="4"/>
      <c r="E25" s="4"/>
      <c r="F25" s="4"/>
      <c r="G25" s="4"/>
      <c r="H25" s="4"/>
      <c r="I25" s="4"/>
      <c r="J25" s="4"/>
      <c r="K25" s="5">
        <f>26.47</f>
        <v>26.47</v>
      </c>
      <c r="L25" s="4"/>
      <c r="M25" s="4"/>
      <c r="N25" s="11">
        <f>(((((((((((B25)+(C25))+(D25))+(E25))+(F25))+(G25))+(H25))+(I25))+(J25))+(K25))+(L25))+(M25)</f>
        <v>26.47</v>
      </c>
    </row>
    <row r="26" spans="1:14" x14ac:dyDescent="0.25">
      <c r="A26" s="3" t="s">
        <v>44</v>
      </c>
      <c r="B26" s="5">
        <f>166.16</f>
        <v>166.16</v>
      </c>
      <c r="C26" s="5">
        <f>41.54</f>
        <v>41.54</v>
      </c>
      <c r="D26" s="5">
        <f>1142.98</f>
        <v>1142.98</v>
      </c>
      <c r="E26" s="4"/>
      <c r="F26" s="4"/>
      <c r="G26" s="4"/>
      <c r="H26" s="5">
        <f>268.75</f>
        <v>268.75</v>
      </c>
      <c r="I26" s="5">
        <f>1076.8</f>
        <v>1076.8</v>
      </c>
      <c r="J26" s="5">
        <f>158.6</f>
        <v>158.6</v>
      </c>
      <c r="K26" s="4"/>
      <c r="L26" s="4"/>
      <c r="M26" s="5">
        <f>671.88</f>
        <v>671.88</v>
      </c>
      <c r="N26" s="11">
        <f>(((((((((((B26)+(C26))+(D26))+(E26))+(F26))+(G26))+(H26))+(I26))+(J26))+(K26))+(L26))+(M26)</f>
        <v>3526.71</v>
      </c>
    </row>
    <row r="27" spans="1:14" x14ac:dyDescent="0.25">
      <c r="A27" s="3" t="s">
        <v>45</v>
      </c>
      <c r="B27" s="4"/>
      <c r="C27" s="4"/>
      <c r="D27" s="4"/>
      <c r="E27" s="4"/>
      <c r="F27" s="4"/>
      <c r="G27" s="4"/>
      <c r="H27" s="4"/>
      <c r="I27" s="5">
        <f>2075</f>
        <v>2075</v>
      </c>
      <c r="J27" s="4"/>
      <c r="K27" s="4"/>
      <c r="L27" s="5">
        <f>1625</f>
        <v>1625</v>
      </c>
      <c r="M27" s="4"/>
      <c r="N27" s="11">
        <f>(((((((((((B27)+(C27))+(D27))+(E27))+(F27))+(G27))+(H27))+(I27))+(J27))+(K27))+(L27))+(M27)</f>
        <v>3700</v>
      </c>
    </row>
    <row r="28" spans="1:14" x14ac:dyDescent="0.25">
      <c r="A28" s="3" t="s">
        <v>46</v>
      </c>
      <c r="B28" s="4"/>
      <c r="C28" s="4"/>
      <c r="D28" s="5">
        <f>25.71</f>
        <v>25.71</v>
      </c>
      <c r="E28" s="4"/>
      <c r="F28" s="4"/>
      <c r="G28" s="5">
        <f>8.24</f>
        <v>8.24</v>
      </c>
      <c r="H28" s="5">
        <f>626.5</f>
        <v>626.5</v>
      </c>
      <c r="I28" s="5">
        <f>893.46</f>
        <v>893.46</v>
      </c>
      <c r="J28" s="5">
        <f>868.23</f>
        <v>868.23</v>
      </c>
      <c r="K28" s="5">
        <f>858.93</f>
        <v>858.93</v>
      </c>
      <c r="L28" s="5">
        <f>1771.2</f>
        <v>1771.2</v>
      </c>
      <c r="M28" s="5">
        <f>101.95</f>
        <v>101.95</v>
      </c>
      <c r="N28" s="11">
        <f>(((((((((((B28)+(C28))+(D28))+(E28))+(F28))+(G28))+(H28))+(I28))+(J28))+(K28))+(L28))+(M28)</f>
        <v>5154.22</v>
      </c>
    </row>
    <row r="29" spans="1:14" x14ac:dyDescent="0.25">
      <c r="A29" s="3" t="s">
        <v>47</v>
      </c>
      <c r="B29" s="4"/>
      <c r="C29" s="5">
        <f>339.3</f>
        <v>339.3</v>
      </c>
      <c r="D29" s="4"/>
      <c r="E29" s="4"/>
      <c r="F29" s="5">
        <f>154.34</f>
        <v>154.34</v>
      </c>
      <c r="G29" s="5">
        <f>287.48</f>
        <v>287.48</v>
      </c>
      <c r="H29" s="4"/>
      <c r="I29" s="5">
        <f>875.29</f>
        <v>875.29</v>
      </c>
      <c r="J29" s="4"/>
      <c r="K29" s="4"/>
      <c r="L29" s="4"/>
      <c r="M29" s="4"/>
      <c r="N29" s="11">
        <f>(((((((((((B29)+(C29))+(D29))+(E29))+(F29))+(G29))+(H29))+(I29))+(J29))+(K29))+(L29))+(M29)</f>
        <v>1656.4099999999999</v>
      </c>
    </row>
    <row r="30" spans="1:14" x14ac:dyDescent="0.25">
      <c r="A30" s="3" t="s">
        <v>54</v>
      </c>
      <c r="B30" s="5">
        <f>66.08</f>
        <v>66.08</v>
      </c>
      <c r="C30" s="5">
        <f>890.9</f>
        <v>890.9</v>
      </c>
      <c r="D30" s="5">
        <f>959.85</f>
        <v>959.85</v>
      </c>
      <c r="E30" s="5">
        <f>123.38</f>
        <v>123.38</v>
      </c>
      <c r="F30" s="5">
        <f>1375.28</f>
        <v>1375.28</v>
      </c>
      <c r="G30" s="5">
        <f>463.48</f>
        <v>463.48</v>
      </c>
      <c r="H30" s="4"/>
      <c r="I30" s="5">
        <f>1376.3</f>
        <v>1376.3</v>
      </c>
      <c r="J30" s="5">
        <f>1493.18</f>
        <v>1493.18</v>
      </c>
      <c r="K30" s="5">
        <f>7096.5</f>
        <v>7096.5</v>
      </c>
      <c r="L30" s="5">
        <f>798.9</f>
        <v>798.9</v>
      </c>
      <c r="M30" s="5">
        <f>26.88</f>
        <v>26.88</v>
      </c>
      <c r="N30" s="11">
        <f>(((((((((((B30)+(C30))+(D30))+(E30))+(F30))+(G30))+(H30))+(I30))+(J30))+(K30))+(L30))+(M30)</f>
        <v>14670.73</v>
      </c>
    </row>
    <row r="31" spans="1:14" x14ac:dyDescent="0.25">
      <c r="A31" s="3" t="s">
        <v>55</v>
      </c>
      <c r="B31" s="5">
        <f>26.86</f>
        <v>26.86</v>
      </c>
      <c r="C31" s="4"/>
      <c r="D31" s="4"/>
      <c r="E31" s="4"/>
      <c r="F31" s="4"/>
      <c r="G31" s="4"/>
      <c r="H31" s="4"/>
      <c r="I31" s="4"/>
      <c r="J31" s="5">
        <f>237.89</f>
        <v>237.89</v>
      </c>
      <c r="K31" s="5">
        <f>85.56</f>
        <v>85.56</v>
      </c>
      <c r="L31" s="4"/>
      <c r="M31" s="4"/>
      <c r="N31" s="11">
        <f>(((((((((((B31)+(C31))+(D31))+(E31))+(F31))+(G31))+(H31))+(I31))+(J31))+(K31))+(L31))+(M31)</f>
        <v>350.31</v>
      </c>
    </row>
    <row r="32" spans="1:14" x14ac:dyDescent="0.25">
      <c r="A32" s="3" t="s">
        <v>56</v>
      </c>
      <c r="B32" s="4"/>
      <c r="C32" s="4"/>
      <c r="D32" s="5">
        <f>493.62</f>
        <v>493.62</v>
      </c>
      <c r="E32" s="4"/>
      <c r="F32" s="4"/>
      <c r="G32" s="4"/>
      <c r="H32" s="5">
        <f>1185.88</f>
        <v>1185.8800000000001</v>
      </c>
      <c r="I32" s="4"/>
      <c r="J32" s="5">
        <f>5862.27</f>
        <v>5862.27</v>
      </c>
      <c r="K32" s="5">
        <f>268.75</f>
        <v>268.75</v>
      </c>
      <c r="L32" s="5">
        <f>9.69</f>
        <v>9.69</v>
      </c>
      <c r="M32" s="4"/>
      <c r="N32" s="11">
        <f>(((((((((((B32)+(C32))+(D32))+(E32))+(F32))+(G32))+(H32))+(I32))+(J32))+(K32))+(L32))+(M32)</f>
        <v>7820.21</v>
      </c>
    </row>
    <row r="33" spans="1:14" x14ac:dyDescent="0.25">
      <c r="A33" s="3" t="s">
        <v>57</v>
      </c>
      <c r="B33" s="5">
        <f>186.29</f>
        <v>186.29</v>
      </c>
      <c r="C33" s="5">
        <f>33.58</f>
        <v>33.58</v>
      </c>
      <c r="D33" s="5">
        <f>88.65</f>
        <v>88.65</v>
      </c>
      <c r="E33" s="5">
        <f>120</f>
        <v>120</v>
      </c>
      <c r="F33" s="5">
        <f>523.44</f>
        <v>523.44000000000005</v>
      </c>
      <c r="G33" s="5">
        <f>180</f>
        <v>180</v>
      </c>
      <c r="H33" s="5">
        <f>300</f>
        <v>300</v>
      </c>
      <c r="I33" s="5">
        <f>910.11</f>
        <v>910.11</v>
      </c>
      <c r="J33" s="5">
        <f>694.14</f>
        <v>694.14</v>
      </c>
      <c r="K33" s="5">
        <f>1350.42</f>
        <v>1350.42</v>
      </c>
      <c r="L33" s="5">
        <f>3441</f>
        <v>3441</v>
      </c>
      <c r="M33" s="5">
        <f>703.75</f>
        <v>703.75</v>
      </c>
      <c r="N33" s="11">
        <f>(((((((((((B33)+(C33))+(D33))+(E33))+(F33))+(G33))+(H33))+(I33))+(J33))+(K33))+(L33))+(M33)</f>
        <v>8531.380000000001</v>
      </c>
    </row>
    <row r="34" spans="1:14" x14ac:dyDescent="0.25">
      <c r="A34" s="3" t="s">
        <v>58</v>
      </c>
      <c r="B34" s="5">
        <f>137.67</f>
        <v>137.66999999999999</v>
      </c>
      <c r="C34" s="5">
        <f>244</f>
        <v>244</v>
      </c>
      <c r="D34" s="4"/>
      <c r="E34" s="5">
        <f>2348.44</f>
        <v>2348.44</v>
      </c>
      <c r="F34" s="5">
        <f>1379.33</f>
        <v>1379.33</v>
      </c>
      <c r="G34" s="4"/>
      <c r="H34" s="4"/>
      <c r="I34" s="5">
        <f>224.15</f>
        <v>224.15</v>
      </c>
      <c r="J34" s="4"/>
      <c r="K34" s="5">
        <f>72.43</f>
        <v>72.430000000000007</v>
      </c>
      <c r="L34" s="5">
        <f>1570.5</f>
        <v>1570.5</v>
      </c>
      <c r="M34" s="5">
        <f>212.07</f>
        <v>212.07</v>
      </c>
      <c r="N34" s="11">
        <f>(((((((((((B34)+(C34))+(D34))+(E34))+(F34))+(G34))+(H34))+(I34))+(J34))+(K34))+(L34))+(M34)</f>
        <v>6188.59</v>
      </c>
    </row>
    <row r="35" spans="1:14" x14ac:dyDescent="0.25">
      <c r="A35" s="3"/>
      <c r="B35" s="5"/>
      <c r="C35" s="5"/>
      <c r="D35" s="5"/>
      <c r="E35" s="5"/>
      <c r="F35" s="5"/>
      <c r="G35" s="5"/>
      <c r="H35" s="4"/>
      <c r="I35" s="5"/>
      <c r="J35" s="5"/>
      <c r="K35" s="5"/>
      <c r="L35" s="5"/>
      <c r="M35" s="5"/>
      <c r="N35" s="10">
        <f>SUM(N20:N34)</f>
        <v>153355.25</v>
      </c>
    </row>
    <row r="36" spans="1:14" x14ac:dyDescent="0.25">
      <c r="A36" s="3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1"/>
    </row>
    <row r="37" spans="1:14" x14ac:dyDescent="0.25">
      <c r="A37" s="3" t="s">
        <v>19</v>
      </c>
      <c r="B37" s="5">
        <f>380</f>
        <v>380</v>
      </c>
      <c r="C37" s="5">
        <f>807.5</f>
        <v>807.5</v>
      </c>
      <c r="D37" s="5">
        <f>1045</f>
        <v>1045</v>
      </c>
      <c r="E37" s="5">
        <f>1330</f>
        <v>1330</v>
      </c>
      <c r="F37" s="5">
        <f>237.5</f>
        <v>237.5</v>
      </c>
      <c r="G37" s="5">
        <f>3611.25</f>
        <v>3611.25</v>
      </c>
      <c r="H37" s="5">
        <f>7103.75</f>
        <v>7103.75</v>
      </c>
      <c r="I37" s="5">
        <f>1017.5</f>
        <v>1017.5</v>
      </c>
      <c r="J37" s="5">
        <f>95</f>
        <v>95</v>
      </c>
      <c r="K37" s="5">
        <f>285</f>
        <v>285</v>
      </c>
      <c r="L37" s="5">
        <f>218.75</f>
        <v>218.75</v>
      </c>
      <c r="M37" s="4"/>
      <c r="N37" s="10">
        <f t="shared" si="0"/>
        <v>16131.25</v>
      </c>
    </row>
    <row r="38" spans="1:14" x14ac:dyDescent="0.25">
      <c r="A38" s="3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4"/>
      <c r="N38" s="11"/>
    </row>
    <row r="39" spans="1:14" x14ac:dyDescent="0.25">
      <c r="A39" s="3" t="s">
        <v>20</v>
      </c>
      <c r="B39" s="5">
        <f>2750</f>
        <v>2750</v>
      </c>
      <c r="C39" s="5">
        <f>3112.5</f>
        <v>3112.5</v>
      </c>
      <c r="D39" s="5">
        <f>525</f>
        <v>525</v>
      </c>
      <c r="E39" s="5">
        <f>937.5</f>
        <v>937.5</v>
      </c>
      <c r="F39" s="5">
        <f>900</f>
        <v>900</v>
      </c>
      <c r="G39" s="5">
        <f>525</f>
        <v>525</v>
      </c>
      <c r="H39" s="5">
        <f>11547.5</f>
        <v>11547.5</v>
      </c>
      <c r="I39" s="5">
        <f>900</f>
        <v>900</v>
      </c>
      <c r="J39" s="5">
        <f>2525</f>
        <v>2525</v>
      </c>
      <c r="K39" s="5">
        <f>525</f>
        <v>525</v>
      </c>
      <c r="L39" s="5">
        <f>975</f>
        <v>975</v>
      </c>
      <c r="M39" s="5">
        <f>675</f>
        <v>675</v>
      </c>
      <c r="N39" s="10">
        <f t="shared" si="0"/>
        <v>25897.5</v>
      </c>
    </row>
    <row r="40" spans="1:14" x14ac:dyDescent="0.25">
      <c r="A40" s="3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11"/>
    </row>
    <row r="41" spans="1:14" x14ac:dyDescent="0.25">
      <c r="A41" s="3" t="s">
        <v>21</v>
      </c>
      <c r="B41" s="4"/>
      <c r="C41" s="5">
        <f>318</f>
        <v>318</v>
      </c>
      <c r="D41" s="5">
        <f>252</f>
        <v>252</v>
      </c>
      <c r="E41" s="5">
        <f>1205.5</f>
        <v>1205.5</v>
      </c>
      <c r="F41" s="5">
        <f>4242</f>
        <v>4242</v>
      </c>
      <c r="G41" s="5">
        <f>2742.19</f>
        <v>2742.19</v>
      </c>
      <c r="H41" s="5">
        <f>3252</f>
        <v>3252</v>
      </c>
      <c r="I41" s="5">
        <f>2512</f>
        <v>2512</v>
      </c>
      <c r="J41" s="5">
        <f>2138.5</f>
        <v>2138.5</v>
      </c>
      <c r="K41" s="4"/>
      <c r="L41" s="5">
        <f>3204.24</f>
        <v>3204.24</v>
      </c>
      <c r="M41" s="5">
        <f>1161.34</f>
        <v>1161.3399999999999</v>
      </c>
      <c r="N41" s="10">
        <f t="shared" si="0"/>
        <v>21027.77</v>
      </c>
    </row>
    <row r="42" spans="1:14" x14ac:dyDescent="0.25">
      <c r="A42" s="3"/>
      <c r="B42" s="4"/>
      <c r="C42" s="5"/>
      <c r="D42" s="5"/>
      <c r="E42" s="5"/>
      <c r="F42" s="5"/>
      <c r="G42" s="5"/>
      <c r="H42" s="5"/>
      <c r="I42" s="5"/>
      <c r="J42" s="5"/>
      <c r="K42" s="4"/>
      <c r="L42" s="5"/>
      <c r="M42" s="5"/>
      <c r="N42" s="11"/>
    </row>
    <row r="43" spans="1:14" x14ac:dyDescent="0.25">
      <c r="A43" s="3" t="s">
        <v>22</v>
      </c>
      <c r="B43" s="5">
        <f>5000</f>
        <v>5000</v>
      </c>
      <c r="C43" s="5">
        <f>5000</f>
        <v>5000</v>
      </c>
      <c r="D43" s="5">
        <f>5000</f>
        <v>5000</v>
      </c>
      <c r="E43" s="5">
        <f>2096.77</f>
        <v>2096.77</v>
      </c>
      <c r="F43" s="4"/>
      <c r="G43" s="4"/>
      <c r="H43" s="4"/>
      <c r="I43" s="4"/>
      <c r="J43" s="4"/>
      <c r="K43" s="4"/>
      <c r="L43" s="4"/>
      <c r="M43" s="4"/>
      <c r="N43" s="10">
        <f t="shared" si="0"/>
        <v>17096.77</v>
      </c>
    </row>
    <row r="44" spans="1:14" x14ac:dyDescent="0.25">
      <c r="A44" s="3"/>
      <c r="B44" s="5"/>
      <c r="C44" s="5"/>
      <c r="D44" s="5"/>
      <c r="E44" s="5"/>
      <c r="F44" s="4"/>
      <c r="G44" s="4"/>
      <c r="H44" s="4"/>
      <c r="I44" s="4"/>
      <c r="J44" s="4"/>
      <c r="K44" s="4"/>
      <c r="L44" s="4"/>
      <c r="M44" s="4"/>
      <c r="N44" s="11"/>
    </row>
    <row r="45" spans="1:14" x14ac:dyDescent="0.25">
      <c r="A45" s="3" t="s">
        <v>52</v>
      </c>
      <c r="B45" s="5">
        <f>2043.38</f>
        <v>2043.38</v>
      </c>
      <c r="C45" s="5">
        <f>1333.23</f>
        <v>1333.23</v>
      </c>
      <c r="D45" s="5">
        <f>1009.46</f>
        <v>1009.46</v>
      </c>
      <c r="E45" s="5">
        <f>500</f>
        <v>500</v>
      </c>
      <c r="F45" s="5">
        <f>866.48</f>
        <v>866.48</v>
      </c>
      <c r="G45" s="5">
        <f>500</f>
        <v>500</v>
      </c>
      <c r="H45" s="5">
        <f>1933.59</f>
        <v>1933.59</v>
      </c>
      <c r="I45" s="5">
        <f>2521.89</f>
        <v>2521.89</v>
      </c>
      <c r="J45" s="5">
        <f>450</f>
        <v>450</v>
      </c>
      <c r="K45" s="5">
        <f>1419.98</f>
        <v>1419.98</v>
      </c>
      <c r="L45" s="5">
        <f>95.56</f>
        <v>95.56</v>
      </c>
      <c r="M45" s="5">
        <f>2700</f>
        <v>2700</v>
      </c>
      <c r="N45" s="10">
        <f>(((((((((((B45)+(C45))+(D45))+(E45))+(F45))+(G45))+(H45))+(I45))+(J45))+(K45))+(L45))+(M45)</f>
        <v>15373.569999999998</v>
      </c>
    </row>
    <row r="46" spans="1:14" x14ac:dyDescent="0.25">
      <c r="A46" s="3"/>
      <c r="B46" s="5"/>
      <c r="C46" s="5"/>
      <c r="D46" s="5"/>
      <c r="E46" s="5"/>
      <c r="F46" s="4"/>
      <c r="G46" s="4"/>
      <c r="H46" s="4"/>
      <c r="I46" s="4"/>
      <c r="J46" s="4"/>
      <c r="K46" s="4"/>
      <c r="L46" s="4"/>
      <c r="M46" s="4"/>
      <c r="N46" s="11"/>
    </row>
    <row r="47" spans="1:14" x14ac:dyDescent="0.25">
      <c r="A47" s="3" t="s">
        <v>23</v>
      </c>
      <c r="B47" s="4"/>
      <c r="C47" s="4"/>
      <c r="D47" s="4"/>
      <c r="E47" s="4"/>
      <c r="F47" s="5">
        <f>413.55</f>
        <v>413.55</v>
      </c>
      <c r="G47" s="4"/>
      <c r="H47" s="4"/>
      <c r="I47" s="4"/>
      <c r="J47" s="4"/>
      <c r="K47" s="5">
        <f>4443.55</f>
        <v>4443.55</v>
      </c>
      <c r="L47" s="5">
        <f>552.55</f>
        <v>552.54999999999995</v>
      </c>
      <c r="M47" s="5">
        <f>552.55</f>
        <v>552.54999999999995</v>
      </c>
      <c r="N47" s="10">
        <f t="shared" si="0"/>
        <v>5962.2000000000007</v>
      </c>
    </row>
    <row r="48" spans="1:14" x14ac:dyDescent="0.25">
      <c r="A48" s="3"/>
      <c r="B48" s="4"/>
      <c r="C48" s="4"/>
      <c r="D48" s="4"/>
      <c r="E48" s="4"/>
      <c r="F48" s="5"/>
      <c r="G48" s="4"/>
      <c r="H48" s="4"/>
      <c r="I48" s="4"/>
      <c r="J48" s="4"/>
      <c r="K48" s="5"/>
      <c r="L48" s="5"/>
      <c r="M48" s="5"/>
      <c r="N48" s="11"/>
    </row>
    <row r="49" spans="1:14" x14ac:dyDescent="0.25">
      <c r="A49" s="3" t="s">
        <v>59</v>
      </c>
      <c r="B49" s="4"/>
      <c r="C49" s="4"/>
      <c r="D49" s="5">
        <f>465.08</f>
        <v>465.08</v>
      </c>
      <c r="E49" s="5">
        <f>710.58</f>
        <v>710.58</v>
      </c>
      <c r="F49" s="4"/>
      <c r="G49" s="5">
        <f>303.79</f>
        <v>303.79000000000002</v>
      </c>
      <c r="H49" s="4"/>
      <c r="I49" s="5">
        <f>249.54</f>
        <v>249.54</v>
      </c>
      <c r="J49" s="5">
        <f>2240.48</f>
        <v>2240.48</v>
      </c>
      <c r="K49" s="5">
        <f>18571.98</f>
        <v>18571.98</v>
      </c>
      <c r="L49" s="5">
        <f>14878.59</f>
        <v>14878.59</v>
      </c>
      <c r="M49" s="5">
        <f>16409.24</f>
        <v>16409.240000000002</v>
      </c>
      <c r="N49" s="10">
        <f>(((((((((((B49)+(C49))+(D49))+(E49))+(F49))+(G49))+(H49))+(I49))+(J49))+(K49))+(L49))+(M49)</f>
        <v>53829.279999999999</v>
      </c>
    </row>
    <row r="50" spans="1:14" x14ac:dyDescent="0.25">
      <c r="A50" s="3"/>
      <c r="B50" s="4"/>
      <c r="C50" s="4"/>
      <c r="D50" s="5"/>
      <c r="E50" s="5"/>
      <c r="F50" s="4"/>
      <c r="G50" s="5"/>
      <c r="H50" s="4"/>
      <c r="I50" s="5"/>
      <c r="J50" s="5"/>
      <c r="K50" s="5"/>
      <c r="L50" s="5"/>
      <c r="M50" s="5"/>
      <c r="N50" s="11"/>
    </row>
    <row r="51" spans="1:14" x14ac:dyDescent="0.25">
      <c r="A51" s="3"/>
      <c r="B51" s="4"/>
      <c r="C51" s="4"/>
      <c r="D51" s="4"/>
      <c r="E51" s="4"/>
      <c r="F51" s="5"/>
      <c r="G51" s="4"/>
      <c r="H51" s="4"/>
      <c r="I51" s="4"/>
      <c r="J51" s="4"/>
      <c r="K51" s="5"/>
      <c r="L51" s="5"/>
      <c r="M51" s="5"/>
      <c r="N51" s="11"/>
    </row>
    <row r="52" spans="1:14" x14ac:dyDescent="0.25">
      <c r="A52" s="3" t="s">
        <v>24</v>
      </c>
      <c r="B52" s="5">
        <f>222.41</f>
        <v>222.41</v>
      </c>
      <c r="C52" s="5">
        <f>1232.24</f>
        <v>1232.24</v>
      </c>
      <c r="D52" s="5">
        <f>1973.54</f>
        <v>1973.54</v>
      </c>
      <c r="E52" s="5">
        <f>217.03</f>
        <v>217.03</v>
      </c>
      <c r="F52" s="5">
        <f>669.6</f>
        <v>669.6</v>
      </c>
      <c r="G52" s="5">
        <f>995.48</f>
        <v>995.48</v>
      </c>
      <c r="H52" s="5">
        <f>949.64</f>
        <v>949.64</v>
      </c>
      <c r="I52" s="5">
        <f>56.2</f>
        <v>56.2</v>
      </c>
      <c r="J52" s="5">
        <f>929.22</f>
        <v>929.22</v>
      </c>
      <c r="K52" s="5">
        <f>1313.63</f>
        <v>1313.63</v>
      </c>
      <c r="L52" s="5">
        <f>952.33</f>
        <v>952.33</v>
      </c>
      <c r="M52" s="5">
        <f>5013.8</f>
        <v>5013.8</v>
      </c>
      <c r="N52" s="11">
        <f t="shared" si="0"/>
        <v>14525.120000000003</v>
      </c>
    </row>
    <row r="53" spans="1:14" x14ac:dyDescent="0.25">
      <c r="A53" s="3" t="s">
        <v>25</v>
      </c>
      <c r="B53" s="5">
        <f>1225.78</f>
        <v>1225.78</v>
      </c>
      <c r="C53" s="5">
        <f>1541.81</f>
        <v>1541.81</v>
      </c>
      <c r="D53" s="5">
        <f>836.3</f>
        <v>836.3</v>
      </c>
      <c r="E53" s="5">
        <f>1122.88</f>
        <v>1122.8800000000001</v>
      </c>
      <c r="F53" s="5">
        <f>1231.83</f>
        <v>1231.83</v>
      </c>
      <c r="G53" s="5">
        <f>1124.33</f>
        <v>1124.33</v>
      </c>
      <c r="H53" s="5">
        <f>1110.29</f>
        <v>1110.29</v>
      </c>
      <c r="I53" s="5">
        <f>1124.4</f>
        <v>1124.4000000000001</v>
      </c>
      <c r="J53" s="5">
        <f>1187.03</f>
        <v>1187.03</v>
      </c>
      <c r="K53" s="5">
        <f>912.07</f>
        <v>912.07</v>
      </c>
      <c r="L53" s="5">
        <f>1149.62</f>
        <v>1149.6199999999999</v>
      </c>
      <c r="M53" s="5">
        <f>664.69</f>
        <v>664.69</v>
      </c>
      <c r="N53" s="11">
        <f t="shared" si="0"/>
        <v>13231.03</v>
      </c>
    </row>
    <row r="54" spans="1:14" x14ac:dyDescent="0.25">
      <c r="A54" s="3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10">
        <f>SUM(N52:N53)</f>
        <v>27756.15</v>
      </c>
    </row>
    <row r="55" spans="1:14" x14ac:dyDescent="0.25">
      <c r="A55" s="3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11"/>
    </row>
    <row r="56" spans="1:14" x14ac:dyDescent="0.25">
      <c r="A56" s="3" t="s">
        <v>26</v>
      </c>
      <c r="B56" s="5">
        <f>3665.75</f>
        <v>3665.75</v>
      </c>
      <c r="C56" s="5">
        <f>3665.75</f>
        <v>3665.75</v>
      </c>
      <c r="D56" s="5">
        <f>3665.75</f>
        <v>3665.75</v>
      </c>
      <c r="E56" s="5">
        <f>3665.75</f>
        <v>3665.75</v>
      </c>
      <c r="F56" s="5">
        <f>3665.75</f>
        <v>3665.75</v>
      </c>
      <c r="G56" s="5">
        <f>4159.92</f>
        <v>4159.92</v>
      </c>
      <c r="H56" s="5">
        <f>4159.52</f>
        <v>4159.5200000000004</v>
      </c>
      <c r="I56" s="5">
        <f>4159.52</f>
        <v>4159.5200000000004</v>
      </c>
      <c r="J56" s="5">
        <f>4159.52</f>
        <v>4159.5200000000004</v>
      </c>
      <c r="K56" s="5">
        <f>4159.52</f>
        <v>4159.5200000000004</v>
      </c>
      <c r="L56" s="5">
        <f>4159.52</f>
        <v>4159.5200000000004</v>
      </c>
      <c r="M56" s="5">
        <f>11710.13</f>
        <v>11710.13</v>
      </c>
      <c r="N56" s="10">
        <f t="shared" si="0"/>
        <v>54996.4</v>
      </c>
    </row>
    <row r="57" spans="1:14" x14ac:dyDescent="0.25">
      <c r="A57" s="3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11"/>
    </row>
    <row r="58" spans="1:14" x14ac:dyDescent="0.25">
      <c r="A58" s="3" t="s">
        <v>27</v>
      </c>
      <c r="B58" s="5">
        <f>1983.93</f>
        <v>1983.93</v>
      </c>
      <c r="C58" s="5">
        <f>2322.52</f>
        <v>2322.52</v>
      </c>
      <c r="D58" s="5">
        <f>1962.48</f>
        <v>1962.48</v>
      </c>
      <c r="E58" s="5">
        <f>2100.93</f>
        <v>2100.9299999999998</v>
      </c>
      <c r="F58" s="5">
        <f>2298.41</f>
        <v>2298.41</v>
      </c>
      <c r="G58" s="5">
        <f>2669.19</f>
        <v>2669.19</v>
      </c>
      <c r="H58" s="5">
        <f>2835.65</f>
        <v>2835.65</v>
      </c>
      <c r="I58" s="5">
        <f>2853.61</f>
        <v>2853.61</v>
      </c>
      <c r="J58" s="5">
        <f>2263.98</f>
        <v>2263.98</v>
      </c>
      <c r="K58" s="5">
        <f>2788.28</f>
        <v>2788.28</v>
      </c>
      <c r="L58" s="5">
        <f>2335.39</f>
        <v>2335.39</v>
      </c>
      <c r="M58" s="5">
        <f>2445.75</f>
        <v>2445.75</v>
      </c>
      <c r="N58" s="10">
        <f t="shared" si="0"/>
        <v>28860.12</v>
      </c>
    </row>
    <row r="59" spans="1:14" x14ac:dyDescent="0.25">
      <c r="A59" s="3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11"/>
    </row>
    <row r="60" spans="1:14" x14ac:dyDescent="0.25">
      <c r="A60" s="3" t="s">
        <v>28</v>
      </c>
      <c r="B60" s="5">
        <f>160</f>
        <v>160</v>
      </c>
      <c r="C60" s="5">
        <f>749</f>
        <v>749</v>
      </c>
      <c r="D60" s="5">
        <f>200</f>
        <v>200</v>
      </c>
      <c r="E60" s="5">
        <f>966.5</f>
        <v>966.5</v>
      </c>
      <c r="F60" s="5">
        <f>1981</f>
        <v>1981</v>
      </c>
      <c r="G60" s="5">
        <f>371</f>
        <v>371</v>
      </c>
      <c r="H60" s="5">
        <f>1183</f>
        <v>1183</v>
      </c>
      <c r="I60" s="5">
        <f>300</f>
        <v>300</v>
      </c>
      <c r="J60" s="4"/>
      <c r="K60" s="5">
        <f>996</f>
        <v>996</v>
      </c>
      <c r="L60" s="5">
        <f>2371</f>
        <v>2371</v>
      </c>
      <c r="M60" s="5">
        <f>1595</f>
        <v>1595</v>
      </c>
      <c r="N60" s="10">
        <f t="shared" si="0"/>
        <v>10872.5</v>
      </c>
    </row>
    <row r="61" spans="1:14" x14ac:dyDescent="0.25">
      <c r="A61" s="3"/>
      <c r="B61" s="5"/>
      <c r="C61" s="5"/>
      <c r="D61" s="5"/>
      <c r="E61" s="5"/>
      <c r="F61" s="5"/>
      <c r="G61" s="5"/>
      <c r="H61" s="5"/>
      <c r="I61" s="5"/>
      <c r="J61" s="4"/>
      <c r="K61" s="5"/>
      <c r="L61" s="5"/>
      <c r="M61" s="5"/>
      <c r="N61" s="11"/>
    </row>
    <row r="62" spans="1:14" x14ac:dyDescent="0.25">
      <c r="A62" s="3" t="s">
        <v>29</v>
      </c>
      <c r="B62" s="4"/>
      <c r="C62" s="5">
        <f>2442.73</f>
        <v>2442.73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10">
        <f t="shared" si="0"/>
        <v>2442.73</v>
      </c>
    </row>
    <row r="63" spans="1:14" x14ac:dyDescent="0.25">
      <c r="A63" s="3"/>
      <c r="B63" s="4"/>
      <c r="C63" s="5"/>
      <c r="D63" s="4"/>
      <c r="E63" s="4"/>
      <c r="F63" s="4"/>
      <c r="G63" s="4"/>
      <c r="H63" s="4"/>
      <c r="I63" s="4"/>
      <c r="J63" s="4"/>
      <c r="K63" s="4"/>
      <c r="L63" s="4"/>
      <c r="M63" s="4"/>
      <c r="N63" s="11"/>
    </row>
    <row r="64" spans="1:14" x14ac:dyDescent="0.25">
      <c r="A64" s="3" t="s">
        <v>30</v>
      </c>
      <c r="B64" s="5">
        <f>63.17</f>
        <v>63.17</v>
      </c>
      <c r="C64" s="5">
        <f>52.06</f>
        <v>52.06</v>
      </c>
      <c r="D64" s="5">
        <f>52.06</f>
        <v>52.06</v>
      </c>
      <c r="E64" s="5">
        <f>48.35</f>
        <v>48.35</v>
      </c>
      <c r="F64" s="5">
        <f>76.81</f>
        <v>76.81</v>
      </c>
      <c r="G64" s="5">
        <f>35.3</f>
        <v>35.299999999999997</v>
      </c>
      <c r="H64" s="5">
        <f>35.3</f>
        <v>35.299999999999997</v>
      </c>
      <c r="I64" s="5">
        <f>39.3</f>
        <v>39.299999999999997</v>
      </c>
      <c r="J64" s="5">
        <f>119.83</f>
        <v>119.83</v>
      </c>
      <c r="K64" s="5">
        <f>114.8</f>
        <v>114.8</v>
      </c>
      <c r="L64" s="5">
        <f>36.01</f>
        <v>36.01</v>
      </c>
      <c r="M64" s="5">
        <f>40</f>
        <v>40</v>
      </c>
      <c r="N64" s="11">
        <f t="shared" si="0"/>
        <v>712.99</v>
      </c>
    </row>
    <row r="65" spans="1:14" x14ac:dyDescent="0.25">
      <c r="A65" s="3" t="s">
        <v>60</v>
      </c>
      <c r="B65" s="4"/>
      <c r="C65" s="4"/>
      <c r="D65" s="4"/>
      <c r="E65" s="4"/>
      <c r="F65" s="5">
        <f>244.86</f>
        <v>244.86</v>
      </c>
      <c r="G65" s="5">
        <f>149.91</f>
        <v>149.91</v>
      </c>
      <c r="H65" s="5">
        <f>149.91</f>
        <v>149.91</v>
      </c>
      <c r="I65" s="5">
        <f>149.91</f>
        <v>149.91</v>
      </c>
      <c r="J65" s="5">
        <f>149.91</f>
        <v>149.91</v>
      </c>
      <c r="K65" s="5">
        <f>156.6</f>
        <v>156.6</v>
      </c>
      <c r="L65" s="5">
        <f>161.6</f>
        <v>161.6</v>
      </c>
      <c r="M65" s="5">
        <f>161.6</f>
        <v>161.6</v>
      </c>
      <c r="N65" s="11">
        <f>(((((((((((B65)+(C65))+(D65))+(E65))+(F65))+(G65))+(H65))+(I65))+(J65))+(K65))+(L65))+(M65)</f>
        <v>1324.2999999999997</v>
      </c>
    </row>
    <row r="66" spans="1:14" x14ac:dyDescent="0.25">
      <c r="A66" s="3" t="s">
        <v>31</v>
      </c>
      <c r="B66" s="4"/>
      <c r="C66" s="4"/>
      <c r="D66" s="5">
        <f>95.14</f>
        <v>95.14</v>
      </c>
      <c r="E66" s="4"/>
      <c r="F66" s="4"/>
      <c r="G66" s="5">
        <f>95.14</f>
        <v>95.14</v>
      </c>
      <c r="H66" s="5">
        <f>177.44</f>
        <v>177.44</v>
      </c>
      <c r="I66" s="4"/>
      <c r="J66" s="5">
        <f>95.14</f>
        <v>95.14</v>
      </c>
      <c r="K66" s="4"/>
      <c r="L66" s="4"/>
      <c r="M66" s="5">
        <f>95.14</f>
        <v>95.14</v>
      </c>
      <c r="N66" s="11">
        <f t="shared" si="0"/>
        <v>558</v>
      </c>
    </row>
    <row r="67" spans="1:14" x14ac:dyDescent="0.25">
      <c r="A67" s="3" t="s">
        <v>32</v>
      </c>
      <c r="B67" s="5">
        <f>393.37</f>
        <v>393.37</v>
      </c>
      <c r="C67" s="5">
        <f>747.69</f>
        <v>747.69</v>
      </c>
      <c r="D67" s="5">
        <f>414.13</f>
        <v>414.13</v>
      </c>
      <c r="E67" s="5">
        <f>475.26</f>
        <v>475.26</v>
      </c>
      <c r="F67" s="5">
        <f>463.56</f>
        <v>463.56</v>
      </c>
      <c r="G67" s="5">
        <f>939.84</f>
        <v>939.84</v>
      </c>
      <c r="H67" s="5">
        <f>643.9</f>
        <v>643.9</v>
      </c>
      <c r="I67" s="5">
        <f>471.92</f>
        <v>471.92</v>
      </c>
      <c r="J67" s="5">
        <f>405.84</f>
        <v>405.84</v>
      </c>
      <c r="K67" s="5">
        <f>6.1</f>
        <v>6.1</v>
      </c>
      <c r="L67" s="5">
        <f>813.94</f>
        <v>813.94</v>
      </c>
      <c r="M67" s="5">
        <f>641.18</f>
        <v>641.17999999999995</v>
      </c>
      <c r="N67" s="11">
        <f t="shared" si="0"/>
        <v>6416.7300000000014</v>
      </c>
    </row>
    <row r="68" spans="1:14" x14ac:dyDescent="0.25">
      <c r="A68" s="3" t="s">
        <v>33</v>
      </c>
      <c r="B68" s="5">
        <f>762.5</f>
        <v>762.5</v>
      </c>
      <c r="C68" s="5">
        <f>462.5</f>
        <v>462.5</v>
      </c>
      <c r="D68" s="4"/>
      <c r="E68" s="5">
        <f>462.5</f>
        <v>462.5</v>
      </c>
      <c r="F68" s="4"/>
      <c r="G68" s="4"/>
      <c r="H68" s="5">
        <f>435</f>
        <v>435</v>
      </c>
      <c r="I68" s="5">
        <f>925</f>
        <v>925</v>
      </c>
      <c r="J68" s="4"/>
      <c r="K68" s="5">
        <f>490</f>
        <v>490</v>
      </c>
      <c r="L68" s="5">
        <f>815</f>
        <v>815</v>
      </c>
      <c r="M68" s="5">
        <f>407.5</f>
        <v>407.5</v>
      </c>
      <c r="N68" s="11">
        <f t="shared" si="0"/>
        <v>4760</v>
      </c>
    </row>
    <row r="69" spans="1:14" x14ac:dyDescent="0.25">
      <c r="A69" s="3" t="s">
        <v>34</v>
      </c>
      <c r="B69" s="5">
        <f>611.82</f>
        <v>611.82000000000005</v>
      </c>
      <c r="C69" s="5">
        <f>639.63</f>
        <v>639.63</v>
      </c>
      <c r="D69" s="5">
        <f>556.2</f>
        <v>556.20000000000005</v>
      </c>
      <c r="E69" s="5">
        <f>611.82</f>
        <v>611.82000000000005</v>
      </c>
      <c r="F69" s="5">
        <f>305.91</f>
        <v>305.91000000000003</v>
      </c>
      <c r="G69" s="5">
        <f>671.6</f>
        <v>671.6</v>
      </c>
      <c r="H69" s="5">
        <f>788.4</f>
        <v>788.4</v>
      </c>
      <c r="I69" s="5">
        <f>788.4</f>
        <v>788.4</v>
      </c>
      <c r="J69" s="5">
        <f>793.84</f>
        <v>793.84</v>
      </c>
      <c r="K69" s="5">
        <f>759.2</f>
        <v>759.2</v>
      </c>
      <c r="L69" s="5">
        <f>642.4</f>
        <v>642.4</v>
      </c>
      <c r="M69" s="5">
        <f>696.6</f>
        <v>696.6</v>
      </c>
      <c r="N69" s="11">
        <f t="shared" si="0"/>
        <v>7865.82</v>
      </c>
    </row>
    <row r="70" spans="1:14" x14ac:dyDescent="0.25">
      <c r="A70" s="3" t="s">
        <v>35</v>
      </c>
      <c r="B70" s="5">
        <f>721.23</f>
        <v>721.23</v>
      </c>
      <c r="C70" s="5">
        <f>1640.48</f>
        <v>1640.48</v>
      </c>
      <c r="D70" s="5">
        <f>198.65</f>
        <v>198.65</v>
      </c>
      <c r="E70" s="5">
        <f>780.6</f>
        <v>780.6</v>
      </c>
      <c r="F70" s="5">
        <f>700.47</f>
        <v>700.47</v>
      </c>
      <c r="G70" s="5">
        <f>762.48</f>
        <v>762.48</v>
      </c>
      <c r="H70" s="5">
        <f>769.87</f>
        <v>769.87</v>
      </c>
      <c r="I70" s="5">
        <f>712.56</f>
        <v>712.56</v>
      </c>
      <c r="J70" s="5">
        <f>605.62</f>
        <v>605.62</v>
      </c>
      <c r="K70" s="5">
        <f>751.17</f>
        <v>751.17</v>
      </c>
      <c r="L70" s="5">
        <f>483.55</f>
        <v>483.55</v>
      </c>
      <c r="M70" s="5">
        <f>457.82</f>
        <v>457.82</v>
      </c>
      <c r="N70" s="11">
        <f t="shared" si="0"/>
        <v>8584.5</v>
      </c>
    </row>
    <row r="71" spans="1:14" x14ac:dyDescent="0.25">
      <c r="A71" s="3" t="s">
        <v>36</v>
      </c>
      <c r="B71" s="5">
        <f>82</f>
        <v>82</v>
      </c>
      <c r="C71" s="5">
        <f>75</f>
        <v>75</v>
      </c>
      <c r="D71" s="5">
        <f>75</f>
        <v>75</v>
      </c>
      <c r="E71" s="5">
        <f>80.3</f>
        <v>80.3</v>
      </c>
      <c r="F71" s="5">
        <f>87</f>
        <v>87</v>
      </c>
      <c r="G71" s="5">
        <f>80</f>
        <v>80</v>
      </c>
      <c r="H71" s="5">
        <f>87</f>
        <v>87</v>
      </c>
      <c r="I71" s="5">
        <f>80.6</f>
        <v>80.599999999999994</v>
      </c>
      <c r="J71" s="5">
        <f>87</f>
        <v>87</v>
      </c>
      <c r="K71" s="5">
        <f>217</f>
        <v>217</v>
      </c>
      <c r="L71" s="5">
        <f>87</f>
        <v>87</v>
      </c>
      <c r="M71" s="5">
        <f>140.7</f>
        <v>140.69999999999999</v>
      </c>
      <c r="N71" s="11">
        <f t="shared" si="0"/>
        <v>1178.6000000000001</v>
      </c>
    </row>
    <row r="72" spans="1:14" x14ac:dyDescent="0.25">
      <c r="A72" s="3" t="s">
        <v>37</v>
      </c>
      <c r="B72" s="5">
        <f>140</f>
        <v>140</v>
      </c>
      <c r="C72" s="5">
        <f>106</f>
        <v>106</v>
      </c>
      <c r="D72" s="5">
        <f>181</f>
        <v>181</v>
      </c>
      <c r="E72" s="5">
        <f>106</f>
        <v>106</v>
      </c>
      <c r="F72" s="5">
        <f>106</f>
        <v>106</v>
      </c>
      <c r="G72" s="5">
        <f>106</f>
        <v>106</v>
      </c>
      <c r="H72" s="5">
        <f>393.05</f>
        <v>393.05</v>
      </c>
      <c r="I72" s="5">
        <f>106</f>
        <v>106</v>
      </c>
      <c r="J72" s="5">
        <f>106</f>
        <v>106</v>
      </c>
      <c r="K72" s="5">
        <f>106</f>
        <v>106</v>
      </c>
      <c r="L72" s="5">
        <f>456</f>
        <v>456</v>
      </c>
      <c r="M72" s="5">
        <f>444</f>
        <v>444</v>
      </c>
      <c r="N72" s="11">
        <f t="shared" si="0"/>
        <v>2356.0500000000002</v>
      </c>
    </row>
    <row r="73" spans="1:14" x14ac:dyDescent="0.25">
      <c r="A73" s="3" t="s">
        <v>38</v>
      </c>
      <c r="B73" s="5">
        <f>335.08</f>
        <v>335.08</v>
      </c>
      <c r="C73" s="5">
        <f>430.58</f>
        <v>430.58</v>
      </c>
      <c r="D73" s="5">
        <f>562.29</f>
        <v>562.29</v>
      </c>
      <c r="E73" s="5">
        <f>501.63</f>
        <v>501.63</v>
      </c>
      <c r="F73" s="5">
        <f>563.8</f>
        <v>563.79999999999995</v>
      </c>
      <c r="G73" s="5">
        <f>460.12</f>
        <v>460.12</v>
      </c>
      <c r="H73" s="5">
        <f>458.97</f>
        <v>458.97</v>
      </c>
      <c r="I73" s="5">
        <f>400.18</f>
        <v>400.18</v>
      </c>
      <c r="J73" s="5">
        <f>502.01</f>
        <v>502.01</v>
      </c>
      <c r="K73" s="5">
        <f>347.45</f>
        <v>347.45</v>
      </c>
      <c r="L73" s="5">
        <f>400.91</f>
        <v>400.91</v>
      </c>
      <c r="M73" s="5">
        <f>506.76</f>
        <v>506.76</v>
      </c>
      <c r="N73" s="11">
        <f t="shared" ref="N73:N74" si="1">(((((((((((B73)+(C73))+(D73))+(E73))+(F73))+(G73))+(H73))+(I73))+(J73))+(K73))+(L73))+(M73)</f>
        <v>5469.78</v>
      </c>
    </row>
    <row r="74" spans="1:14" x14ac:dyDescent="0.25">
      <c r="A74" s="3" t="s">
        <v>39</v>
      </c>
      <c r="B74" s="5">
        <f>60</f>
        <v>60</v>
      </c>
      <c r="C74" s="5">
        <f>655</f>
        <v>655</v>
      </c>
      <c r="D74" s="5">
        <f>2261.88</f>
        <v>2261.88</v>
      </c>
      <c r="E74" s="5">
        <f>250</f>
        <v>250</v>
      </c>
      <c r="F74" s="5">
        <f>1769.09</f>
        <v>1769.09</v>
      </c>
      <c r="G74" s="5">
        <f>1379.52</f>
        <v>1379.52</v>
      </c>
      <c r="H74" s="5">
        <f>542.96</f>
        <v>542.96</v>
      </c>
      <c r="I74" s="5">
        <f>1299.65</f>
        <v>1299.6500000000001</v>
      </c>
      <c r="J74" s="5">
        <f>107.97</f>
        <v>107.97</v>
      </c>
      <c r="K74" s="5">
        <f>1925</f>
        <v>1925</v>
      </c>
      <c r="L74" s="5">
        <f>3645.35</f>
        <v>3645.35</v>
      </c>
      <c r="M74" s="5">
        <f>107.97</f>
        <v>107.97</v>
      </c>
      <c r="N74" s="11">
        <f t="shared" si="1"/>
        <v>14004.39</v>
      </c>
    </row>
    <row r="75" spans="1:14" x14ac:dyDescent="0.25">
      <c r="A75" s="3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10">
        <f>SUM(N64:N74)</f>
        <v>53231.159999999996</v>
      </c>
    </row>
    <row r="76" spans="1:14" x14ac:dyDescent="0.25">
      <c r="A76" s="3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11"/>
    </row>
    <row r="77" spans="1:14" x14ac:dyDescent="0.25">
      <c r="A77" s="3" t="s">
        <v>14</v>
      </c>
      <c r="B77" s="5">
        <f>7623.17</f>
        <v>7623.17</v>
      </c>
      <c r="C77" s="5">
        <f>6581.78</f>
        <v>6581.78</v>
      </c>
      <c r="D77" s="5">
        <f>4412.9</f>
        <v>4412.8999999999996</v>
      </c>
      <c r="E77" s="5">
        <f>4720.69</f>
        <v>4720.6899999999996</v>
      </c>
      <c r="F77" s="5">
        <f>5533.45</f>
        <v>5533.45</v>
      </c>
      <c r="G77" s="5">
        <f>5291.47</f>
        <v>5291.47</v>
      </c>
      <c r="H77" s="5">
        <f>6653.51</f>
        <v>6653.51</v>
      </c>
      <c r="I77" s="5">
        <f>7100.93</f>
        <v>7100.93</v>
      </c>
      <c r="J77" s="5">
        <f>5665.36</f>
        <v>5665.36</v>
      </c>
      <c r="K77" s="5">
        <f>6216.74</f>
        <v>6216.74</v>
      </c>
      <c r="L77" s="5">
        <f>4313.86</f>
        <v>4313.8599999999997</v>
      </c>
      <c r="M77" s="5">
        <f>4586.1</f>
        <v>4586.1000000000004</v>
      </c>
      <c r="N77" s="10">
        <f>(((((((((((B77)+(C77))+(D77))+(E77))+(F77))+(G77))+(H77))+(I77))+(J77))+(K77))+(L77))+(M77)</f>
        <v>68699.960000000006</v>
      </c>
    </row>
  </sheetData>
  <mergeCells count="2">
    <mergeCell ref="A1:N1"/>
    <mergeCell ref="A2:N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Profit and 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Kaitlin</cp:lastModifiedBy>
  <dcterms:created xsi:type="dcterms:W3CDTF">2018-03-07T17:13:42Z</dcterms:created>
  <dcterms:modified xsi:type="dcterms:W3CDTF">2018-03-07T17:42:37Z</dcterms:modified>
</cp:coreProperties>
</file>