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k Radigan\Documents\Clients\Utilities Inc - Florida\"/>
    </mc:Choice>
  </mc:AlternateContent>
  <xr:revisionPtr revIDLastSave="0" documentId="8_{ABBE81FA-8148-498E-BF1E-F084C8C156A7}" xr6:coauthVersionLast="45" xr6:coauthVersionMax="45" xr10:uidLastSave="{00000000-0000-0000-0000-000000000000}"/>
  <bookViews>
    <workbookView xWindow="-120" yWindow="-120" windowWidth="20730" windowHeight="11160" activeTab="5" xr2:uid="{00000000-000D-0000-FFFF-FFFF00000000}"/>
  </bookViews>
  <sheets>
    <sheet name="F 1" sheetId="1" r:id="rId1"/>
    <sheet name="F 2" sheetId="2" r:id="rId2"/>
    <sheet name="F 3" sheetId="3" r:id="rId3"/>
    <sheet name="F 4" sheetId="4" r:id="rId4"/>
    <sheet name="F 5" sheetId="5" r:id="rId5"/>
    <sheet name="F 6" sheetId="6" r:id="rId6"/>
    <sheet name="F 6 (2)" sheetId="18" r:id="rId7"/>
    <sheet name="F 7" sheetId="7" r:id="rId8"/>
    <sheet name="F 8" sheetId="8" r:id="rId9"/>
    <sheet name="F 9" sheetId="9" r:id="rId10"/>
    <sheet name="F 10" sheetId="20" r:id="rId11"/>
    <sheet name="W2019" sheetId="23" state="hidden" r:id="rId12"/>
    <sheet name="FLOW2019" sheetId="22" state="hidden" r:id="rId13"/>
    <sheet name="WW2019" sheetId="24" state="hidden" r:id="rId14"/>
    <sheet name="Sales2019" sheetId="25" state="hidden" r:id="rId15"/>
    <sheet name="Plant" sheetId="21" state="hidden" r:id="rId16"/>
  </sheets>
  <externalReferences>
    <externalReference r:id="rId17"/>
  </externalReferences>
  <definedNames>
    <definedName name="\D" localSheetId="10">'F 10'!#REF!</definedName>
    <definedName name="\D" localSheetId="1">'F 2'!#REF!</definedName>
    <definedName name="\D" localSheetId="2">'F 3'!#REF!</definedName>
    <definedName name="\D" localSheetId="3">'F 4'!#REF!</definedName>
    <definedName name="\D" localSheetId="4">'F 5'!#REF!</definedName>
    <definedName name="\D" localSheetId="5">'F 6'!#REF!</definedName>
    <definedName name="\D" localSheetId="7">'F 7'!#REF!</definedName>
    <definedName name="\D" localSheetId="8">'F 8'!#REF!</definedName>
    <definedName name="\D" localSheetId="9">'F 9'!#REF!</definedName>
    <definedName name="\D">'F 1'!#REF!</definedName>
    <definedName name="\G" localSheetId="10">'F 10'!#REF!</definedName>
    <definedName name="\G" localSheetId="1">'F 2'!#REF!</definedName>
    <definedName name="\G" localSheetId="2">'F 3'!#REF!</definedName>
    <definedName name="\G" localSheetId="3">'F 4'!#REF!</definedName>
    <definedName name="\G" localSheetId="4">'F 5'!#REF!</definedName>
    <definedName name="\G" localSheetId="5">'F 6'!#REF!</definedName>
    <definedName name="\G" localSheetId="7">'F 7'!#REF!</definedName>
    <definedName name="\G" localSheetId="8">'F 8'!#REF!</definedName>
    <definedName name="\G" localSheetId="9">'F 9'!#REF!</definedName>
    <definedName name="\G">'F 1'!#REF!</definedName>
    <definedName name="\P" localSheetId="10">'F 10'!#REF!</definedName>
    <definedName name="\P" localSheetId="1">'F 2'!#REF!</definedName>
    <definedName name="\P" localSheetId="2">'F 3'!#REF!</definedName>
    <definedName name="\P" localSheetId="3">'F 4'!#REF!</definedName>
    <definedName name="\P" localSheetId="4">'F 5'!#REF!</definedName>
    <definedName name="\P" localSheetId="5">'F 6'!#REF!</definedName>
    <definedName name="\P" localSheetId="7">'F 7'!#REF!</definedName>
    <definedName name="\P" localSheetId="8">'F 8'!#REF!</definedName>
    <definedName name="\P" localSheetId="9">'F 9'!#REF!</definedName>
    <definedName name="\P">'F 1'!#REF!</definedName>
    <definedName name="\S" localSheetId="10">'F 10'!#REF!</definedName>
    <definedName name="\S" localSheetId="1">'F 2'!#REF!</definedName>
    <definedName name="\S" localSheetId="2">'F 3'!#REF!</definedName>
    <definedName name="\S" localSheetId="3">'F 4'!#REF!</definedName>
    <definedName name="\S" localSheetId="4">'F 5'!#REF!</definedName>
    <definedName name="\S" localSheetId="5">'F 6'!#REF!</definedName>
    <definedName name="\S" localSheetId="7">'F 7'!#REF!</definedName>
    <definedName name="\S" localSheetId="8">'F 8'!#REF!</definedName>
    <definedName name="\S" localSheetId="9">'F 9'!#REF!</definedName>
    <definedName name="\S">'F 1'!#REF!</definedName>
    <definedName name="_pri0061" localSheetId="10">'F 10'!#REF!</definedName>
    <definedName name="_pri0061" localSheetId="1">'F 2'!#REF!</definedName>
    <definedName name="_pri0061" localSheetId="2">'F 3'!#REF!</definedName>
    <definedName name="_pri0061" localSheetId="3">'F 4'!#REF!</definedName>
    <definedName name="_pri0061" localSheetId="4">'F 5'!#REF!</definedName>
    <definedName name="_pri0061" localSheetId="5">'F 6'!#REF!</definedName>
    <definedName name="_pri0061" localSheetId="7">'F 7'!#REF!</definedName>
    <definedName name="_pri0061" localSheetId="8">'F 8'!#REF!</definedName>
    <definedName name="_pri0061" localSheetId="9">'F 9'!#REF!</definedName>
    <definedName name="_pri0061">'F 1'!$A$1:$M$58</definedName>
    <definedName name="_pri0062" localSheetId="10">'F 10'!#REF!</definedName>
    <definedName name="_pri0062" localSheetId="1">'F 2'!$A$1:$M$60</definedName>
    <definedName name="_pri0062" localSheetId="2">'F 3'!#REF!</definedName>
    <definedName name="_pri0062" localSheetId="3">'F 4'!#REF!</definedName>
    <definedName name="_pri0062" localSheetId="4">'F 5'!#REF!</definedName>
    <definedName name="_pri0062" localSheetId="5">'F 6'!#REF!</definedName>
    <definedName name="_pri0062" localSheetId="7">'F 7'!#REF!</definedName>
    <definedName name="_pri0062" localSheetId="8">'F 8'!#REF!</definedName>
    <definedName name="_pri0062" localSheetId="9">'F 9'!#REF!</definedName>
    <definedName name="_pri0062">'F 1'!#REF!</definedName>
    <definedName name="_pri0065" localSheetId="10">'F 10'!#REF!</definedName>
    <definedName name="_pri0065" localSheetId="1">'F 2'!#REF!</definedName>
    <definedName name="_pri0065" localSheetId="2">'F 3'!#REF!</definedName>
    <definedName name="_pri0065" localSheetId="3">'F 4'!#REF!</definedName>
    <definedName name="_pri0065" localSheetId="4">'F 5'!$A$1:$J$55</definedName>
    <definedName name="_pri0065" localSheetId="5">'F 6'!#REF!</definedName>
    <definedName name="_pri0065" localSheetId="7">'F 7'!#REF!</definedName>
    <definedName name="_pri0065" localSheetId="8">'F 8'!#REF!</definedName>
    <definedName name="_pri0065" localSheetId="9">'F 9'!#REF!</definedName>
    <definedName name="_pri0065">'F 1'!#REF!</definedName>
    <definedName name="_pri0066" localSheetId="10">'F 10'!#REF!</definedName>
    <definedName name="_pri0066" localSheetId="1">'F 2'!#REF!</definedName>
    <definedName name="_pri0066" localSheetId="2">'F 3'!#REF!</definedName>
    <definedName name="_pri0066" localSheetId="3">'F 4'!#REF!</definedName>
    <definedName name="_pri0066" localSheetId="4">'F 5'!#REF!</definedName>
    <definedName name="_pri0066" localSheetId="5">'F 6'!$A$1:$H$40</definedName>
    <definedName name="_pri0066" localSheetId="7">'F 7'!#REF!</definedName>
    <definedName name="_pri0066" localSheetId="8">'F 8'!#REF!</definedName>
    <definedName name="_pri0066" localSheetId="9">'F 9'!#REF!</definedName>
    <definedName name="_pri0066">'F 1'!#REF!</definedName>
    <definedName name="_pri0067" localSheetId="10">'F 10'!#REF!</definedName>
    <definedName name="_pri0067" localSheetId="1">'F 2'!#REF!</definedName>
    <definedName name="_pri0067" localSheetId="2">'F 3'!#REF!</definedName>
    <definedName name="_pri0067" localSheetId="3">'F 4'!#REF!</definedName>
    <definedName name="_pri0067" localSheetId="4">'F 5'!$A$56:$J$97</definedName>
    <definedName name="_pri0067" localSheetId="5">'F 6'!#REF!</definedName>
    <definedName name="_pri0067" localSheetId="7">'F 7'!#REF!</definedName>
    <definedName name="_pri0067" localSheetId="8">'F 8'!$A$1:$J$57</definedName>
    <definedName name="_pri0067" localSheetId="9">'F 9'!#REF!</definedName>
    <definedName name="_pri0067">'F 1'!#REF!</definedName>
    <definedName name="_pri0068" localSheetId="10">'F 10'!#REF!</definedName>
    <definedName name="_pri0068" localSheetId="1">'F 2'!#REF!</definedName>
    <definedName name="_pri0068" localSheetId="2">'F 3'!#REF!</definedName>
    <definedName name="_pri0068" localSheetId="3">'F 4'!#REF!</definedName>
    <definedName name="_pri0068" localSheetId="4">'F 5'!$A$56:$J$97</definedName>
    <definedName name="_pri0068" localSheetId="5">'F 6'!#REF!</definedName>
    <definedName name="_pri0068" localSheetId="7">'F 7'!#REF!</definedName>
    <definedName name="_pri0068" localSheetId="8">'F 8'!$A$1:$J$57</definedName>
    <definedName name="_pri0068" localSheetId="9">'F 9'!#REF!</definedName>
    <definedName name="_pri0068">'F 1'!#REF!</definedName>
    <definedName name="DIR" localSheetId="10">'F 10'!#REF!</definedName>
    <definedName name="DIR" localSheetId="1">'F 2'!#REF!</definedName>
    <definedName name="DIR" localSheetId="2">'F 3'!#REF!</definedName>
    <definedName name="DIR" localSheetId="3">'F 4'!#REF!</definedName>
    <definedName name="DIR" localSheetId="4">'F 5'!#REF!</definedName>
    <definedName name="DIR" localSheetId="5">'F 6'!#REF!</definedName>
    <definedName name="DIR" localSheetId="7">'F 7'!#REF!</definedName>
    <definedName name="DIR" localSheetId="8">'F 8'!#REF!</definedName>
    <definedName name="DIR" localSheetId="9">'F 9'!#REF!</definedName>
    <definedName name="DIR">'F 1'!#REF!</definedName>
    <definedName name="ERC_S" localSheetId="10">'F 10'!#REF!</definedName>
    <definedName name="ERC_S" localSheetId="1">'F 2'!#REF!</definedName>
    <definedName name="ERC_S" localSheetId="2">'F 3'!#REF!</definedName>
    <definedName name="ERC_S" localSheetId="3">'F 4'!#REF!</definedName>
    <definedName name="ERC_S" localSheetId="4">'F 5'!#REF!</definedName>
    <definedName name="ERC_S" localSheetId="5">'F 6'!$J$2:$J$19</definedName>
    <definedName name="ERC_S" localSheetId="7">'F 7'!#REF!</definedName>
    <definedName name="ERC_S" localSheetId="8">'F 8'!#REF!</definedName>
    <definedName name="ERC_S" localSheetId="9">'F 9'!#REF!</definedName>
    <definedName name="ERC_S">'F 1'!#REF!</definedName>
    <definedName name="ERC_W" localSheetId="10">'F 10'!$A$1:$S$28</definedName>
    <definedName name="ERC_W" localSheetId="1">'F 2'!#REF!</definedName>
    <definedName name="ERC_W" localSheetId="2">'F 3'!#REF!</definedName>
    <definedName name="ERC_W" localSheetId="3">'F 4'!#REF!</definedName>
    <definedName name="ERC_W" localSheetId="4">'F 5'!#REF!</definedName>
    <definedName name="ERC_W" localSheetId="5">'F 6'!#REF!</definedName>
    <definedName name="ERC_W" localSheetId="7">'F 7'!#REF!</definedName>
    <definedName name="ERC_W" localSheetId="8">'F 8'!#REF!</definedName>
    <definedName name="ERC_W" localSheetId="9">'F 9'!$A$1:$S$28</definedName>
    <definedName name="ERC_W">'F 1'!#REF!</definedName>
    <definedName name="F_1">'F 1'!$A$1:$N$46</definedName>
    <definedName name="F_10" localSheetId="10">#REF!</definedName>
    <definedName name="F_10">#REF!</definedName>
    <definedName name="F_2">'F 2'!$A$1:$N$48</definedName>
    <definedName name="F_3">'F 3'!$A$1:$L$52</definedName>
    <definedName name="F_4">'F 4'!$A$1:$M$33</definedName>
    <definedName name="F_5">'F 5'!$A$1:$J$44</definedName>
    <definedName name="F_6">'F 6'!$A$1:$I$40</definedName>
    <definedName name="F_7">'F 7'!$A$1:$J$38</definedName>
    <definedName name="F_8">'F 8'!$A$1:$L$48</definedName>
    <definedName name="F_9" localSheetId="10">'F 10'!$A$1:$S$48</definedName>
    <definedName name="F_9">'F 9'!$A$1:$S$49</definedName>
    <definedName name="MARGIN" localSheetId="10">'F 10'!#REF!</definedName>
    <definedName name="MARGIN" localSheetId="1">'F 2'!#REF!</definedName>
    <definedName name="MARGIN" localSheetId="2">'F 3'!#REF!</definedName>
    <definedName name="MARGIN" localSheetId="3">'F 4'!#REF!</definedName>
    <definedName name="MARGIN" localSheetId="4">'F 5'!$A$44:$K$55</definedName>
    <definedName name="MARGIN" localSheetId="5">'F 6'!$A$1:$I$13</definedName>
    <definedName name="MARGIN" localSheetId="7">'F 7'!#REF!</definedName>
    <definedName name="MARGIN" localSheetId="8">'F 8'!#REF!</definedName>
    <definedName name="MARGIN" localSheetId="9">'F 9'!#REF!</definedName>
    <definedName name="MARGIN">'F 1'!#REF!</definedName>
    <definedName name="_xlnm.Print_Area" localSheetId="0">'F 1'!$A$1:$O$47</definedName>
    <definedName name="_xlnm.Print_Area" localSheetId="10">'F 10'!$A$1:$S$44</definedName>
    <definedName name="_xlnm.Print_Area" localSheetId="1">'F 2'!$A$1:$M$38</definedName>
    <definedName name="_xlnm.Print_Area" localSheetId="2">'F 3'!$A$1:$L$47</definedName>
    <definedName name="_xlnm.Print_Area" localSheetId="3">'F 4'!$A$1:$L$36</definedName>
    <definedName name="_xlnm.Print_Area" localSheetId="4">'F 5'!$A$1:$J$71</definedName>
    <definedName name="_xlnm.Print_Area" localSheetId="5">'F 6'!$A$1:$I$53</definedName>
    <definedName name="_xlnm.Print_Area" localSheetId="6">'F 6 (2)'!$A$1:$I$43</definedName>
    <definedName name="_xlnm.Print_Area" localSheetId="7">'F 7'!$A$1:$J$22</definedName>
    <definedName name="_xlnm.Print_Area" localSheetId="8">'F 8'!$A$1:$K$46</definedName>
    <definedName name="_xlnm.Print_Area" localSheetId="9">'F 9'!$A$1:$S$44</definedName>
    <definedName name="_xlnm.Print_Area" localSheetId="12">FLOW2019!$AH$4:$AH$16</definedName>
    <definedName name="_xlnm.Print_Area" localSheetId="15">Plant!$A$1:$I$26</definedName>
    <definedName name="_xlnm.Print_Area" localSheetId="13">'WW2019'!$AH$7:$AH$18</definedName>
    <definedName name="PUMPED" localSheetId="10">'F 10'!#REF!</definedName>
    <definedName name="PUMPED" localSheetId="1">'F 2'!#REF!</definedName>
    <definedName name="PUMPED" localSheetId="2">'F 3'!#REF!</definedName>
    <definedName name="PUMPED" localSheetId="3">'F 4'!#REF!</definedName>
    <definedName name="PUMPED" localSheetId="4">'F 5'!#REF!</definedName>
    <definedName name="PUMPED" localSheetId="5">'F 6'!#REF!</definedName>
    <definedName name="PUMPED" localSheetId="7">'F 7'!#REF!</definedName>
    <definedName name="PUMPED" localSheetId="8">'F 8'!#REF!</definedName>
    <definedName name="PUMPED" localSheetId="9">'F 9'!#REF!</definedName>
    <definedName name="PUMPED">'F 1'!$A$1:$M$34</definedName>
    <definedName name="S_STATS" localSheetId="10">'F 10'!#REF!</definedName>
    <definedName name="S_STATS" localSheetId="1">'F 2'!#REF!</definedName>
    <definedName name="S_STATS" localSheetId="2">'F 3'!#REF!</definedName>
    <definedName name="S_STATS" localSheetId="3">'F 4'!$A$1:$M$12</definedName>
    <definedName name="S_STATS" localSheetId="4">'F 5'!#REF!</definedName>
    <definedName name="S_STATS" localSheetId="5">'F 6'!#REF!</definedName>
    <definedName name="S_STATS" localSheetId="7">'F 7'!#REF!</definedName>
    <definedName name="S_STATS" localSheetId="8">'F 8'!#REF!</definedName>
    <definedName name="S_STATS" localSheetId="9">'F 9'!#REF!</definedName>
    <definedName name="S_STATS">'F 1'!#REF!</definedName>
    <definedName name="TREATED" localSheetId="10">'F 10'!#REF!</definedName>
    <definedName name="TREATED" localSheetId="1">'F 2'!$A$1:$M$31</definedName>
    <definedName name="TREATED" localSheetId="2">'F 3'!#REF!</definedName>
    <definedName name="TREATED" localSheetId="3">'F 4'!#REF!</definedName>
    <definedName name="TREATED" localSheetId="4">'F 5'!#REF!</definedName>
    <definedName name="TREATED" localSheetId="5">'F 6'!#REF!</definedName>
    <definedName name="TREATED" localSheetId="7">'F 7'!#REF!</definedName>
    <definedName name="TREATED" localSheetId="8">'F 8'!#REF!</definedName>
    <definedName name="TREATED" localSheetId="9">'F 9'!#REF!</definedName>
    <definedName name="TREATED">'F 1'!$A$38:$M$58</definedName>
    <definedName name="U_U_MAINS" localSheetId="10">'F 10'!#REF!</definedName>
    <definedName name="U_U_MAINS" localSheetId="1">'F 2'!#REF!</definedName>
    <definedName name="U_U_MAINS" localSheetId="2">'F 3'!#REF!</definedName>
    <definedName name="U_U_MAINS" localSheetId="3">'F 4'!#REF!</definedName>
    <definedName name="U_U_MAINS" localSheetId="4">'F 5'!$A$30:$K$42</definedName>
    <definedName name="U_U_MAINS" localSheetId="5">'F 6'!#REF!</definedName>
    <definedName name="U_U_MAINS" localSheetId="7">'F 7'!#REF!</definedName>
    <definedName name="U_U_MAINS" localSheetId="8">'F 8'!#REF!</definedName>
    <definedName name="U_U_MAINS" localSheetId="9">'F 9'!#REF!</definedName>
    <definedName name="U_U_MAINS">'F 1'!#REF!</definedName>
    <definedName name="U_U_SEWER" localSheetId="10">'F 10'!#REF!</definedName>
    <definedName name="U_U_SEWER" localSheetId="1">'F 2'!#REF!</definedName>
    <definedName name="U_U_SEWER" localSheetId="2">'F 3'!#REF!</definedName>
    <definedName name="U_U_SEWER" localSheetId="3">'F 4'!#REF!</definedName>
    <definedName name="U_U_SEWER" localSheetId="4">'F 5'!$A$15:$K$29</definedName>
    <definedName name="U_U_SEWER" localSheetId="5">'F 6'!#REF!</definedName>
    <definedName name="U_U_SEWER" localSheetId="7">'F 7'!#REF!</definedName>
    <definedName name="U_U_SEWER" localSheetId="8">'F 8'!#REF!</definedName>
    <definedName name="U_U_SEWER" localSheetId="9">'F 9'!#REF!</definedName>
    <definedName name="U_U_SEWER">'F 1'!#REF!</definedName>
    <definedName name="U_U_WATER" localSheetId="10">'F 10'!#REF!</definedName>
    <definedName name="U_U_WATER" localSheetId="1">'F 2'!#REF!</definedName>
    <definedName name="U_U_WATER" localSheetId="2">'F 3'!#REF!</definedName>
    <definedName name="U_U_WATER" localSheetId="3">'F 4'!#REF!</definedName>
    <definedName name="U_U_WATER" localSheetId="4">'F 5'!$A$1:$K$13</definedName>
    <definedName name="U_U_WATER" localSheetId="5">'F 6'!#REF!</definedName>
    <definedName name="U_U_WATER" localSheetId="7">'F 7'!#REF!</definedName>
    <definedName name="U_U_WATER" localSheetId="8">'F 8'!#REF!</definedName>
    <definedName name="U_U_WATER" localSheetId="9">'F 9'!#REF!</definedName>
    <definedName name="U_U_WATER">'F 1'!#REF!</definedName>
    <definedName name="W_STATS" localSheetId="10">'F 10'!#REF!</definedName>
    <definedName name="W_STATS" localSheetId="1">'F 2'!#REF!</definedName>
    <definedName name="W_STATS" localSheetId="2">'F 3'!$A$1:$N$56</definedName>
    <definedName name="W_STATS" localSheetId="3">'F 4'!#REF!</definedName>
    <definedName name="W_STATS" localSheetId="4">'F 5'!#REF!</definedName>
    <definedName name="W_STATS" localSheetId="5">'F 6'!#REF!</definedName>
    <definedName name="W_STATS" localSheetId="7">'F 7'!#REF!</definedName>
    <definedName name="W_STATS" localSheetId="8">'F 8'!#REF!</definedName>
    <definedName name="W_STATS" localSheetId="9">'F 9'!#REF!</definedName>
    <definedName name="W_STATS">'F 1'!#REF!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4" i="8" l="1"/>
  <c r="K37" i="6" l="1"/>
  <c r="K33" i="6"/>
  <c r="I30" i="1" l="1"/>
  <c r="I29" i="1"/>
  <c r="I28" i="1"/>
  <c r="I27" i="1"/>
  <c r="I26" i="1"/>
  <c r="I25" i="1"/>
  <c r="I24" i="1"/>
  <c r="I23" i="1"/>
  <c r="I22" i="1"/>
  <c r="I21" i="1"/>
  <c r="I20" i="1"/>
  <c r="I19" i="1"/>
  <c r="T21" i="25" l="1"/>
  <c r="S21" i="25"/>
  <c r="R21" i="25"/>
  <c r="Q21" i="25"/>
  <c r="P21" i="25"/>
  <c r="O21" i="25"/>
  <c r="N21" i="25"/>
  <c r="M21" i="25"/>
  <c r="L21" i="25"/>
  <c r="K21" i="25"/>
  <c r="J21" i="25"/>
  <c r="I21" i="25"/>
  <c r="H21" i="25"/>
  <c r="E21" i="25"/>
  <c r="T20" i="25"/>
  <c r="S20" i="25"/>
  <c r="R20" i="25"/>
  <c r="Q20" i="25"/>
  <c r="P20" i="25"/>
  <c r="O20" i="25"/>
  <c r="N20" i="25"/>
  <c r="M20" i="25"/>
  <c r="L20" i="25"/>
  <c r="K20" i="25"/>
  <c r="J20" i="25"/>
  <c r="I20" i="25"/>
  <c r="H20" i="25"/>
  <c r="E20" i="25"/>
  <c r="P18" i="25"/>
  <c r="O18" i="25"/>
  <c r="J18" i="25"/>
  <c r="I18" i="25"/>
  <c r="T17" i="25"/>
  <c r="S17" i="25"/>
  <c r="R17" i="25"/>
  <c r="R18" i="25" s="1"/>
  <c r="Q17" i="25"/>
  <c r="Q18" i="25" s="1"/>
  <c r="P17" i="25"/>
  <c r="O17" i="25"/>
  <c r="N17" i="25"/>
  <c r="M17" i="25"/>
  <c r="L17" i="25"/>
  <c r="L18" i="25" s="1"/>
  <c r="K17" i="25"/>
  <c r="K18" i="25" s="1"/>
  <c r="J17" i="25"/>
  <c r="I17" i="25"/>
  <c r="H17" i="25"/>
  <c r="E17" i="25"/>
  <c r="T16" i="25"/>
  <c r="T18" i="25" s="1"/>
  <c r="S16" i="25"/>
  <c r="S18" i="25" s="1"/>
  <c r="R16" i="25"/>
  <c r="Q16" i="25"/>
  <c r="P16" i="25"/>
  <c r="O16" i="25"/>
  <c r="N16" i="25"/>
  <c r="N18" i="25" s="1"/>
  <c r="M16" i="25"/>
  <c r="M18" i="25" s="1"/>
  <c r="L16" i="25"/>
  <c r="K16" i="25"/>
  <c r="J16" i="25"/>
  <c r="I16" i="25"/>
  <c r="H16" i="25"/>
  <c r="H18" i="25" s="1"/>
  <c r="E16" i="25"/>
  <c r="E18" i="25" s="1"/>
  <c r="T14" i="25"/>
  <c r="S14" i="25"/>
  <c r="R14" i="25"/>
  <c r="Q14" i="25"/>
  <c r="P14" i="25"/>
  <c r="O14" i="25"/>
  <c r="N14" i="25"/>
  <c r="M14" i="25"/>
  <c r="L14" i="25"/>
  <c r="K14" i="25"/>
  <c r="J14" i="25"/>
  <c r="I14" i="25"/>
  <c r="H14" i="25"/>
  <c r="E14" i="25"/>
  <c r="T40" i="25" l="1"/>
  <c r="S40" i="25"/>
  <c r="R40" i="25"/>
  <c r="Q40" i="25"/>
  <c r="P40" i="25"/>
  <c r="O40" i="25"/>
  <c r="N40" i="25"/>
  <c r="M40" i="25"/>
  <c r="L40" i="25"/>
  <c r="K40" i="25"/>
  <c r="J40" i="25"/>
  <c r="I40" i="25"/>
  <c r="H40" i="25"/>
  <c r="T39" i="25"/>
  <c r="S39" i="25"/>
  <c r="R39" i="25"/>
  <c r="Q39" i="25"/>
  <c r="P39" i="25"/>
  <c r="O39" i="25"/>
  <c r="N39" i="25"/>
  <c r="M39" i="25"/>
  <c r="L39" i="25"/>
  <c r="K39" i="25"/>
  <c r="J39" i="25"/>
  <c r="I39" i="25"/>
  <c r="H39" i="25"/>
  <c r="T36" i="25"/>
  <c r="S36" i="25"/>
  <c r="R36" i="25"/>
  <c r="Q36" i="25"/>
  <c r="P36" i="25"/>
  <c r="O36" i="25"/>
  <c r="N36" i="25"/>
  <c r="M36" i="25"/>
  <c r="L36" i="25"/>
  <c r="K36" i="25"/>
  <c r="J36" i="25"/>
  <c r="I36" i="25"/>
  <c r="H36" i="25"/>
  <c r="T35" i="25"/>
  <c r="S35" i="25"/>
  <c r="R35" i="25"/>
  <c r="R37" i="25" s="1"/>
  <c r="Q35" i="25"/>
  <c r="P35" i="25"/>
  <c r="P37" i="25" s="1"/>
  <c r="O35" i="25"/>
  <c r="N35" i="25"/>
  <c r="M35" i="25"/>
  <c r="L35" i="25"/>
  <c r="L37" i="25" s="1"/>
  <c r="K35" i="25"/>
  <c r="J35" i="25"/>
  <c r="J37" i="25" s="1"/>
  <c r="I35" i="25"/>
  <c r="H35" i="25"/>
  <c r="T33" i="25"/>
  <c r="S33" i="25"/>
  <c r="R33" i="25"/>
  <c r="Q33" i="25"/>
  <c r="P33" i="25"/>
  <c r="O33" i="25"/>
  <c r="N33" i="25"/>
  <c r="M33" i="25"/>
  <c r="L33" i="25"/>
  <c r="K33" i="25"/>
  <c r="J33" i="25"/>
  <c r="I33" i="25"/>
  <c r="H33" i="25"/>
  <c r="M37" i="25" l="1"/>
  <c r="I37" i="25"/>
  <c r="O37" i="25"/>
  <c r="T37" i="25"/>
  <c r="K37" i="25"/>
  <c r="Q37" i="25"/>
  <c r="S37" i="25"/>
  <c r="H37" i="25"/>
  <c r="N37" i="25"/>
  <c r="H18" i="5"/>
  <c r="O25" i="20" l="1"/>
  <c r="O23" i="20"/>
  <c r="O21" i="20"/>
  <c r="O19" i="20"/>
  <c r="O17" i="20"/>
  <c r="K25" i="20"/>
  <c r="K23" i="20"/>
  <c r="K21" i="20"/>
  <c r="K19" i="20"/>
  <c r="K17" i="20"/>
  <c r="O25" i="9"/>
  <c r="O23" i="9"/>
  <c r="O21" i="9"/>
  <c r="O19" i="9"/>
  <c r="O17" i="9"/>
  <c r="K25" i="9"/>
  <c r="K23" i="9"/>
  <c r="K21" i="9"/>
  <c r="K19" i="9"/>
  <c r="K17" i="9"/>
  <c r="G25" i="20"/>
  <c r="G23" i="20"/>
  <c r="G21" i="20"/>
  <c r="G19" i="20"/>
  <c r="E21" i="20" s="1"/>
  <c r="G17" i="20"/>
  <c r="E17" i="20"/>
  <c r="E25" i="20"/>
  <c r="E23" i="20"/>
  <c r="E19" i="20"/>
  <c r="G25" i="9"/>
  <c r="I25" i="9" s="1"/>
  <c r="G23" i="9"/>
  <c r="G21" i="9"/>
  <c r="G19" i="9"/>
  <c r="G17" i="9"/>
  <c r="E17" i="9"/>
  <c r="E100" i="25"/>
  <c r="E99" i="25"/>
  <c r="E80" i="25"/>
  <c r="E79" i="25"/>
  <c r="E60" i="25"/>
  <c r="E59" i="25"/>
  <c r="E40" i="25"/>
  <c r="E39" i="25"/>
  <c r="E96" i="25"/>
  <c r="E95" i="25"/>
  <c r="E97" i="25" s="1"/>
  <c r="E93" i="25"/>
  <c r="E76" i="25"/>
  <c r="E75" i="25"/>
  <c r="E77" i="25" s="1"/>
  <c r="E73" i="25"/>
  <c r="E56" i="25"/>
  <c r="E55" i="25"/>
  <c r="E57" i="25" s="1"/>
  <c r="E53" i="25"/>
  <c r="E36" i="25"/>
  <c r="E35" i="25"/>
  <c r="E37" i="25" s="1"/>
  <c r="E33" i="25"/>
  <c r="G18" i="4" l="1"/>
  <c r="AL18" i="24"/>
  <c r="AL19" i="24"/>
  <c r="AI5" i="24"/>
  <c r="AL6" i="24"/>
  <c r="AI6" i="24"/>
  <c r="AL17" i="24"/>
  <c r="AL16" i="24"/>
  <c r="AL15" i="24"/>
  <c r="AL14" i="24"/>
  <c r="AL13" i="24"/>
  <c r="AL12" i="24"/>
  <c r="AL11" i="24"/>
  <c r="AL10" i="24"/>
  <c r="AL9" i="24"/>
  <c r="AL8" i="24"/>
  <c r="AL7" i="24" l="1"/>
  <c r="AJ13" i="22"/>
  <c r="AJ6" i="22"/>
  <c r="L17" i="3" l="1"/>
  <c r="L27" i="3"/>
  <c r="L26" i="3"/>
  <c r="L25" i="3"/>
  <c r="L24" i="3"/>
  <c r="L23" i="3"/>
  <c r="AJ17" i="22"/>
  <c r="AJ16" i="22"/>
  <c r="AJ15" i="22"/>
  <c r="AJ14" i="22"/>
  <c r="AJ12" i="22"/>
  <c r="AJ11" i="22"/>
  <c r="AJ10" i="22"/>
  <c r="AJ9" i="22"/>
  <c r="AJ8" i="22"/>
  <c r="AJ7" i="22"/>
  <c r="AJ5" i="22"/>
  <c r="AH17" i="22"/>
  <c r="AH16" i="22" l="1"/>
  <c r="AH15" i="22"/>
  <c r="AH14" i="22"/>
  <c r="AH13" i="22"/>
  <c r="AH12" i="22"/>
  <c r="AH11" i="22"/>
  <c r="AH10" i="22"/>
  <c r="AH9" i="22"/>
  <c r="AH8" i="22"/>
  <c r="AH7" i="22"/>
  <c r="AH6" i="22"/>
  <c r="AH5" i="22"/>
  <c r="C27" i="2" l="1"/>
  <c r="C26" i="2"/>
  <c r="C25" i="2"/>
  <c r="C23" i="2"/>
  <c r="C22" i="2"/>
  <c r="C21" i="2"/>
  <c r="C20" i="2"/>
  <c r="C19" i="2"/>
  <c r="C18" i="2"/>
  <c r="C17" i="2"/>
  <c r="C16" i="2"/>
  <c r="K30" i="1" l="1"/>
  <c r="K29" i="1"/>
  <c r="K28" i="1"/>
  <c r="K27" i="1"/>
  <c r="K26" i="1"/>
  <c r="K25" i="1"/>
  <c r="K24" i="1"/>
  <c r="K23" i="1"/>
  <c r="K22" i="1"/>
  <c r="K21" i="1"/>
  <c r="K20" i="1"/>
  <c r="K19" i="1"/>
  <c r="N23" i="23"/>
  <c r="C30" i="1"/>
  <c r="E30" i="1" s="1"/>
  <c r="C29" i="1"/>
  <c r="E29" i="1" s="1"/>
  <c r="C28" i="1"/>
  <c r="E28" i="1" s="1"/>
  <c r="C27" i="1"/>
  <c r="E27" i="1" s="1"/>
  <c r="C26" i="1"/>
  <c r="E26" i="1" s="1"/>
  <c r="C25" i="1"/>
  <c r="E25" i="1" s="1"/>
  <c r="C24" i="1"/>
  <c r="E24" i="1" s="1"/>
  <c r="C23" i="1"/>
  <c r="E23" i="1" s="1"/>
  <c r="C22" i="1"/>
  <c r="E22" i="1" s="1"/>
  <c r="C21" i="1"/>
  <c r="E21" i="1" s="1"/>
  <c r="C20" i="1"/>
  <c r="E20" i="1" s="1"/>
  <c r="C19" i="1"/>
  <c r="E19" i="1" s="1"/>
  <c r="D52" i="24" l="1"/>
  <c r="D51" i="24"/>
  <c r="D50" i="24"/>
  <c r="D49" i="24"/>
  <c r="D48" i="24"/>
  <c r="D47" i="24"/>
  <c r="D46" i="24"/>
  <c r="D45" i="24"/>
  <c r="D44" i="24"/>
  <c r="D43" i="24"/>
  <c r="D42" i="24"/>
  <c r="D41" i="24"/>
  <c r="D40" i="24"/>
  <c r="D39" i="24"/>
  <c r="D38" i="24"/>
  <c r="D37" i="24"/>
  <c r="D36" i="24"/>
  <c r="D35" i="24"/>
  <c r="D34" i="24"/>
  <c r="D33" i="24"/>
  <c r="D32" i="24"/>
  <c r="D31" i="24"/>
  <c r="D30" i="24"/>
  <c r="D29" i="24"/>
  <c r="D28" i="24"/>
  <c r="D27" i="24"/>
  <c r="D26" i="24"/>
  <c r="D25" i="24"/>
  <c r="D24" i="24"/>
  <c r="D23" i="24"/>
  <c r="D22" i="24"/>
  <c r="D53" i="24" s="1"/>
  <c r="AJ18" i="24"/>
  <c r="AI18" i="24"/>
  <c r="AH18" i="24"/>
  <c r="AJ17" i="24"/>
  <c r="AI17" i="24"/>
  <c r="AH17" i="24"/>
  <c r="AJ16" i="24"/>
  <c r="AI16" i="24"/>
  <c r="AH16" i="24"/>
  <c r="AJ15" i="24"/>
  <c r="AI15" i="24"/>
  <c r="AH15" i="24"/>
  <c r="AJ14" i="24"/>
  <c r="AI14" i="24"/>
  <c r="AH14" i="24"/>
  <c r="AJ13" i="24"/>
  <c r="AI13" i="24"/>
  <c r="AH13" i="24"/>
  <c r="AJ12" i="24"/>
  <c r="AI12" i="24"/>
  <c r="AH12" i="24"/>
  <c r="AJ11" i="24"/>
  <c r="AI11" i="24"/>
  <c r="AH11" i="24"/>
  <c r="AJ10" i="24"/>
  <c r="AI10" i="24"/>
  <c r="AH10" i="24"/>
  <c r="AJ9" i="24"/>
  <c r="AI9" i="24"/>
  <c r="AH9" i="24"/>
  <c r="AJ8" i="24"/>
  <c r="AI8" i="24"/>
  <c r="AH8" i="24"/>
  <c r="AJ7" i="24"/>
  <c r="AI7" i="24"/>
  <c r="AH7" i="24"/>
  <c r="C24" i="2" l="1"/>
  <c r="AH19" i="24"/>
  <c r="O35" i="23"/>
  <c r="O34" i="23"/>
  <c r="O36" i="23" s="1"/>
  <c r="K13" i="23" s="1"/>
  <c r="O31" i="23"/>
  <c r="O30" i="23"/>
  <c r="O29" i="23"/>
  <c r="I21" i="23"/>
  <c r="F21" i="23"/>
  <c r="E21" i="23"/>
  <c r="P20" i="23"/>
  <c r="Q20" i="23" s="1"/>
  <c r="N20" i="23"/>
  <c r="G20" i="23"/>
  <c r="D20" i="23"/>
  <c r="C20" i="23"/>
  <c r="B20" i="23"/>
  <c r="F45" i="23" s="1"/>
  <c r="N19" i="23"/>
  <c r="G19" i="23"/>
  <c r="F44" i="23" s="1"/>
  <c r="D19" i="23"/>
  <c r="C19" i="23"/>
  <c r="B19" i="23"/>
  <c r="P18" i="23"/>
  <c r="Q18" i="23" s="1"/>
  <c r="N18" i="23"/>
  <c r="G18" i="23"/>
  <c r="D18" i="23"/>
  <c r="C18" i="23"/>
  <c r="B18" i="23"/>
  <c r="F43" i="23" s="1"/>
  <c r="N17" i="23"/>
  <c r="G17" i="23"/>
  <c r="H17" i="23" s="1"/>
  <c r="O17" i="23" s="1"/>
  <c r="D17" i="23"/>
  <c r="C17" i="23"/>
  <c r="B17" i="23"/>
  <c r="P16" i="23"/>
  <c r="Q16" i="23" s="1"/>
  <c r="N16" i="23"/>
  <c r="G16" i="23"/>
  <c r="F41" i="23" s="1"/>
  <c r="D16" i="23"/>
  <c r="C16" i="23"/>
  <c r="B16" i="23"/>
  <c r="H16" i="23" s="1"/>
  <c r="O16" i="23" s="1"/>
  <c r="N15" i="23"/>
  <c r="G15" i="23"/>
  <c r="P15" i="23" s="1"/>
  <c r="Q15" i="23" s="1"/>
  <c r="D15" i="23"/>
  <c r="C15" i="23"/>
  <c r="B15" i="23"/>
  <c r="P14" i="23"/>
  <c r="Q14" i="23" s="1"/>
  <c r="N14" i="23"/>
  <c r="G14" i="23"/>
  <c r="D14" i="23"/>
  <c r="C14" i="23"/>
  <c r="B14" i="23"/>
  <c r="H14" i="23" s="1"/>
  <c r="O14" i="23" s="1"/>
  <c r="G13" i="23"/>
  <c r="F38" i="23" s="1"/>
  <c r="D13" i="23"/>
  <c r="C13" i="23"/>
  <c r="B13" i="23"/>
  <c r="P12" i="23"/>
  <c r="Q12" i="23" s="1"/>
  <c r="N12" i="23"/>
  <c r="G12" i="23"/>
  <c r="F37" i="23" s="1"/>
  <c r="D12" i="23"/>
  <c r="C12" i="23"/>
  <c r="B12" i="23"/>
  <c r="H12" i="23" s="1"/>
  <c r="O12" i="23" s="1"/>
  <c r="P11" i="23"/>
  <c r="Q11" i="23" s="1"/>
  <c r="M11" i="23"/>
  <c r="N11" i="23" s="1"/>
  <c r="H11" i="23"/>
  <c r="O11" i="23" s="1"/>
  <c r="G11" i="23"/>
  <c r="F36" i="23" s="1"/>
  <c r="D11" i="23"/>
  <c r="C11" i="23"/>
  <c r="B11" i="23"/>
  <c r="P10" i="23"/>
  <c r="Q10" i="23" s="1"/>
  <c r="N10" i="23"/>
  <c r="G10" i="23"/>
  <c r="F35" i="23" s="1"/>
  <c r="D10" i="23"/>
  <c r="D21" i="23" s="1"/>
  <c r="C10" i="23"/>
  <c r="B10" i="23"/>
  <c r="P9" i="23"/>
  <c r="N9" i="23"/>
  <c r="H9" i="23"/>
  <c r="O9" i="23" s="1"/>
  <c r="G9" i="23"/>
  <c r="D9" i="23"/>
  <c r="C9" i="23"/>
  <c r="C21" i="23" s="1"/>
  <c r="B9" i="23"/>
  <c r="F34" i="23" s="1"/>
  <c r="K21" i="23" l="1"/>
  <c r="N13" i="23"/>
  <c r="N21" i="23"/>
  <c r="H15" i="23"/>
  <c r="O15" i="23" s="1"/>
  <c r="H19" i="23"/>
  <c r="O19" i="23" s="1"/>
  <c r="H10" i="23"/>
  <c r="O10" i="23" s="1"/>
  <c r="G21" i="23"/>
  <c r="F39" i="23"/>
  <c r="Q9" i="23"/>
  <c r="B21" i="23"/>
  <c r="F40" i="23"/>
  <c r="P13" i="23"/>
  <c r="Q13" i="23" s="1"/>
  <c r="P17" i="23"/>
  <c r="Q17" i="23" s="1"/>
  <c r="H18" i="23"/>
  <c r="O18" i="23" s="1"/>
  <c r="P19" i="23"/>
  <c r="Q19" i="23" s="1"/>
  <c r="H20" i="23"/>
  <c r="O20" i="23" s="1"/>
  <c r="B22" i="23"/>
  <c r="N22" i="23"/>
  <c r="F42" i="23"/>
  <c r="H13" i="23"/>
  <c r="M21" i="23"/>
  <c r="Q46" i="1"/>
  <c r="R46" i="1" s="1"/>
  <c r="P21" i="23" l="1"/>
  <c r="B23" i="23"/>
  <c r="H21" i="23"/>
  <c r="O13" i="23"/>
  <c r="O21" i="23" s="1"/>
  <c r="P22" i="23"/>
  <c r="Q23" i="23" s="1"/>
  <c r="K35" i="6" l="1"/>
  <c r="K32" i="6"/>
  <c r="G23" i="6" l="1"/>
  <c r="H34" i="5" l="1"/>
  <c r="I17" i="20" l="1"/>
  <c r="M5" i="20"/>
  <c r="A5" i="20"/>
  <c r="A4" i="20"/>
  <c r="A3" i="20"/>
  <c r="I19" i="20" l="1"/>
  <c r="M19" i="20" s="1"/>
  <c r="Q19" i="20" s="1"/>
  <c r="M17" i="20"/>
  <c r="Q17" i="20" s="1"/>
  <c r="Q30" i="20" s="1"/>
  <c r="I25" i="20"/>
  <c r="I23" i="20"/>
  <c r="M23" i="20" s="1"/>
  <c r="Q23" i="20" s="1"/>
  <c r="I21" i="20"/>
  <c r="M21" i="20" s="1"/>
  <c r="Q21" i="20" s="1"/>
  <c r="Q33" i="20" l="1"/>
  <c r="S23" i="20"/>
  <c r="S19" i="20"/>
  <c r="Q31" i="20"/>
  <c r="S21" i="20"/>
  <c r="Q32" i="20"/>
  <c r="D32" i="18" l="1"/>
  <c r="D30" i="18" l="1"/>
  <c r="M25" i="20"/>
  <c r="Q25" i="20" s="1"/>
  <c r="S25" i="20" l="1"/>
  <c r="S26" i="20" s="1"/>
  <c r="Q43" i="20" s="1"/>
  <c r="Q34" i="20"/>
  <c r="I33" i="1"/>
  <c r="G33" i="1"/>
  <c r="Q42" i="20" l="1"/>
  <c r="M31" i="20"/>
  <c r="M30" i="20"/>
  <c r="M32" i="20"/>
  <c r="Q35" i="20" l="1"/>
  <c r="Q37" i="20" s="1"/>
  <c r="Q38" i="20" s="1"/>
  <c r="G19" i="6" l="1"/>
  <c r="L34" i="3"/>
  <c r="M30" i="1" l="1"/>
  <c r="O30" i="1" s="1"/>
  <c r="M23" i="1"/>
  <c r="O23" i="1" s="1"/>
  <c r="C33" i="1"/>
  <c r="F36" i="8"/>
  <c r="F37" i="8" s="1"/>
  <c r="G21" i="6" s="1"/>
  <c r="G25" i="6" s="1"/>
  <c r="G27" i="6" s="1"/>
  <c r="M25" i="1"/>
  <c r="O25" i="1" s="1"/>
  <c r="M27" i="1"/>
  <c r="O27" i="1" s="1"/>
  <c r="M22" i="1"/>
  <c r="O22" i="1" s="1"/>
  <c r="M26" i="1"/>
  <c r="O26" i="1" s="1"/>
  <c r="M21" i="1"/>
  <c r="O21" i="1" s="1"/>
  <c r="M29" i="1"/>
  <c r="O29" i="1" s="1"/>
  <c r="M28" i="1" l="1"/>
  <c r="O28" i="1" s="1"/>
  <c r="M24" i="1"/>
  <c r="O24" i="1" s="1"/>
  <c r="K33" i="1" l="1"/>
  <c r="M20" i="1"/>
  <c r="O20" i="1" s="1"/>
  <c r="A6" i="18"/>
  <c r="A5" i="18"/>
  <c r="A4" i="18"/>
  <c r="C20" i="18"/>
  <c r="D19" i="18"/>
  <c r="E19" i="18" s="1"/>
  <c r="D18" i="18"/>
  <c r="E18" i="18" s="1"/>
  <c r="D17" i="18"/>
  <c r="E17" i="18" s="1"/>
  <c r="D16" i="18"/>
  <c r="I17" i="9"/>
  <c r="M17" i="9" s="1"/>
  <c r="Q17" i="9" s="1"/>
  <c r="E19" i="9"/>
  <c r="I19" i="9" s="1"/>
  <c r="M19" i="9" s="1"/>
  <c r="Q19" i="9" s="1"/>
  <c r="E23" i="9"/>
  <c r="I23" i="9" s="1"/>
  <c r="M23" i="9" s="1"/>
  <c r="Q23" i="9" s="1"/>
  <c r="E25" i="9"/>
  <c r="M25" i="9" s="1"/>
  <c r="Q25" i="9" s="1"/>
  <c r="E21" i="9"/>
  <c r="I21" i="9" s="1"/>
  <c r="M21" i="9" s="1"/>
  <c r="Q21" i="9" s="1"/>
  <c r="H30" i="5"/>
  <c r="L29" i="3"/>
  <c r="H48" i="5"/>
  <c r="H63" i="5" s="1"/>
  <c r="H50" i="5"/>
  <c r="H22" i="5"/>
  <c r="H24" i="5"/>
  <c r="H62" i="5"/>
  <c r="H26" i="5"/>
  <c r="J5" i="2"/>
  <c r="G6" i="18" s="1"/>
  <c r="A6" i="2"/>
  <c r="A5" i="2"/>
  <c r="A4" i="2"/>
  <c r="K16" i="2"/>
  <c r="K17" i="2"/>
  <c r="K18" i="2"/>
  <c r="K19" i="2"/>
  <c r="K20" i="2"/>
  <c r="K21" i="2"/>
  <c r="K22" i="2"/>
  <c r="K23" i="2"/>
  <c r="K24" i="2"/>
  <c r="K25" i="2"/>
  <c r="K26" i="2"/>
  <c r="K27" i="2"/>
  <c r="C30" i="2"/>
  <c r="G20" i="4" s="1"/>
  <c r="H5" i="3"/>
  <c r="A5" i="3"/>
  <c r="A4" i="3"/>
  <c r="A3" i="3"/>
  <c r="J5" i="4"/>
  <c r="A5" i="4"/>
  <c r="A4" i="4"/>
  <c r="A3" i="4"/>
  <c r="H6" i="5"/>
  <c r="A6" i="5"/>
  <c r="A5" i="5"/>
  <c r="A4" i="5"/>
  <c r="A6" i="6"/>
  <c r="G6" i="6"/>
  <c r="A5" i="6"/>
  <c r="A4" i="6"/>
  <c r="G6" i="7"/>
  <c r="A6" i="7"/>
  <c r="A5" i="7"/>
  <c r="A4" i="7"/>
  <c r="H5" i="8"/>
  <c r="A5" i="8"/>
  <c r="A4" i="8"/>
  <c r="A3" i="8"/>
  <c r="M5" i="9"/>
  <c r="A5" i="9"/>
  <c r="A4" i="9"/>
  <c r="A3" i="9"/>
  <c r="E16" i="18"/>
  <c r="H27" i="5"/>
  <c r="H65" i="5" s="1"/>
  <c r="F30" i="18"/>
  <c r="F21" i="18"/>
  <c r="Q34" i="9" l="1"/>
  <c r="F22" i="8"/>
  <c r="M19" i="1"/>
  <c r="O19" i="1" s="1"/>
  <c r="E33" i="1"/>
  <c r="D20" i="18"/>
  <c r="E20" i="18"/>
  <c r="F20" i="18" s="1"/>
  <c r="F22" i="18" s="1"/>
  <c r="D31" i="18"/>
  <c r="F31" i="18" s="1"/>
  <c r="F32" i="18" s="1"/>
  <c r="Q33" i="9"/>
  <c r="S25" i="9"/>
  <c r="Q32" i="9"/>
  <c r="S23" i="9"/>
  <c r="S21" i="9"/>
  <c r="Q31" i="9"/>
  <c r="Q30" i="9"/>
  <c r="S19" i="9"/>
  <c r="K30" i="2"/>
  <c r="F25" i="18" s="1"/>
  <c r="H46" i="5"/>
  <c r="H61" i="5" s="1"/>
  <c r="H31" i="5"/>
  <c r="H37" i="5" l="1"/>
  <c r="L35" i="3"/>
  <c r="M33" i="1"/>
  <c r="F38" i="18"/>
  <c r="F40" i="18" s="1"/>
  <c r="F41" i="18" s="1"/>
  <c r="F39" i="18"/>
  <c r="S26" i="9"/>
  <c r="Q43" i="9" s="1"/>
  <c r="M32" i="9"/>
  <c r="M30" i="9"/>
  <c r="M31" i="9"/>
  <c r="M30" i="2"/>
  <c r="Q42" i="9" l="1"/>
  <c r="F20" i="8"/>
  <c r="F23" i="8" s="1"/>
  <c r="H36" i="5"/>
  <c r="H38" i="5" s="1"/>
  <c r="H49" i="5" s="1"/>
  <c r="O33" i="1"/>
  <c r="E36" i="5" s="1"/>
  <c r="Q35" i="9"/>
  <c r="Q37" i="9" s="1"/>
  <c r="Q38" i="9" s="1"/>
  <c r="H64" i="5" l="1"/>
  <c r="H59" i="5" s="1"/>
  <c r="H43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DBC</author>
    <author>Peggy J. Hanks</author>
  </authors>
  <commentList>
    <comment ref="B8" authorId="0" shapeId="0" xr:uid="{1DD6D1B9-C8DA-4208-9148-071EA3C689F2}">
      <text>
        <r>
          <rPr>
            <b/>
            <sz val="8"/>
            <color indexed="81"/>
            <rFont val="Tahoma"/>
            <family val="2"/>
          </rPr>
          <t>Picked up from Daily Flow.  Total daily flow, Column AH</t>
        </r>
      </text>
    </comment>
    <comment ref="C8" authorId="0" shapeId="0" xr:uid="{09BBA456-47A9-4A33-820C-9E44CCD9037D}">
      <text>
        <r>
          <rPr>
            <b/>
            <sz val="8"/>
            <color indexed="81"/>
            <rFont val="Tahoma"/>
            <family val="2"/>
          </rPr>
          <t>Picked up from Daily Flow AVG, Column AI</t>
        </r>
      </text>
    </comment>
    <comment ref="D8" authorId="0" shapeId="0" xr:uid="{7E956A74-FEAC-4CCF-93AB-07F3825B5DEE}">
      <text>
        <r>
          <rPr>
            <b/>
            <sz val="8"/>
            <color indexed="81"/>
            <rFont val="Tahoma"/>
            <family val="2"/>
          </rPr>
          <t>Picked up from Daily Flow MAX, Column AJ</t>
        </r>
      </text>
    </comment>
    <comment ref="E8" authorId="1" shapeId="0" xr:uid="{5765A5C9-F0B2-43A1-BAF9-A40C87544D2D}">
      <text>
        <r>
          <rPr>
            <sz val="8"/>
            <color indexed="81"/>
            <rFont val="Tahoma"/>
            <family val="2"/>
          </rPr>
          <t xml:space="preserve">Click on the hyperlink at the top of this worksheet to access the Water Accountability Data Input Form for the used detail.
</t>
        </r>
      </text>
    </comment>
    <comment ref="F8" authorId="1" shapeId="0" xr:uid="{45954597-0F40-4012-A084-F44CCD34408B}">
      <text>
        <r>
          <rPr>
            <sz val="8"/>
            <color indexed="81"/>
            <rFont val="Tahoma"/>
            <family val="2"/>
          </rPr>
          <t xml:space="preserve">Click on the hyperlink at the top of this worksheet to access the Water Accountability Data Input Form for the loss detail.
</t>
        </r>
      </text>
    </comment>
  </commentList>
</comments>
</file>

<file path=xl/sharedStrings.xml><?xml version="1.0" encoding="utf-8"?>
<sst xmlns="http://schemas.openxmlformats.org/spreadsheetml/2006/main" count="916" uniqueCount="408">
  <si>
    <t>five years, including the test year.  If the utility does not have single-family residential (SFR) customers,</t>
  </si>
  <si>
    <t>the largest customer class should be used as a substitute.</t>
  </si>
  <si>
    <t>Schedule F-10</t>
  </si>
  <si>
    <t>Line</t>
  </si>
  <si>
    <t>No.</t>
  </si>
  <si>
    <t>SFR Customers</t>
  </si>
  <si>
    <t>Beginning</t>
  </si>
  <si>
    <t>Ending</t>
  </si>
  <si>
    <t>Average</t>
  </si>
  <si>
    <t>SFR</t>
  </si>
  <si>
    <t>Gallons/</t>
  </si>
  <si>
    <t>(5)/(4)</t>
  </si>
  <si>
    <t>(7)</t>
  </si>
  <si>
    <t>(8)</t>
  </si>
  <si>
    <t>ERCs</t>
  </si>
  <si>
    <t>(7)/(6)</t>
  </si>
  <si>
    <t>(9)</t>
  </si>
  <si>
    <t>Annual</t>
  </si>
  <si>
    <t>% Incr.</t>
  </si>
  <si>
    <t>in ERCs</t>
  </si>
  <si>
    <t>Average Growth Through 5-Year Period (Col. 8)</t>
  </si>
  <si>
    <t>in the test year.  Provide an explanation if fire flow, line</t>
  </si>
  <si>
    <t>these days.</t>
  </si>
  <si>
    <t>AVERAGE</t>
  </si>
  <si>
    <t>Average Daily Flow</t>
  </si>
  <si>
    <t>The standards will be those as set by the Insurance Service</t>
  </si>
  <si>
    <t>Organization or by a governmental agency ordinance.  Provide</t>
  </si>
  <si>
    <t>documents to support this calculation.</t>
  </si>
  <si>
    <t>Recap Schedules:  A-5,A-9,B-13</t>
  </si>
  <si>
    <t xml:space="preserve">Wastewater Treatment Plant </t>
  </si>
  <si>
    <t>Schedule F-6</t>
  </si>
  <si>
    <t>the used and useful percentages for the wastewater treatment plant(s) for the historical test year</t>
  </si>
  <si>
    <t>and the projected test year (if applicable).</t>
  </si>
  <si>
    <t xml:space="preserve">Water Distribution and Wastewater Collection Systems </t>
  </si>
  <si>
    <t>Schedule F-7</t>
  </si>
  <si>
    <t>Explanation:  Provide all calculations, analyses and governmental requirements used to determine</t>
  </si>
  <si>
    <t>the used and useful percentages for the water distribution and wastewater collection systems for</t>
  </si>
  <si>
    <t>the historical and the projected test year (if applicable).  The capacity should be in terms of</t>
  </si>
  <si>
    <t>ability to serve a designated number of connections. It should then be related to actual connected</t>
  </si>
  <si>
    <t xml:space="preserve">density for historical year calculations.  Explain all assumptions for projected calculations.  If </t>
  </si>
  <si>
    <t>the distribution and collection systems are entirely contributed or built-out, this schedule is</t>
  </si>
  <si>
    <t>not required.</t>
  </si>
  <si>
    <t>Recap Schedules:  A-5,A-6,A-9,A-10,B-13,B-14</t>
  </si>
  <si>
    <t>Margin Reserve Calculations</t>
  </si>
  <si>
    <t>Schedule F-8</t>
  </si>
  <si>
    <t>Explanation:  If a margin reserve is requested, provide all calculations and analyses used to</t>
  </si>
  <si>
    <t xml:space="preserve">determine the amount of margin reserve for each portion of used and useful plant.  </t>
  </si>
  <si>
    <t>Gallons of Water Pumped, Sold and Unaccounted For</t>
  </si>
  <si>
    <t>Florida Public Service Commission</t>
  </si>
  <si>
    <t>In Thousands of Gallons</t>
  </si>
  <si>
    <t>Schedule F-1</t>
  </si>
  <si>
    <t>Page 1 of 1</t>
  </si>
  <si>
    <t xml:space="preserve">Explanation:  Provide a schedule of gallons of water pumped, sold and unaccounted for each month of the test </t>
  </si>
  <si>
    <t>uses may include plant use, flushing of hydrants and water and sewer lines, line breakages and fire flows.</t>
  </si>
  <si>
    <t>Provide all calculations to substantiate the other uses.  If unaccounted for water is greater than 10%, pro-</t>
  </si>
  <si>
    <t>vide an explanation as to the reasons why; if less than 10%, then Columns 4 &amp; 5 may be omitted.</t>
  </si>
  <si>
    <t>_</t>
  </si>
  <si>
    <t>(1)</t>
  </si>
  <si>
    <t>(2)</t>
  </si>
  <si>
    <t>(3)</t>
  </si>
  <si>
    <t>(4)</t>
  </si>
  <si>
    <t>(5)</t>
  </si>
  <si>
    <t>(6)</t>
  </si>
  <si>
    <t>Unaccounted</t>
  </si>
  <si>
    <t>%</t>
  </si>
  <si>
    <t>Month/</t>
  </si>
  <si>
    <t>Total Gallons</t>
  </si>
  <si>
    <t>Gallons</t>
  </si>
  <si>
    <t>Other</t>
  </si>
  <si>
    <t>For Water</t>
  </si>
  <si>
    <t>Year</t>
  </si>
  <si>
    <t xml:space="preserve">Pumped </t>
  </si>
  <si>
    <t>Purchased</t>
  </si>
  <si>
    <t>Sold</t>
  </si>
  <si>
    <t>(1)+(2)-(3)-(4)</t>
  </si>
  <si>
    <t>-</t>
  </si>
  <si>
    <t>Total</t>
  </si>
  <si>
    <t>=</t>
  </si>
  <si>
    <t>Gallons of Wastewater Treated</t>
  </si>
  <si>
    <t>Schedule F-2</t>
  </si>
  <si>
    <t xml:space="preserve">Explanation:  Provide a schedule of gallons of wastewater treated by individual plant for each month of the </t>
  </si>
  <si>
    <t xml:space="preserve">   Individual Plant Flows</t>
  </si>
  <si>
    <t>Total Purch.</t>
  </si>
  <si>
    <t>Total Plant</t>
  </si>
  <si>
    <t>Sewage</t>
  </si>
  <si>
    <t>(Name)</t>
  </si>
  <si>
    <t>Flows</t>
  </si>
  <si>
    <t>Treatment</t>
  </si>
  <si>
    <t>Water Treatment Plant Data</t>
  </si>
  <si>
    <t>Schedule F-3</t>
  </si>
  <si>
    <t>Explanation:  Provide the following information for each water treatment plant.  If the system has water plants that</t>
  </si>
  <si>
    <t>are interconnected, the data for these plants may be combined.  All flow data must be obtained from the monthly oper-</t>
  </si>
  <si>
    <t>Date</t>
  </si>
  <si>
    <t>GPD</t>
  </si>
  <si>
    <t>Plant Capacity</t>
  </si>
  <si>
    <t xml:space="preserve">The hydraulic rated capacity.  If different from that shown </t>
  </si>
  <si>
    <t>Maximum Day</t>
  </si>
  <si>
    <t xml:space="preserve">The single day with the highest pumpage rate for the test year.  </t>
  </si>
  <si>
    <t>Five Day Max. Year</t>
  </si>
  <si>
    <t xml:space="preserve">The five days with the highest pumpage rate from any one month </t>
  </si>
  <si>
    <t>Required Fire Flow</t>
  </si>
  <si>
    <t>Wastewater Treatment Plant Data</t>
  </si>
  <si>
    <t>Schedule F-4</t>
  </si>
  <si>
    <t xml:space="preserve">Explanation:  Provide the following information for each wastewater treatment plant.  All flow data must be obtained </t>
  </si>
  <si>
    <t>MONTH</t>
  </si>
  <si>
    <t>1.</t>
  </si>
  <si>
    <t>2.</t>
  </si>
  <si>
    <t>Used and Useful Calculations</t>
  </si>
  <si>
    <t xml:space="preserve">Water Treatment Plant </t>
  </si>
  <si>
    <t>Schedule F-5</t>
  </si>
  <si>
    <t>Explanation:  Provide all calculations, analyses and governmental requirements  used to determine</t>
  </si>
  <si>
    <t xml:space="preserve">the used and useful percentages for the water treatment plant(s) for the historical test year and </t>
  </si>
  <si>
    <t>the projected test year (if applicable).</t>
  </si>
  <si>
    <t>Equivalent Residential Connections - Water</t>
  </si>
  <si>
    <t>Schedule F-9</t>
  </si>
  <si>
    <t>Explanation:  Provide the following information in order to calculate the average growth in ERCs for the last</t>
  </si>
  <si>
    <t>Preparer:  Seidman, F.</t>
  </si>
  <si>
    <t>(Above data in millions of gallons)</t>
  </si>
  <si>
    <t>year.  The gallons pumped should match the flows shown on the monthly operating reports sent to DEP. The other</t>
  </si>
  <si>
    <t xml:space="preserve">historical test year.  Flow data should match the  monthly operating reports sent to DEP. </t>
  </si>
  <si>
    <t>on the DEP operating or construction permit, provide an explanation.</t>
  </si>
  <si>
    <t xml:space="preserve">Explain, on a separate sheet of paper if fire flow, line breaks, </t>
  </si>
  <si>
    <t>or other unusual occurrences affected the flow this day.</t>
  </si>
  <si>
    <t>breaks or other unusual occurrences affected the flows on</t>
  </si>
  <si>
    <t>Max Month</t>
  </si>
  <si>
    <t xml:space="preserve">ating reports (MORs) sent to the Department of Environmental Protection.  </t>
  </si>
  <si>
    <t>from the monthly operating reports (MORs) sent to the Department of Environmental Protection.</t>
  </si>
  <si>
    <t>Regression Analysis per Rule 25-30.431(2)(C)</t>
  </si>
  <si>
    <t>X</t>
  </si>
  <si>
    <t>Y</t>
  </si>
  <si>
    <t>Constant:</t>
  </si>
  <si>
    <t>X Coefficient:</t>
  </si>
  <si>
    <t>R^2:</t>
  </si>
  <si>
    <t>Five year growth</t>
  </si>
  <si>
    <t>Annual average growth</t>
  </si>
  <si>
    <t>Ercs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</si>
  <si>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</si>
  <si>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</si>
  <si>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</si>
  <si>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</si>
  <si>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</si>
  <si>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</si>
  <si>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</si>
  <si>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</si>
  <si>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</si>
  <si>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</si>
  <si>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</si>
  <si>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INPUT INFORMATION:</t>
  </si>
  <si>
    <t>Total well pumping capacity, gpm</t>
  </si>
  <si>
    <t>gpm</t>
  </si>
  <si>
    <t>Firm Reliable well pumping capacity (largest well out), gpm</t>
  </si>
  <si>
    <t>Ground storage capacity, gal.</t>
  </si>
  <si>
    <t>gallons</t>
  </si>
  <si>
    <t>Usable ground storage (90%), gal.</t>
  </si>
  <si>
    <t>Elevated Storage</t>
  </si>
  <si>
    <t>Usable ground storage (100%), gal.</t>
  </si>
  <si>
    <t>Hydropneumatic storage capacity, gal.</t>
  </si>
  <si>
    <t>Usable hydropneumatic storage capacity (0.00%), gal.</t>
  </si>
  <si>
    <t>Total usable storage, gal.</t>
  </si>
  <si>
    <t xml:space="preserve">Maximum day demand, </t>
  </si>
  <si>
    <t>gpd</t>
  </si>
  <si>
    <t>Peak hour demand = 2x max day/1440</t>
  </si>
  <si>
    <t>Fire flow requirement</t>
  </si>
  <si>
    <t>Unaccounted for water</t>
  </si>
  <si>
    <t>of water pumped</t>
  </si>
  <si>
    <t>gpd, avg</t>
  </si>
  <si>
    <t>Acceptable unaccounted for</t>
  </si>
  <si>
    <t>Excess unaccounted for</t>
  </si>
  <si>
    <t>Used &amp; Useful Analysis, in accordance with Rule 25-30.4325:</t>
  </si>
  <si>
    <t>Percent Used &amp; Useful = (A + B + C - D)/E x 100%, where:</t>
  </si>
  <si>
    <t xml:space="preserve">A = </t>
  </si>
  <si>
    <t xml:space="preserve">Peak demand </t>
  </si>
  <si>
    <t>B =</t>
  </si>
  <si>
    <t>Property needed to serve five years after TY</t>
  </si>
  <si>
    <t>C =</t>
  </si>
  <si>
    <t>Fire flow demand</t>
  </si>
  <si>
    <t>D =</t>
  </si>
  <si>
    <t>Excess Unaccounted for water</t>
  </si>
  <si>
    <t>E =</t>
  </si>
  <si>
    <t xml:space="preserve">Firm Reliable Capacity </t>
  </si>
  <si>
    <t>as well as the land and structures accounts.</t>
  </si>
  <si>
    <t>Storage</t>
  </si>
  <si>
    <t>The above used and useful factor is applicable to the distribution reservoir accounts.</t>
  </si>
  <si>
    <t>Water Treatment Plant</t>
  </si>
  <si>
    <t>Firm Reliable Capacity  (16 hours)</t>
  </si>
  <si>
    <t>The above used and useful factor is applicable to all source of supply, pumping and treatment accounts.</t>
  </si>
  <si>
    <t>Equivalent Residential Connections - Wastewater</t>
  </si>
  <si>
    <t>Total Water Used/Loss</t>
  </si>
  <si>
    <t>Pumped Daily Avg.</t>
  </si>
  <si>
    <t>Pumped Daily Max.</t>
  </si>
  <si>
    <t>Gallons Used</t>
  </si>
  <si>
    <t>Gallons Loss</t>
  </si>
  <si>
    <t>Total Used/ Loss</t>
  </si>
  <si>
    <t>YTD Total/Avg/Max</t>
  </si>
  <si>
    <t>Day</t>
  </si>
  <si>
    <t>Avg.</t>
  </si>
  <si>
    <t>Rate Schedule</t>
  </si>
  <si>
    <t>Description</t>
  </si>
  <si>
    <t>Rev Class</t>
  </si>
  <si>
    <t>Grand Total</t>
  </si>
  <si>
    <t>5/8"</t>
  </si>
  <si>
    <t>1"</t>
  </si>
  <si>
    <t>Water</t>
  </si>
  <si>
    <t>Wastewater</t>
  </si>
  <si>
    <t>Page 2 of 2</t>
  </si>
  <si>
    <t>A. Infiltration allowance, excluding service laterals</t>
  </si>
  <si>
    <t>Allowance @  500</t>
  </si>
  <si>
    <t>Main dia.</t>
  </si>
  <si>
    <t>Main length</t>
  </si>
  <si>
    <t>gpd/inch-dia./mile</t>
  </si>
  <si>
    <t>inches</t>
  </si>
  <si>
    <t>feet</t>
  </si>
  <si>
    <t>miles</t>
  </si>
  <si>
    <t>gpy</t>
  </si>
  <si>
    <t>Allowable I&amp;I</t>
  </si>
  <si>
    <t>B. Actual Inflow &amp; Infiltration  (I&amp;I)</t>
  </si>
  <si>
    <t>Wastewater treated</t>
  </si>
  <si>
    <t>Estimated</t>
  </si>
  <si>
    <t>Gallons Billed (not capped) to:</t>
  </si>
  <si>
    <t>returned *</t>
  </si>
  <si>
    <t xml:space="preserve">SFR Residential WW cust. </t>
  </si>
  <si>
    <t>All Other</t>
  </si>
  <si>
    <t xml:space="preserve">Estimated flows returned </t>
  </si>
  <si>
    <t>Excess as percent of wastewater treated</t>
  </si>
  <si>
    <t>Page 1 of 2</t>
  </si>
  <si>
    <t>(A)</t>
  </si>
  <si>
    <t>(B)</t>
  </si>
  <si>
    <t>(C)</t>
  </si>
  <si>
    <t>(E)</t>
  </si>
  <si>
    <t>Used and useful percentage</t>
  </si>
  <si>
    <t>Non-used and useful percentage</t>
  </si>
  <si>
    <t>Estimated Inflow @ 10% of gallons sold (L.10)</t>
  </si>
  <si>
    <t>Estimated I&amp;I (treated less returned) [L.7-L.10]</t>
  </si>
  <si>
    <t>Excess, if any [L.11-L.6, if positive]</t>
  </si>
  <si>
    <t>Actual I&amp;I less allowable [L.11-L.6]</t>
  </si>
  <si>
    <t>Water Res</t>
  </si>
  <si>
    <t>Wastewater Res</t>
  </si>
  <si>
    <t>259WGENS</t>
  </si>
  <si>
    <t>259 Labrador Water General Service</t>
  </si>
  <si>
    <t>6"</t>
  </si>
  <si>
    <t>259 Labrador Water Residential</t>
  </si>
  <si>
    <t>259WWGEN</t>
  </si>
  <si>
    <t>259 Labrador Wastewater General Service</t>
  </si>
  <si>
    <t>259WWRES</t>
  </si>
  <si>
    <t>259 Labrador Wastewater Residential</t>
  </si>
  <si>
    <t>PWS ID No. 6514842</t>
  </si>
  <si>
    <t>Expires: 02/17/31</t>
  </si>
  <si>
    <t>Hyper Links'!A1</t>
  </si>
  <si>
    <t xml:space="preserve">Total </t>
  </si>
  <si>
    <t>Pumped, Less Gallons Loss/ Used</t>
  </si>
  <si>
    <t>Well 1 Meter Adj. %</t>
  </si>
  <si>
    <t>Well 1 Pumped Meter Adj.</t>
  </si>
  <si>
    <t>Well 2 Meter Adj. %</t>
  </si>
  <si>
    <t>Well 2 Pumped Meter Adj.</t>
  </si>
  <si>
    <t>Total Pumped Meter Adj.</t>
  </si>
  <si>
    <t>Pumped, + Source Mtr Error, - Gallons Loss/ Used</t>
  </si>
  <si>
    <t>Proof to Daily Flow</t>
  </si>
  <si>
    <t>Water Loss/Use Proof</t>
  </si>
  <si>
    <t>Well 1</t>
  </si>
  <si>
    <t>Well 2</t>
  </si>
  <si>
    <t>Water Loss-Use'!A1</t>
  </si>
  <si>
    <t>Max</t>
  </si>
  <si>
    <t>Hyperlinks!A1</t>
  </si>
  <si>
    <t>Spray Field FLW-01</t>
  </si>
  <si>
    <t>Avg</t>
  </si>
  <si>
    <t>Corrected for</t>
  </si>
  <si>
    <t>Uses (2)</t>
  </si>
  <si>
    <t>Per MORs</t>
  </si>
  <si>
    <t>Meter Error (1)</t>
  </si>
  <si>
    <t>(1) The Utility does an annual flow meter calibration. A correction factor is calculated that reflects the difference between our flow meter and a strap-on meter positioned directly adjacent to our meter to give highest confidence of meter accuracy. Meters are not necessarily repaired or modified after a calibration test. Instead, it is assumed that the measured error will be present consistently thereafter or until a subsequent flow test indicates otherwise. The corrected gallons = the gallons reported in the MOR + the percent correction determined in the most recent calibration.</t>
  </si>
  <si>
    <t xml:space="preserve">(2) Other Uses includes such uses as line breaks, flushing and water quality testing </t>
  </si>
  <si>
    <t>Jan</t>
  </si>
  <si>
    <t>Feb</t>
  </si>
  <si>
    <t>Mar</t>
  </si>
  <si>
    <t>Aug</t>
  </si>
  <si>
    <t>Oct</t>
  </si>
  <si>
    <t>Nov</t>
  </si>
  <si>
    <t>Dec</t>
  </si>
  <si>
    <t>Yr End Res Cust</t>
  </si>
  <si>
    <t>Distribution &amp; Collection Systems</t>
  </si>
  <si>
    <t>Recap Schedules: F-5, F-6, F-7</t>
  </si>
  <si>
    <t>Water Treatment &amp; Related Facilities</t>
  </si>
  <si>
    <t>PN = EG x PT x U</t>
  </si>
  <si>
    <t>where:</t>
  </si>
  <si>
    <t>EG =</t>
  </si>
  <si>
    <t>Equivalent annual growth in ERCs (see F-9)</t>
  </si>
  <si>
    <t>ERC/yr</t>
  </si>
  <si>
    <t>PT =</t>
  </si>
  <si>
    <t>Post test year period per statute</t>
  </si>
  <si>
    <t>yrs</t>
  </si>
  <si>
    <t>U =</t>
  </si>
  <si>
    <t>Unit of measure utilized in U&amp;U calculations</t>
  </si>
  <si>
    <t>gpd/ERC</t>
  </si>
  <si>
    <t>**</t>
  </si>
  <si>
    <t>PN =</t>
  </si>
  <si>
    <t>Property needed expressed in U units</t>
  </si>
  <si>
    <t>** MDD from F-5 divided by average ERCs from F-9.</t>
  </si>
  <si>
    <t>Wastewater Treatment &amp; Related Facilities</t>
  </si>
  <si>
    <t>Equivalent annual growth in ERCs (see F-10)</t>
  </si>
  <si>
    <t>*</t>
  </si>
  <si>
    <t>The distribution &amp; collection lines serving customers are 100 U&amp;U. See F-7.</t>
  </si>
  <si>
    <t>The Coefficient of determination - R^2 is very weak.  Use simple average growth rate:</t>
  </si>
  <si>
    <t>Annual average growth @ 0.14%</t>
  </si>
  <si>
    <t>WATER</t>
  </si>
  <si>
    <t>Production</t>
  </si>
  <si>
    <t>WASTEWATER</t>
  </si>
  <si>
    <t>WWTP</t>
  </si>
  <si>
    <t>REUSE</t>
  </si>
  <si>
    <t>MGD, AADF</t>
  </si>
  <si>
    <t>Ground</t>
  </si>
  <si>
    <t>500 gpm for 2 hours</t>
  </si>
  <si>
    <t>*  500 gpm for 2 hours</t>
  </si>
  <si>
    <t>(System has Ground Storage)</t>
  </si>
  <si>
    <t>Labrador (Forest Lake Estates) WWTP</t>
  </si>
  <si>
    <t>Used and useful flow (000):</t>
  </si>
  <si>
    <t>Property needed for post test year period (see F-8)</t>
  </si>
  <si>
    <t>Permitted capacity</t>
  </si>
  <si>
    <t>(D)</t>
  </si>
  <si>
    <t>[F]</t>
  </si>
  <si>
    <t>Used and useful percentage for rate case purposes (see note).</t>
  </si>
  <si>
    <t xml:space="preserve">A plant constructed  to serve full occupancy of the MHP alone at design flows  of 280 gpd/ERC would require 250,000 gpd  </t>
  </si>
  <si>
    <t xml:space="preserve">All reuse related plant that can be separately identified in the accounts should be considered as 100% used &amp; useful irrespective  of </t>
  </si>
  <si>
    <t>the  decision regarding the WWTP.</t>
  </si>
  <si>
    <t>Recap Schedules:  A-6, A-10, B-14</t>
  </si>
  <si>
    <t>Plant Capacity (3MRADF)</t>
  </si>
  <si>
    <t>The hydraulic rated capacity.  If different from that shown on the DEP operating or construction permit, provide an explanation.</t>
  </si>
  <si>
    <t>Maximum 3MRADF</t>
  </si>
  <si>
    <t>Average Annual Daily Flow</t>
  </si>
  <si>
    <t>An average of the daily flows during the peak usage month during the test year.  Explain, on a separate page, if this peak-month was influenced by abnormal infiltration due to rainfall periods.</t>
  </si>
  <si>
    <t xml:space="preserve">Forest </t>
  </si>
  <si>
    <t>Lakes</t>
  </si>
  <si>
    <t>3MADF</t>
  </si>
  <si>
    <t>MHP Occupancy</t>
  </si>
  <si>
    <t>System built out. Use:</t>
  </si>
  <si>
    <t>to be 100% used and useful. There has been no change in circunstances.</t>
  </si>
  <si>
    <t>It should continue to be 100% used and useful.</t>
  </si>
  <si>
    <t>the distribution &amp; collection systems to be 100% used and useful. They should continue to be so.</t>
  </si>
  <si>
    <t>259/217  - Labrador</t>
  </si>
  <si>
    <t xml:space="preserve">CUP No. 20 006867.006  </t>
  </si>
  <si>
    <t xml:space="preserve">FDEP Permitted Max Day Capacity of Plant - .490 mgd </t>
  </si>
  <si>
    <r>
      <t xml:space="preserve">Source Mtr Error Adj.
</t>
    </r>
    <r>
      <rPr>
        <sz val="9"/>
        <color rgb="FF800000"/>
        <rFont val="Arial"/>
        <family val="2"/>
      </rPr>
      <t>12/26/18 1.30%</t>
    </r>
    <r>
      <rPr>
        <b/>
        <sz val="9"/>
        <color rgb="FF800000"/>
        <rFont val="Arial"/>
        <family val="2"/>
      </rPr>
      <t xml:space="preserve"> 05/20/19          -3.0%</t>
    </r>
  </si>
  <si>
    <r>
      <t xml:space="preserve">Source Mtr Error Adj.
</t>
    </r>
    <r>
      <rPr>
        <sz val="9"/>
        <color rgb="FF800000"/>
        <rFont val="Arial"/>
        <family val="2"/>
      </rPr>
      <t>12/26/18 +24%</t>
    </r>
    <r>
      <rPr>
        <b/>
        <sz val="9"/>
        <color rgb="FF800000"/>
        <rFont val="Arial"/>
        <family val="2"/>
      </rPr>
      <t xml:space="preserve"> 03/06/19 +3%</t>
    </r>
  </si>
  <si>
    <t>Billed Consumption</t>
  </si>
  <si>
    <t>Total AFW(Total Used/Loss + Billed)</t>
  </si>
  <si>
    <t>AFW % plus source mtr. error</t>
  </si>
  <si>
    <t>2018               AFW %</t>
  </si>
  <si>
    <t xml:space="preserve"> +24% +3%</t>
  </si>
  <si>
    <t>1.30%&amp;-3.0%</t>
  </si>
  <si>
    <t>Proof to Total Billed</t>
  </si>
  <si>
    <t>YTD AFW% Jan-Dec</t>
  </si>
  <si>
    <t>Verif. W/UIWtrMn WLU wrksht &amp; WAF Input</t>
  </si>
  <si>
    <t>NOTES:</t>
  </si>
  <si>
    <t>Percent</t>
  </si>
  <si>
    <t>Pumped</t>
  </si>
  <si>
    <t>Adjusted</t>
  </si>
  <si>
    <t>03/01-03/06</t>
  </si>
  <si>
    <t>03/07-03/31</t>
  </si>
  <si>
    <t>Percentage of WL/U</t>
  </si>
  <si>
    <t>05/01-05/20</t>
  </si>
  <si>
    <t>05/21-05/31</t>
  </si>
  <si>
    <t>Apl</t>
  </si>
  <si>
    <t>Jly</t>
  </si>
  <si>
    <t>Sept</t>
  </si>
  <si>
    <t>Proof</t>
  </si>
  <si>
    <t>2019 Labrador DMR Flow Summary</t>
  </si>
  <si>
    <t>Note:  Operator provides the Part B in Excel.  Copy/Paste Special-Value-Transpose</t>
  </si>
  <si>
    <t>Peak Days</t>
  </si>
  <si>
    <t>Labrador - 2019</t>
  </si>
  <si>
    <t>Design Capacity</t>
  </si>
  <si>
    <t xml:space="preserve">Sanitary Survey: 5/28/2019 </t>
  </si>
  <si>
    <t>per Sanitary Survey</t>
  </si>
  <si>
    <t>Annual Average</t>
  </si>
  <si>
    <t>MMADF</t>
  </si>
  <si>
    <t>Authorized by Water Use Permit, 6/10/2013</t>
  </si>
  <si>
    <t>per CUP, AADF</t>
  </si>
  <si>
    <t>per Permit, 3/23/2015</t>
  </si>
  <si>
    <t>MGD, 3MRollingADF</t>
  </si>
  <si>
    <t>3MRADF - year 2019</t>
  </si>
  <si>
    <t>Labrador, 259-217 CCB 2019</t>
  </si>
  <si>
    <t xml:space="preserve">COML    </t>
  </si>
  <si>
    <t xml:space="preserve">259WRES </t>
  </si>
  <si>
    <t xml:space="preserve">RES     </t>
  </si>
  <si>
    <t>Mtr Size</t>
  </si>
  <si>
    <t>Begin Yr</t>
  </si>
  <si>
    <t>per Annual Report 2019</t>
  </si>
  <si>
    <t>January</t>
  </si>
  <si>
    <t>3/2019</t>
  </si>
  <si>
    <t>Note: In Docket No. 20160101-WS, the Commission found the WTP &amp; Stotage</t>
  </si>
  <si>
    <t>Annual average growth @ 0.12%</t>
  </si>
  <si>
    <t>USE:</t>
  </si>
  <si>
    <t>In the last three cases, Docket Nos. 110264-WS, 140135-WS and 20160101-WS, the Commission found</t>
  </si>
  <si>
    <t>NOTE: The plant serves an 894-lot MHP and a  274-lot RV park.  Occupancy is subject to large seasonal  variations.</t>
  </si>
  <si>
    <t xml:space="preserve">capacity. However, actual  flows for the whole system are closer to 75 gpd/ERC (down from 78 in 2015) in the peak 3-month period </t>
  </si>
  <si>
    <t>assuming 95% occupancy. The flow for which the plant is designed is reasonable. In addition, the system is built out.</t>
  </si>
  <si>
    <t>** 3MRADF from F-6 divided by average ERCs from F-9.</t>
  </si>
  <si>
    <t xml:space="preserve"> </t>
  </si>
  <si>
    <t>Docket No.: 20200139-WS</t>
  </si>
  <si>
    <t>Test Year Ended:  December 31, 2019</t>
  </si>
  <si>
    <t xml:space="preserve">Company:  Utilities, Inc. of Florida - Labrador </t>
  </si>
  <si>
    <t>In Docket No. 140135-WS, and again in Docket No. 20160101-WS, the Commission rejected the argument to use 100% because</t>
  </si>
  <si>
    <t xml:space="preserve">an 11.6% parcel within the service area, owned by the developer has remained vacant may have potential for development. The Commission opted </t>
  </si>
  <si>
    <t>to allow 79.94%, the highest U&amp;U allowed in a previous order, consistent with its policy to recognize the effects of conservation.  The</t>
  </si>
  <si>
    <t>developer has now indicated that it has plans to finally develop the parcel for 36 manufactured homes.  That will use all of the parcel</t>
  </si>
  <si>
    <t>and the service area will be built out. Under these circumstances, there is no longer any justification to deny finding the WWTP</t>
  </si>
  <si>
    <t xml:space="preserve">100% used and useful. </t>
  </si>
  <si>
    <t>Design  requiremenrts</t>
  </si>
  <si>
    <t>Actual gpd/ERC</t>
  </si>
  <si>
    <t>Design  requiremenrts w/parcel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</si>
</sst>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1" formatCode="_(* #,##0_);_(* \(#,##0\);_(* &quot;-&quot;_);_(@_)"/>
    <numFmt numFmtId="43" formatCode="_(* #,##0.00_);_(* \(#,##0.00\);_(* &quot;-&quot;??_);_(@_)"/>
    <numFmt numFmtId="164" formatCode="0000"/>
    <numFmt numFmtId="165" formatCode="#,##0\ ;\(#,##0\)"/>
    <numFmt numFmtId="166" formatCode="0.000"/>
    <numFmt numFmtId="167" formatCode="0.0%"/>
    <numFmt numFmtId="168" formatCode="#,##0.000_);\(#,##0.000\)"/>
    <numFmt numFmtId="169" formatCode="#,##0.000_);\(#,##0.00\)"/>
    <numFmt numFmtId="170" formatCode="0_);\(0\)"/>
    <numFmt numFmtId="171" formatCode="0.0000"/>
    <numFmt numFmtId="172" formatCode="_(* #,##0.000_);_(* \(#,##0.000\);_(* &quot;-&quot;???_);_(@_)"/>
    <numFmt numFmtId="173" formatCode="#,##0.000"/>
    <numFmt numFmtId="174" formatCode="0.000000"/>
    <numFmt numFmtId="175" formatCode="0.00000"/>
    <numFmt numFmtId="176" formatCode="0.0_);\(0.0\)"/>
    <numFmt numFmtId="177" formatCode="0.00000%"/>
  </numFmts>
  <fonts count="65">
    <font>
      <sz val="10"/>
      <name val="Geneva"/>
    </font>
    <font>
      <b/>
      <sz val="10"/>
      <name val="Geneva"/>
    </font>
    <font>
      <sz val="10"/>
      <name val="Geneva"/>
    </font>
    <font>
      <sz val="10"/>
      <name val="Courier"/>
      <family val="3"/>
    </font>
    <font>
      <b/>
      <sz val="10"/>
      <name val="Courier"/>
      <family val="3"/>
    </font>
    <font>
      <sz val="12"/>
      <name val="Courier"/>
      <family val="3"/>
    </font>
    <font>
      <b/>
      <sz val="18"/>
      <name val="Courier"/>
      <family val="3"/>
    </font>
    <font>
      <b/>
      <sz val="18"/>
      <name val="Courier New"/>
      <family val="3"/>
    </font>
    <font>
      <b/>
      <sz val="12"/>
      <name val="Arial"/>
      <family val="2"/>
    </font>
    <font>
      <sz val="8"/>
      <name val="Geneva"/>
    </font>
    <font>
      <sz val="10"/>
      <name val="Times New Roman"/>
      <family val="1"/>
    </font>
    <font>
      <sz val="9"/>
      <name val="Geneva"/>
      <family val="2"/>
    </font>
    <font>
      <sz val="10"/>
      <name val="Arial"/>
      <family val="2"/>
    </font>
    <font>
      <sz val="10"/>
      <name val="Geneva"/>
      <family val="2"/>
    </font>
    <font>
      <sz val="9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1"/>
      <name val="Arial"/>
      <family val="2"/>
    </font>
    <font>
      <sz val="8"/>
      <color indexed="81"/>
      <name val="Tahoma"/>
      <family val="2"/>
    </font>
    <font>
      <sz val="10"/>
      <color indexed="8"/>
      <name val="Arial"/>
      <family val="2"/>
    </font>
    <font>
      <sz val="12"/>
      <name val="Times New Roman"/>
      <family val="1"/>
    </font>
    <font>
      <sz val="12"/>
      <name val="Geneva"/>
    </font>
    <font>
      <b/>
      <sz val="10"/>
      <name val="Times New Roman"/>
      <family val="1"/>
    </font>
    <font>
      <b/>
      <u val="singleAccounting"/>
      <sz val="10"/>
      <name val="Times New Roman"/>
      <family val="1"/>
    </font>
    <font>
      <u val="doubleAccounting"/>
      <sz val="10"/>
      <name val="Times New Roman"/>
      <family val="1"/>
    </font>
    <font>
      <u val="singleAccounting"/>
      <sz val="10"/>
      <name val="Times New Roman"/>
      <family val="1"/>
    </font>
    <font>
      <sz val="10"/>
      <color indexed="12"/>
      <name val="Times New Roman"/>
      <family val="1"/>
    </font>
    <font>
      <u/>
      <sz val="10"/>
      <name val="Times New Roman"/>
      <family val="1"/>
    </font>
    <font>
      <u/>
      <sz val="9"/>
      <color theme="10"/>
      <name val="Geneva"/>
      <family val="2"/>
    </font>
    <font>
      <sz val="10"/>
      <color theme="3" tint="-0.249977111117893"/>
      <name val="Arial"/>
      <family val="2"/>
    </font>
    <font>
      <b/>
      <sz val="10"/>
      <color theme="3" tint="-0.249977111117893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color indexed="10"/>
      <name val="Arial"/>
      <family val="2"/>
    </font>
    <font>
      <b/>
      <sz val="10"/>
      <color rgb="FF800000"/>
      <name val="Arial"/>
      <family val="2"/>
    </font>
    <font>
      <sz val="9"/>
      <color rgb="FFFF0000"/>
      <name val="Arial"/>
      <family val="2"/>
    </font>
    <font>
      <sz val="9"/>
      <color theme="3" tint="-0.249977111117893"/>
      <name val="Arial"/>
      <family val="2"/>
    </font>
    <font>
      <sz val="9"/>
      <name val="Geneva"/>
    </font>
    <font>
      <sz val="9"/>
      <color rgb="FF800000"/>
      <name val="Arial"/>
      <family val="2"/>
    </font>
    <font>
      <sz val="9"/>
      <color rgb="FF640013"/>
      <name val="Arial"/>
      <family val="2"/>
    </font>
    <font>
      <b/>
      <sz val="9"/>
      <color rgb="FF800000"/>
      <name val="Arial"/>
      <family val="2"/>
    </font>
    <font>
      <sz val="9"/>
      <color theme="1"/>
      <name val="Arial"/>
      <family val="2"/>
    </font>
    <font>
      <b/>
      <sz val="8"/>
      <color indexed="81"/>
      <name val="Tahoma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0"/>
      <name val="Times New Roman"/>
      <family val="1"/>
    </font>
    <font>
      <u/>
      <sz val="10"/>
      <name val="Geneva"/>
    </font>
    <font>
      <u val="singleAccounting"/>
      <sz val="10"/>
      <name val="Geneva"/>
    </font>
    <font>
      <b/>
      <u val="doubleAccounting"/>
      <sz val="10"/>
      <name val="Times New Roman"/>
      <family val="1"/>
    </font>
    <font>
      <u/>
      <sz val="10"/>
      <color theme="8" tint="-0.249977111117893"/>
      <name val="Arial"/>
      <family val="2"/>
    </font>
    <font>
      <u/>
      <sz val="9"/>
      <color rgb="FF0070C0"/>
      <name val="Geneva"/>
      <family val="2"/>
    </font>
    <font>
      <b/>
      <sz val="9"/>
      <color rgb="FF640013"/>
      <name val="Arial"/>
      <family val="2"/>
    </font>
    <font>
      <sz val="9"/>
      <color theme="9" tint="-0.499984740745262"/>
      <name val="Arial"/>
      <family val="2"/>
    </font>
    <font>
      <b/>
      <sz val="9"/>
      <color theme="3" tint="-0.249977111117893"/>
      <name val="Arial"/>
      <family val="2"/>
    </font>
    <font>
      <b/>
      <i/>
      <sz val="10"/>
      <color rgb="FFFF0000"/>
      <name val="Arial"/>
      <family val="2"/>
    </font>
    <font>
      <b/>
      <i/>
      <sz val="10"/>
      <color indexed="48"/>
      <name val="Arial"/>
      <family val="2"/>
    </font>
    <font>
      <i/>
      <sz val="11"/>
      <color theme="1"/>
      <name val="Arial"/>
      <family val="2"/>
    </font>
    <font>
      <i/>
      <sz val="9"/>
      <color rgb="FFFF0000"/>
      <name val="Arial"/>
      <family val="2"/>
    </font>
    <font>
      <sz val="11"/>
      <color rgb="FF800000"/>
      <name val="Arial"/>
      <family val="2"/>
    </font>
    <font>
      <sz val="10"/>
      <color rgb="FFFF0000"/>
      <name val="Arial"/>
      <family val="2"/>
    </font>
    <font>
      <sz val="7"/>
      <color theme="1"/>
      <name val="Arial"/>
      <family val="2"/>
    </font>
    <font>
      <b/>
      <sz val="10"/>
      <color rgb="FF000000"/>
      <name val="Times New Roman"/>
      <family val="1"/>
    </font>
    <font>
      <b/>
      <sz val="12"/>
      <name val="Courier"/>
      <family val="3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1">
    <xf numFmtId="0" fontId="0" fillId="0" borderId="0"/>
    <xf numFmtId="40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0" fillId="0" borderId="0">
      <alignment vertical="top"/>
    </xf>
    <xf numFmtId="0" fontId="11" fillId="0" borderId="0"/>
    <xf numFmtId="9" fontId="11" fillId="0" borderId="0" applyFont="0" applyFill="0" applyBorder="0" applyAlignment="0" applyProtection="0"/>
    <xf numFmtId="0" fontId="38" fillId="0" borderId="0"/>
    <xf numFmtId="0" fontId="11" fillId="0" borderId="0" applyProtection="0"/>
    <xf numFmtId="0" fontId="11" fillId="0" borderId="0" applyProtection="0"/>
    <xf numFmtId="9" fontId="2" fillId="0" borderId="0" applyFont="0" applyFill="0" applyBorder="0" applyAlignment="0" applyProtection="0"/>
  </cellStyleXfs>
  <cellXfs count="33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fill"/>
    </xf>
    <xf numFmtId="164" fontId="4" fillId="0" borderId="0" xfId="0" applyNumberFormat="1" applyFont="1"/>
    <xf numFmtId="0" fontId="5" fillId="0" borderId="0" xfId="0" applyFont="1"/>
    <xf numFmtId="164" fontId="6" fillId="0" borderId="0" xfId="0" applyNumberFormat="1" applyFont="1"/>
    <xf numFmtId="168" fontId="3" fillId="0" borderId="0" xfId="0" applyNumberFormat="1" applyFont="1"/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6" fillId="0" borderId="0" xfId="0" quotePrefix="1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6" fillId="0" borderId="0" xfId="0" quotePrefix="1" applyFont="1" applyFill="1" applyAlignment="1"/>
    <xf numFmtId="0" fontId="4" fillId="0" borderId="0" xfId="0" applyFont="1" applyFill="1" applyAlignment="1"/>
    <xf numFmtId="169" fontId="3" fillId="0" borderId="0" xfId="0" applyNumberFormat="1" applyFont="1"/>
    <xf numFmtId="0" fontId="6" fillId="0" borderId="0" xfId="0" quotePrefix="1" applyFont="1" applyAlignment="1">
      <alignment horizontal="centerContinuous"/>
    </xf>
    <xf numFmtId="0" fontId="4" fillId="0" borderId="0" xfId="0" applyFont="1" applyAlignment="1">
      <alignment horizontal="centerContinuous"/>
    </xf>
    <xf numFmtId="169" fontId="4" fillId="0" borderId="0" xfId="0" applyNumberFormat="1" applyFont="1" applyAlignment="1">
      <alignment horizontal="centerContinuous"/>
    </xf>
    <xf numFmtId="0" fontId="2" fillId="0" borderId="0" xfId="0" applyFont="1"/>
    <xf numFmtId="164" fontId="6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left"/>
    </xf>
    <xf numFmtId="164" fontId="7" fillId="0" borderId="0" xfId="0" applyNumberFormat="1" applyFont="1"/>
    <xf numFmtId="164" fontId="7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/>
    <xf numFmtId="169" fontId="10" fillId="0" borderId="0" xfId="0" applyNumberFormat="1" applyFont="1"/>
    <xf numFmtId="0" fontId="0" fillId="0" borderId="0" xfId="0" applyFont="1"/>
    <xf numFmtId="0" fontId="21" fillId="0" borderId="0" xfId="0" applyFont="1"/>
    <xf numFmtId="0" fontId="21" fillId="0" borderId="0" xfId="0" applyFont="1" applyAlignment="1">
      <alignment horizontal="left"/>
    </xf>
    <xf numFmtId="0" fontId="22" fillId="0" borderId="0" xfId="0" applyFont="1"/>
    <xf numFmtId="168" fontId="5" fillId="0" borderId="0" xfId="0" applyNumberFormat="1" applyFont="1"/>
    <xf numFmtId="0" fontId="5" fillId="0" borderId="0" xfId="0" applyFont="1" applyFill="1" applyAlignment="1">
      <alignment horizontal="right"/>
    </xf>
    <xf numFmtId="0" fontId="22" fillId="0" borderId="0" xfId="0" applyFont="1" applyFill="1" applyAlignment="1">
      <alignment horizontal="right"/>
    </xf>
    <xf numFmtId="169" fontId="21" fillId="0" borderId="0" xfId="0" applyNumberFormat="1" applyFont="1"/>
    <xf numFmtId="0" fontId="10" fillId="0" borderId="0" xfId="0" applyFont="1" applyAlignment="1">
      <alignment horizontal="centerContinuous"/>
    </xf>
    <xf numFmtId="0" fontId="23" fillId="0" borderId="0" xfId="0" applyFont="1" applyAlignment="1">
      <alignment horizontal="center"/>
    </xf>
    <xf numFmtId="40" fontId="24" fillId="0" borderId="0" xfId="1" applyFont="1" applyAlignment="1">
      <alignment horizontal="center"/>
    </xf>
    <xf numFmtId="0" fontId="10" fillId="0" borderId="0" xfId="0" quotePrefix="1" applyFont="1" applyAlignment="1">
      <alignment horizontal="left"/>
    </xf>
    <xf numFmtId="38" fontId="25" fillId="0" borderId="0" xfId="1" applyNumberFormat="1" applyFont="1" applyAlignment="1"/>
    <xf numFmtId="40" fontId="25" fillId="0" borderId="0" xfId="1" applyNumberFormat="1" applyFont="1" applyAlignment="1"/>
    <xf numFmtId="41" fontId="10" fillId="0" borderId="0" xfId="1" applyNumberFormat="1" applyFont="1" applyAlignment="1"/>
    <xf numFmtId="40" fontId="10" fillId="0" borderId="0" xfId="1" applyNumberFormat="1" applyFont="1" applyAlignment="1"/>
    <xf numFmtId="41" fontId="26" fillId="0" borderId="0" xfId="1" applyNumberFormat="1" applyFont="1" applyAlignment="1"/>
    <xf numFmtId="0" fontId="10" fillId="0" borderId="0" xfId="0" quotePrefix="1" applyFont="1" applyAlignment="1">
      <alignment horizontal="center"/>
    </xf>
    <xf numFmtId="10" fontId="25" fillId="0" borderId="0" xfId="1" applyNumberFormat="1" applyFont="1" applyAlignment="1"/>
    <xf numFmtId="10" fontId="25" fillId="0" borderId="0" xfId="0" applyNumberFormat="1" applyFont="1"/>
    <xf numFmtId="0" fontId="27" fillId="0" borderId="0" xfId="0" applyFont="1" applyProtection="1">
      <protection locked="0"/>
    </xf>
    <xf numFmtId="43" fontId="10" fillId="0" borderId="0" xfId="0" applyNumberFormat="1" applyFont="1" applyAlignment="1"/>
    <xf numFmtId="0" fontId="12" fillId="0" borderId="0" xfId="0" applyFont="1"/>
    <xf numFmtId="0" fontId="16" fillId="0" borderId="0" xfId="0" applyFont="1" applyAlignment="1">
      <alignment horizontal="centerContinuous"/>
    </xf>
    <xf numFmtId="0" fontId="10" fillId="0" borderId="0" xfId="0" applyFont="1" applyAlignment="1">
      <alignment horizontal="fill"/>
    </xf>
    <xf numFmtId="0" fontId="10" fillId="0" borderId="0" xfId="0" applyFont="1" applyAlignment="1">
      <alignment horizontal="center"/>
    </xf>
    <xf numFmtId="17" fontId="10" fillId="0" borderId="0" xfId="0" applyNumberFormat="1" applyFont="1"/>
    <xf numFmtId="3" fontId="10" fillId="0" borderId="0" xfId="0" applyNumberFormat="1" applyFont="1"/>
    <xf numFmtId="166" fontId="23" fillId="0" borderId="0" xfId="0" applyNumberFormat="1" applyFont="1"/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Continuous" wrapText="1"/>
    </xf>
    <xf numFmtId="14" fontId="23" fillId="0" borderId="0" xfId="0" applyNumberFormat="1" applyFont="1"/>
    <xf numFmtId="0" fontId="10" fillId="0" borderId="4" xfId="0" applyFont="1" applyBorder="1" applyAlignment="1">
      <alignment horizontal="center"/>
    </xf>
    <xf numFmtId="0" fontId="10" fillId="0" borderId="0" xfId="0" applyFont="1" applyFill="1" applyAlignment="1">
      <alignment horizontal="left"/>
    </xf>
    <xf numFmtId="0" fontId="10" fillId="0" borderId="0" xfId="0" applyFont="1" applyFill="1"/>
    <xf numFmtId="0" fontId="10" fillId="0" borderId="0" xfId="0" applyFont="1" applyFill="1" applyAlignment="1">
      <alignment horizontal="right"/>
    </xf>
    <xf numFmtId="0" fontId="10" fillId="0" borderId="0" xfId="0" quotePrefix="1" applyFont="1" applyFill="1" applyAlignment="1">
      <alignment horizontal="left"/>
    </xf>
    <xf numFmtId="0" fontId="23" fillId="0" borderId="0" xfId="0" applyFont="1" applyFill="1" applyAlignment="1">
      <alignment horizontal="left"/>
    </xf>
    <xf numFmtId="169" fontId="10" fillId="0" borderId="0" xfId="0" applyNumberFormat="1" applyFont="1" applyAlignment="1">
      <alignment horizontal="fill"/>
    </xf>
    <xf numFmtId="0" fontId="10" fillId="0" borderId="4" xfId="0" applyFont="1" applyBorder="1"/>
    <xf numFmtId="0" fontId="23" fillId="0" borderId="0" xfId="0" applyFont="1"/>
    <xf numFmtId="0" fontId="28" fillId="0" borderId="0" xfId="0" applyFont="1"/>
    <xf numFmtId="10" fontId="23" fillId="0" borderId="0" xfId="0" applyNumberFormat="1" applyFont="1"/>
    <xf numFmtId="164" fontId="23" fillId="0" borderId="0" xfId="0" applyNumberFormat="1" applyFont="1"/>
    <xf numFmtId="0" fontId="10" fillId="0" borderId="0" xfId="0" applyFont="1" applyBorder="1"/>
    <xf numFmtId="37" fontId="23" fillId="0" borderId="0" xfId="0" applyNumberFormat="1" applyFont="1" applyAlignment="1">
      <alignment horizontal="left"/>
    </xf>
    <xf numFmtId="41" fontId="32" fillId="0" borderId="0" xfId="0" applyNumberFormat="1" applyFont="1" applyAlignment="1">
      <alignment horizontal="left"/>
    </xf>
    <xf numFmtId="0" fontId="10" fillId="0" borderId="0" xfId="0" applyFont="1" applyAlignment="1">
      <alignment horizontal="center"/>
    </xf>
    <xf numFmtId="0" fontId="12" fillId="0" borderId="0" xfId="0" applyFont="1" applyFill="1" applyBorder="1"/>
    <xf numFmtId="0" fontId="34" fillId="0" borderId="0" xfId="0" applyFont="1"/>
    <xf numFmtId="0" fontId="12" fillId="0" borderId="1" xfId="0" applyFont="1" applyBorder="1"/>
    <xf numFmtId="0" fontId="16" fillId="0" borderId="6" xfId="0" applyFont="1" applyBorder="1"/>
    <xf numFmtId="10" fontId="0" fillId="0" borderId="0" xfId="0" applyNumberFormat="1"/>
    <xf numFmtId="0" fontId="42" fillId="0" borderId="0" xfId="0" applyFont="1"/>
    <xf numFmtId="0" fontId="8" fillId="0" borderId="0" xfId="0" applyFont="1"/>
    <xf numFmtId="0" fontId="14" fillId="0" borderId="0" xfId="0" applyFont="1"/>
    <xf numFmtId="1" fontId="14" fillId="0" borderId="0" xfId="0" applyNumberFormat="1" applyFont="1"/>
    <xf numFmtId="0" fontId="44" fillId="0" borderId="0" xfId="0" applyFont="1" applyAlignment="1">
      <alignment horizontal="left"/>
    </xf>
    <xf numFmtId="0" fontId="36" fillId="0" borderId="0" xfId="0" applyFont="1"/>
    <xf numFmtId="0" fontId="16" fillId="2" borderId="1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16" fillId="2" borderId="1" xfId="8" applyFont="1" applyFill="1" applyBorder="1" applyAlignment="1">
      <alignment horizontal="center"/>
    </xf>
    <xf numFmtId="171" fontId="16" fillId="3" borderId="1" xfId="0" applyNumberFormat="1" applyFont="1" applyFill="1" applyBorder="1" applyAlignment="1">
      <alignment horizontal="center"/>
    </xf>
    <xf numFmtId="171" fontId="12" fillId="2" borderId="1" xfId="0" applyNumberFormat="1" applyFont="1" applyFill="1" applyBorder="1" applyAlignment="1">
      <alignment horizontal="center"/>
    </xf>
    <xf numFmtId="171" fontId="12" fillId="3" borderId="1" xfId="0" applyNumberFormat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171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left"/>
    </xf>
    <xf numFmtId="171" fontId="45" fillId="0" borderId="1" xfId="0" applyNumberFormat="1" applyFont="1" applyBorder="1" applyAlignment="1">
      <alignment horizontal="center"/>
    </xf>
    <xf numFmtId="0" fontId="45" fillId="0" borderId="2" xfId="0" applyFont="1" applyBorder="1" applyAlignment="1">
      <alignment horizontal="left"/>
    </xf>
    <xf numFmtId="0" fontId="46" fillId="0" borderId="9" xfId="0" applyFont="1" applyBorder="1"/>
    <xf numFmtId="0" fontId="18" fillId="0" borderId="0" xfId="0" applyFont="1" applyAlignment="1">
      <alignment horizontal="left"/>
    </xf>
    <xf numFmtId="0" fontId="29" fillId="0" borderId="0" xfId="3" quotePrefix="1" applyAlignment="1" applyProtection="1"/>
    <xf numFmtId="0" fontId="29" fillId="0" borderId="0" xfId="3" applyAlignment="1" applyProtection="1"/>
    <xf numFmtId="0" fontId="44" fillId="3" borderId="1" xfId="0" applyFont="1" applyFill="1" applyBorder="1"/>
    <xf numFmtId="0" fontId="44" fillId="2" borderId="1" xfId="0" applyFont="1" applyFill="1" applyBorder="1" applyAlignment="1">
      <alignment horizontal="center"/>
    </xf>
    <xf numFmtId="171" fontId="12" fillId="0" borderId="1" xfId="0" applyNumberFormat="1" applyFont="1" applyBorder="1" applyAlignment="1">
      <alignment horizontal="center"/>
    </xf>
    <xf numFmtId="171" fontId="16" fillId="0" borderId="1" xfId="0" applyNumberFormat="1" applyFont="1" applyBorder="1" applyAlignment="1">
      <alignment horizontal="center"/>
    </xf>
    <xf numFmtId="171" fontId="12" fillId="0" borderId="1" xfId="0" applyNumberFormat="1" applyFont="1" applyBorder="1"/>
    <xf numFmtId="175" fontId="12" fillId="0" borderId="1" xfId="0" applyNumberFormat="1" applyFont="1" applyBorder="1" applyAlignment="1">
      <alignment horizontal="center"/>
    </xf>
    <xf numFmtId="175" fontId="12" fillId="3" borderId="1" xfId="0" applyNumberFormat="1" applyFont="1" applyFill="1" applyBorder="1" applyAlignment="1">
      <alignment horizontal="center"/>
    </xf>
    <xf numFmtId="175" fontId="16" fillId="0" borderId="1" xfId="0" applyNumberFormat="1" applyFont="1" applyBorder="1" applyAlignment="1">
      <alignment horizontal="center"/>
    </xf>
    <xf numFmtId="175" fontId="12" fillId="0" borderId="10" xfId="0" applyNumberFormat="1" applyFont="1" applyBorder="1" applyAlignment="1">
      <alignment horizontal="center"/>
    </xf>
    <xf numFmtId="17" fontId="23" fillId="0" borderId="0" xfId="0" applyNumberFormat="1" applyFont="1"/>
    <xf numFmtId="172" fontId="23" fillId="0" borderId="0" xfId="0" applyNumberFormat="1" applyFont="1"/>
    <xf numFmtId="3" fontId="23" fillId="0" borderId="0" xfId="0" applyNumberFormat="1" applyFont="1"/>
    <xf numFmtId="167" fontId="23" fillId="0" borderId="0" xfId="0" applyNumberFormat="1" applyFont="1"/>
    <xf numFmtId="2" fontId="23" fillId="0" borderId="0" xfId="0" applyNumberFormat="1" applyFont="1"/>
    <xf numFmtId="0" fontId="23" fillId="0" borderId="0" xfId="0" applyFont="1" applyAlignment="1">
      <alignment horizontal="fill"/>
    </xf>
    <xf numFmtId="3" fontId="23" fillId="0" borderId="0" xfId="0" applyNumberFormat="1" applyFont="1" applyAlignment="1">
      <alignment horizontal="fill"/>
    </xf>
    <xf numFmtId="0" fontId="23" fillId="0" borderId="0" xfId="0" quotePrefix="1" applyFont="1"/>
    <xf numFmtId="168" fontId="23" fillId="0" borderId="0" xfId="0" applyNumberFormat="1" applyFont="1" applyAlignment="1">
      <alignment horizontal="fill"/>
    </xf>
    <xf numFmtId="168" fontId="23" fillId="0" borderId="0" xfId="0" applyNumberFormat="1" applyFont="1"/>
    <xf numFmtId="0" fontId="10" fillId="0" borderId="0" xfId="0" applyFont="1" applyAlignment="1">
      <alignment horizontal="center"/>
    </xf>
    <xf numFmtId="0" fontId="33" fillId="0" borderId="0" xfId="0" applyFont="1"/>
    <xf numFmtId="37" fontId="23" fillId="0" borderId="0" xfId="0" applyNumberFormat="1" applyFont="1" applyAlignment="1">
      <alignment horizontal="center"/>
    </xf>
    <xf numFmtId="37" fontId="23" fillId="0" borderId="0" xfId="0" applyNumberFormat="1" applyFont="1"/>
    <xf numFmtId="10" fontId="23" fillId="0" borderId="0" xfId="0" applyNumberFormat="1" applyFont="1" applyAlignment="1">
      <alignment horizontal="center"/>
    </xf>
    <xf numFmtId="0" fontId="4" fillId="0" borderId="0" xfId="0" applyFont="1"/>
    <xf numFmtId="0" fontId="23" fillId="0" borderId="0" xfId="0" applyFont="1" applyAlignment="1">
      <alignment horizontal="right"/>
    </xf>
    <xf numFmtId="10" fontId="23" fillId="0" borderId="7" xfId="0" applyNumberFormat="1" applyFont="1" applyBorder="1" applyAlignment="1">
      <alignment horizontal="center"/>
    </xf>
    <xf numFmtId="1" fontId="23" fillId="0" borderId="0" xfId="0" applyNumberFormat="1" applyFont="1"/>
    <xf numFmtId="1" fontId="23" fillId="0" borderId="0" xfId="0" applyNumberFormat="1" applyFont="1" applyAlignment="1">
      <alignment horizontal="fill"/>
    </xf>
    <xf numFmtId="0" fontId="47" fillId="0" borderId="0" xfId="0" applyFont="1"/>
    <xf numFmtId="0" fontId="23" fillId="0" borderId="0" xfId="0" quotePrefix="1" applyFont="1" applyAlignment="1">
      <alignment horizontal="left"/>
    </xf>
    <xf numFmtId="40" fontId="24" fillId="0" borderId="0" xfId="1" applyFont="1" applyAlignment="1">
      <alignment horizontal="left"/>
    </xf>
    <xf numFmtId="0" fontId="23" fillId="0" borderId="0" xfId="0" applyFont="1" applyFill="1"/>
    <xf numFmtId="0" fontId="23" fillId="0" borderId="0" xfId="0" applyFont="1" applyAlignment="1">
      <alignment horizontal="left"/>
    </xf>
    <xf numFmtId="170" fontId="23" fillId="0" borderId="0" xfId="0" applyNumberFormat="1" applyFont="1"/>
    <xf numFmtId="176" fontId="23" fillId="0" borderId="0" xfId="0" applyNumberFormat="1" applyFont="1"/>
    <xf numFmtId="0" fontId="47" fillId="0" borderId="0" xfId="0" applyFont="1" applyAlignment="1">
      <alignment horizontal="center"/>
    </xf>
    <xf numFmtId="170" fontId="23" fillId="0" borderId="0" xfId="0" applyNumberFormat="1" applyFont="1" applyAlignment="1">
      <alignment horizontal="center"/>
    </xf>
    <xf numFmtId="0" fontId="48" fillId="0" borderId="0" xfId="0" applyFont="1"/>
    <xf numFmtId="41" fontId="0" fillId="0" borderId="0" xfId="0" applyNumberFormat="1"/>
    <xf numFmtId="41" fontId="49" fillId="0" borderId="0" xfId="0" applyNumberFormat="1" applyFont="1"/>
    <xf numFmtId="40" fontId="0" fillId="0" borderId="0" xfId="1" applyFont="1" applyAlignment="1"/>
    <xf numFmtId="38" fontId="0" fillId="0" borderId="0" xfId="1" applyNumberFormat="1" applyFont="1" applyAlignment="1"/>
    <xf numFmtId="171" fontId="0" fillId="0" borderId="0" xfId="0" applyNumberFormat="1"/>
    <xf numFmtId="171" fontId="12" fillId="6" borderId="1" xfId="0" applyNumberFormat="1" applyFont="1" applyFill="1" applyBorder="1" applyAlignment="1">
      <alignment horizontal="center"/>
    </xf>
    <xf numFmtId="171" fontId="16" fillId="6" borderId="1" xfId="0" applyNumberFormat="1" applyFont="1" applyFill="1" applyBorder="1" applyAlignment="1">
      <alignment horizontal="center"/>
    </xf>
    <xf numFmtId="0" fontId="23" fillId="0" borderId="0" xfId="0" applyFont="1" applyFill="1" applyAlignment="1">
      <alignment horizontal="right"/>
    </xf>
    <xf numFmtId="0" fontId="23" fillId="0" borderId="0" xfId="0" applyFont="1" applyFill="1" applyAlignment="1">
      <alignment horizontal="centerContinuous"/>
    </xf>
    <xf numFmtId="0" fontId="23" fillId="0" borderId="0" xfId="0" applyFont="1" applyFill="1" applyAlignment="1">
      <alignment horizontal="centerContinuous" wrapText="1"/>
    </xf>
    <xf numFmtId="0" fontId="23" fillId="0" borderId="0" xfId="0" applyFont="1" applyFill="1" applyAlignment="1">
      <alignment horizontal="fill"/>
    </xf>
    <xf numFmtId="14" fontId="23" fillId="0" borderId="4" xfId="0" applyNumberFormat="1" applyFont="1" applyFill="1" applyBorder="1" applyAlignment="1">
      <alignment horizontal="center"/>
    </xf>
    <xf numFmtId="0" fontId="23" fillId="0" borderId="0" xfId="0" quotePrefix="1" applyFont="1" applyFill="1" applyAlignment="1">
      <alignment horizontal="right"/>
    </xf>
    <xf numFmtId="0" fontId="23" fillId="0" borderId="0" xfId="0" quotePrefix="1" applyFont="1" applyFill="1" applyAlignment="1">
      <alignment horizontal="left"/>
    </xf>
    <xf numFmtId="14" fontId="23" fillId="0" borderId="0" xfId="0" applyNumberFormat="1" applyFont="1" applyFill="1" applyBorder="1" applyAlignment="1">
      <alignment horizontal="right"/>
    </xf>
    <xf numFmtId="3" fontId="23" fillId="0" borderId="0" xfId="0" applyNumberFormat="1" applyFont="1" applyFill="1" applyBorder="1" applyAlignment="1">
      <alignment horizontal="right"/>
    </xf>
    <xf numFmtId="0" fontId="23" fillId="0" borderId="0" xfId="0" applyFont="1" applyFill="1" applyAlignment="1"/>
    <xf numFmtId="0" fontId="2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 vertical="top"/>
    </xf>
    <xf numFmtId="0" fontId="23" fillId="0" borderId="4" xfId="0" applyFont="1" applyBorder="1"/>
    <xf numFmtId="0" fontId="1" fillId="0" borderId="4" xfId="0" applyFont="1" applyBorder="1"/>
    <xf numFmtId="0" fontId="23" fillId="0" borderId="0" xfId="0" quotePrefix="1" applyFont="1" applyAlignment="1">
      <alignment horizontal="left" indent="2"/>
    </xf>
    <xf numFmtId="40" fontId="23" fillId="0" borderId="0" xfId="1" applyFont="1" applyAlignment="1"/>
    <xf numFmtId="40" fontId="24" fillId="0" borderId="0" xfId="1" applyFont="1" applyAlignment="1"/>
    <xf numFmtId="10" fontId="50" fillId="0" borderId="0" xfId="1" applyNumberFormat="1" applyFont="1" applyAlignment="1"/>
    <xf numFmtId="0" fontId="23" fillId="0" borderId="11" xfId="0" applyFont="1" applyBorder="1" applyAlignment="1">
      <alignment horizontal="center"/>
    </xf>
    <xf numFmtId="0" fontId="23" fillId="0" borderId="0" xfId="0" applyFont="1" applyAlignment="1">
      <alignment horizontal="centerContinuous"/>
    </xf>
    <xf numFmtId="40" fontId="50" fillId="0" borderId="0" xfId="1" quotePrefix="1" applyFont="1" applyAlignment="1">
      <alignment horizontal="center"/>
    </xf>
    <xf numFmtId="40" fontId="25" fillId="0" borderId="0" xfId="1" quotePrefix="1" applyFont="1" applyAlignment="1">
      <alignment horizontal="center"/>
    </xf>
    <xf numFmtId="0" fontId="14" fillId="0" borderId="0" xfId="0" applyFont="1" applyAlignment="1">
      <alignment horizontal="center"/>
    </xf>
    <xf numFmtId="10" fontId="12" fillId="0" borderId="0" xfId="10" applyNumberFormat="1" applyFont="1"/>
    <xf numFmtId="173" fontId="23" fillId="0" borderId="0" xfId="0" applyNumberFormat="1" applyFont="1"/>
    <xf numFmtId="9" fontId="23" fillId="0" borderId="0" xfId="0" applyNumberFormat="1" applyFont="1"/>
    <xf numFmtId="40" fontId="3" fillId="0" borderId="0" xfId="1" applyFont="1"/>
    <xf numFmtId="177" fontId="3" fillId="0" borderId="0" xfId="10" applyNumberFormat="1" applyFont="1"/>
    <xf numFmtId="0" fontId="8" fillId="2" borderId="0" xfId="0" applyFont="1" applyFill="1"/>
    <xf numFmtId="0" fontId="51" fillId="0" borderId="0" xfId="3" quotePrefix="1" applyFont="1" applyAlignment="1" applyProtection="1"/>
    <xf numFmtId="0" fontId="52" fillId="0" borderId="0" xfId="3" quotePrefix="1" applyFont="1" applyAlignment="1" applyProtection="1"/>
    <xf numFmtId="0" fontId="44" fillId="0" borderId="0" xfId="0" applyFont="1"/>
    <xf numFmtId="0" fontId="53" fillId="0" borderId="0" xfId="0" applyFont="1"/>
    <xf numFmtId="0" fontId="40" fillId="0" borderId="0" xfId="0" applyFont="1" applyAlignment="1">
      <alignment wrapText="1"/>
    </xf>
    <xf numFmtId="0" fontId="14" fillId="0" borderId="15" xfId="0" applyFont="1" applyBorder="1" applyAlignment="1">
      <alignment horizontal="center" wrapText="1"/>
    </xf>
    <xf numFmtId="0" fontId="14" fillId="0" borderId="16" xfId="0" applyFont="1" applyBorder="1" applyAlignment="1">
      <alignment horizontal="center" wrapText="1"/>
    </xf>
    <xf numFmtId="0" fontId="14" fillId="7" borderId="16" xfId="0" applyFont="1" applyFill="1" applyBorder="1" applyAlignment="1">
      <alignment horizontal="center" wrapText="1"/>
    </xf>
    <xf numFmtId="0" fontId="14" fillId="8" borderId="16" xfId="0" applyFont="1" applyFill="1" applyBorder="1" applyAlignment="1">
      <alignment horizontal="center" wrapText="1"/>
    </xf>
    <xf numFmtId="0" fontId="40" fillId="0" borderId="16" xfId="0" applyFont="1" applyBorder="1" applyAlignment="1">
      <alignment horizontal="center" wrapText="1"/>
    </xf>
    <xf numFmtId="0" fontId="37" fillId="5" borderId="16" xfId="0" applyFont="1" applyFill="1" applyBorder="1" applyAlignment="1">
      <alignment horizontal="center" wrapText="1"/>
    </xf>
    <xf numFmtId="0" fontId="11" fillId="9" borderId="16" xfId="0" applyFont="1" applyFill="1" applyBorder="1" applyAlignment="1">
      <alignment wrapText="1"/>
    </xf>
    <xf numFmtId="9" fontId="54" fillId="10" borderId="17" xfId="10" applyFont="1" applyFill="1" applyBorder="1" applyAlignment="1">
      <alignment horizontal="center" vertical="center" wrapText="1"/>
    </xf>
    <xf numFmtId="17" fontId="44" fillId="0" borderId="1" xfId="0" applyNumberFormat="1" applyFont="1" applyBorder="1"/>
    <xf numFmtId="171" fontId="37" fillId="0" borderId="3" xfId="0" applyNumberFormat="1" applyFont="1" applyBorder="1" applyAlignment="1">
      <alignment horizontal="center"/>
    </xf>
    <xf numFmtId="174" fontId="37" fillId="0" borderId="5" xfId="0" applyNumberFormat="1" applyFont="1" applyBorder="1" applyAlignment="1">
      <alignment horizontal="center"/>
    </xf>
    <xf numFmtId="174" fontId="37" fillId="11" borderId="3" xfId="0" applyNumberFormat="1" applyFont="1" applyFill="1" applyBorder="1" applyAlignment="1">
      <alignment horizontal="center"/>
    </xf>
    <xf numFmtId="174" fontId="37" fillId="8" borderId="3" xfId="0" applyNumberFormat="1" applyFont="1" applyFill="1" applyBorder="1" applyAlignment="1">
      <alignment horizontal="center"/>
    </xf>
    <xf numFmtId="10" fontId="40" fillId="0" borderId="3" xfId="0" applyNumberFormat="1" applyFont="1" applyBorder="1" applyAlignment="1">
      <alignment horizontal="center"/>
    </xf>
    <xf numFmtId="174" fontId="40" fillId="0" borderId="3" xfId="0" applyNumberFormat="1" applyFont="1" applyBorder="1" applyAlignment="1">
      <alignment horizontal="center"/>
    </xf>
    <xf numFmtId="174" fontId="53" fillId="0" borderId="3" xfId="0" applyNumberFormat="1" applyFont="1" applyBorder="1" applyAlignment="1">
      <alignment horizontal="center"/>
    </xf>
    <xf numFmtId="174" fontId="55" fillId="0" borderId="3" xfId="0" applyNumberFormat="1" applyFont="1" applyBorder="1" applyAlignment="1">
      <alignment horizontal="center"/>
    </xf>
    <xf numFmtId="174" fontId="42" fillId="0" borderId="3" xfId="0" applyNumberFormat="1" applyFont="1" applyBorder="1"/>
    <xf numFmtId="167" fontId="14" fillId="0" borderId="18" xfId="0" applyNumberFormat="1" applyFont="1" applyBorder="1" applyAlignment="1">
      <alignment horizontal="center"/>
    </xf>
    <xf numFmtId="9" fontId="54" fillId="10" borderId="3" xfId="10" applyFont="1" applyFill="1" applyBorder="1" applyAlignment="1">
      <alignment horizontal="center" vertical="center"/>
    </xf>
    <xf numFmtId="0" fontId="14" fillId="0" borderId="1" xfId="0" applyFont="1" applyBorder="1"/>
    <xf numFmtId="174" fontId="37" fillId="8" borderId="1" xfId="0" applyNumberFormat="1" applyFont="1" applyFill="1" applyBorder="1" applyAlignment="1">
      <alignment horizontal="center"/>
    </xf>
    <xf numFmtId="10" fontId="40" fillId="0" borderId="1" xfId="0" applyNumberFormat="1" applyFont="1" applyBorder="1" applyAlignment="1">
      <alignment horizontal="center"/>
    </xf>
    <xf numFmtId="174" fontId="40" fillId="0" borderId="1" xfId="0" applyNumberFormat="1" applyFont="1" applyBorder="1" applyAlignment="1">
      <alignment horizontal="center"/>
    </xf>
    <xf numFmtId="174" fontId="53" fillId="0" borderId="1" xfId="0" applyNumberFormat="1" applyFont="1" applyBorder="1" applyAlignment="1">
      <alignment horizontal="center"/>
    </xf>
    <xf numFmtId="174" fontId="55" fillId="0" borderId="1" xfId="0" applyNumberFormat="1" applyFont="1" applyBorder="1" applyAlignment="1">
      <alignment horizontal="center"/>
    </xf>
    <xf numFmtId="174" fontId="42" fillId="0" borderId="1" xfId="0" applyNumberFormat="1" applyFont="1" applyBorder="1"/>
    <xf numFmtId="9" fontId="54" fillId="10" borderId="1" xfId="10" applyFont="1" applyFill="1" applyBorder="1" applyAlignment="1">
      <alignment horizontal="center" vertical="center"/>
    </xf>
    <xf numFmtId="10" fontId="40" fillId="0" borderId="1" xfId="0" applyNumberFormat="1" applyFont="1" applyBorder="1" applyAlignment="1">
      <alignment horizontal="center" wrapText="1"/>
    </xf>
    <xf numFmtId="49" fontId="40" fillId="0" borderId="1" xfId="0" applyNumberFormat="1" applyFont="1" applyBorder="1" applyAlignment="1">
      <alignment horizontal="center"/>
    </xf>
    <xf numFmtId="0" fontId="14" fillId="0" borderId="10" xfId="0" applyFont="1" applyBorder="1"/>
    <xf numFmtId="174" fontId="37" fillId="0" borderId="10" xfId="0" applyNumberFormat="1" applyFont="1" applyBorder="1" applyAlignment="1">
      <alignment horizontal="center"/>
    </xf>
    <xf numFmtId="0" fontId="44" fillId="0" borderId="1" xfId="0" applyFont="1" applyBorder="1" applyAlignment="1">
      <alignment horizontal="left"/>
    </xf>
    <xf numFmtId="171" fontId="55" fillId="0" borderId="1" xfId="0" applyNumberFormat="1" applyFont="1" applyBorder="1" applyAlignment="1">
      <alignment horizontal="center"/>
    </xf>
    <xf numFmtId="174" fontId="55" fillId="7" borderId="1" xfId="0" applyNumberFormat="1" applyFont="1" applyFill="1" applyBorder="1" applyAlignment="1">
      <alignment horizontal="center"/>
    </xf>
    <xf numFmtId="174" fontId="55" fillId="8" borderId="1" xfId="0" applyNumberFormat="1" applyFont="1" applyFill="1" applyBorder="1" applyAlignment="1">
      <alignment horizontal="center"/>
    </xf>
    <xf numFmtId="174" fontId="53" fillId="4" borderId="1" xfId="0" applyNumberFormat="1" applyFont="1" applyFill="1" applyBorder="1" applyAlignment="1">
      <alignment horizontal="center"/>
    </xf>
    <xf numFmtId="174" fontId="55" fillId="5" borderId="1" xfId="0" applyNumberFormat="1" applyFont="1" applyFill="1" applyBorder="1" applyAlignment="1">
      <alignment horizontal="center"/>
    </xf>
    <xf numFmtId="174" fontId="42" fillId="9" borderId="1" xfId="0" applyNumberFormat="1" applyFont="1" applyFill="1" applyBorder="1"/>
    <xf numFmtId="167" fontId="44" fillId="4" borderId="9" xfId="0" applyNumberFormat="1" applyFont="1" applyFill="1" applyBorder="1" applyAlignment="1">
      <alignment horizontal="center"/>
    </xf>
    <xf numFmtId="174" fontId="55" fillId="0" borderId="18" xfId="0" applyNumberFormat="1" applyFont="1" applyBorder="1" applyAlignment="1">
      <alignment horizontal="center"/>
    </xf>
    <xf numFmtId="171" fontId="56" fillId="0" borderId="1" xfId="0" applyNumberFormat="1" applyFont="1" applyBorder="1" applyAlignment="1">
      <alignment horizontal="center"/>
    </xf>
    <xf numFmtId="171" fontId="56" fillId="0" borderId="1" xfId="0" applyNumberFormat="1" applyFont="1" applyBorder="1" applyAlignment="1">
      <alignment horizontal="left"/>
    </xf>
    <xf numFmtId="171" fontId="57" fillId="0" borderId="1" xfId="0" applyNumberFormat="1" applyFont="1" applyBorder="1" applyAlignment="1">
      <alignment horizontal="center"/>
    </xf>
    <xf numFmtId="166" fontId="12" fillId="0" borderId="0" xfId="0" applyNumberFormat="1" applyFont="1"/>
    <xf numFmtId="166" fontId="15" fillId="0" borderId="1" xfId="0" applyNumberFormat="1" applyFont="1" applyBorder="1"/>
    <xf numFmtId="171" fontId="56" fillId="0" borderId="1" xfId="0" applyNumberFormat="1" applyFont="1" applyBorder="1" applyAlignment="1">
      <alignment horizontal="right"/>
    </xf>
    <xf numFmtId="174" fontId="56" fillId="0" borderId="1" xfId="0" applyNumberFormat="1" applyFont="1" applyBorder="1" applyAlignment="1">
      <alignment horizontal="center"/>
    </xf>
    <xf numFmtId="0" fontId="13" fillId="0" borderId="1" xfId="0" applyFont="1" applyBorder="1"/>
    <xf numFmtId="171" fontId="31" fillId="0" borderId="1" xfId="0" applyNumberFormat="1" applyFont="1" applyBorder="1" applyAlignment="1">
      <alignment horizontal="right"/>
    </xf>
    <xf numFmtId="10" fontId="31" fillId="0" borderId="1" xfId="0" applyNumberFormat="1" applyFont="1" applyBorder="1" applyAlignment="1">
      <alignment horizontal="center"/>
    </xf>
    <xf numFmtId="3" fontId="12" fillId="0" borderId="0" xfId="0" applyNumberFormat="1" applyFont="1"/>
    <xf numFmtId="174" fontId="35" fillId="0" borderId="0" xfId="0" applyNumberFormat="1" applyFont="1"/>
    <xf numFmtId="0" fontId="14" fillId="12" borderId="2" xfId="0" applyFont="1" applyFill="1" applyBorder="1" applyAlignment="1">
      <alignment horizontal="left"/>
    </xf>
    <xf numFmtId="0" fontId="14" fillId="12" borderId="8" xfId="0" applyFont="1" applyFill="1" applyBorder="1" applyAlignment="1">
      <alignment horizontal="center" wrapText="1"/>
    </xf>
    <xf numFmtId="0" fontId="14" fillId="12" borderId="9" xfId="0" applyFont="1" applyFill="1" applyBorder="1" applyAlignment="1">
      <alignment horizontal="center" wrapText="1"/>
    </xf>
    <xf numFmtId="0" fontId="17" fillId="0" borderId="0" xfId="0" applyFont="1"/>
    <xf numFmtId="0" fontId="58" fillId="0" borderId="1" xfId="0" applyFont="1" applyBorder="1"/>
    <xf numFmtId="0" fontId="59" fillId="0" borderId="9" xfId="0" applyFont="1" applyBorder="1" applyAlignment="1">
      <alignment horizontal="right"/>
    </xf>
    <xf numFmtId="174" fontId="56" fillId="0" borderId="9" xfId="0" applyNumberFormat="1" applyFont="1" applyBorder="1" applyAlignment="1">
      <alignment horizontal="center"/>
    </xf>
    <xf numFmtId="174" fontId="37" fillId="0" borderId="0" xfId="0" applyNumberFormat="1" applyFont="1" applyAlignment="1">
      <alignment horizontal="center"/>
    </xf>
    <xf numFmtId="174" fontId="30" fillId="0" borderId="0" xfId="0" applyNumberFormat="1" applyFont="1" applyAlignment="1">
      <alignment horizontal="center"/>
    </xf>
    <xf numFmtId="0" fontId="39" fillId="0" borderId="0" xfId="0" applyFont="1"/>
    <xf numFmtId="0" fontId="39" fillId="0" borderId="0" xfId="7" applyFont="1" applyAlignment="1">
      <alignment horizontal="center" wrapText="1"/>
    </xf>
    <xf numFmtId="49" fontId="39" fillId="0" borderId="0" xfId="0" applyNumberFormat="1" applyFont="1"/>
    <xf numFmtId="49" fontId="39" fillId="0" borderId="0" xfId="0" applyNumberFormat="1" applyFont="1" applyAlignment="1">
      <alignment horizontal="right"/>
    </xf>
    <xf numFmtId="0" fontId="39" fillId="0" borderId="19" xfId="0" applyFont="1" applyBorder="1"/>
    <xf numFmtId="0" fontId="39" fillId="0" borderId="20" xfId="0" applyFont="1" applyBorder="1"/>
    <xf numFmtId="0" fontId="39" fillId="0" borderId="21" xfId="0" applyFont="1" applyBorder="1"/>
    <xf numFmtId="0" fontId="39" fillId="0" borderId="0" xfId="0" applyFont="1" applyAlignment="1">
      <alignment horizontal="right"/>
    </xf>
    <xf numFmtId="0" fontId="39" fillId="0" borderId="22" xfId="0" applyFont="1" applyBorder="1"/>
    <xf numFmtId="10" fontId="39" fillId="0" borderId="0" xfId="10" applyNumberFormat="1" applyFont="1"/>
    <xf numFmtId="0" fontId="39" fillId="0" borderId="23" xfId="0" applyFont="1" applyBorder="1"/>
    <xf numFmtId="0" fontId="39" fillId="0" borderId="0" xfId="7" applyFont="1" applyAlignment="1">
      <alignment horizontal="right"/>
    </xf>
    <xf numFmtId="0" fontId="60" fillId="0" borderId="24" xfId="0" applyFont="1" applyBorder="1"/>
    <xf numFmtId="0" fontId="60" fillId="0" borderId="25" xfId="0" applyFont="1" applyBorder="1"/>
    <xf numFmtId="0" fontId="39" fillId="0" borderId="26" xfId="0" applyFont="1" applyBorder="1"/>
    <xf numFmtId="174" fontId="41" fillId="0" borderId="0" xfId="0" applyNumberFormat="1" applyFont="1" applyAlignment="1">
      <alignment horizontal="center"/>
    </xf>
    <xf numFmtId="0" fontId="0" fillId="0" borderId="1" xfId="0" applyBorder="1" applyAlignment="1">
      <alignment horizontal="right"/>
    </xf>
    <xf numFmtId="10" fontId="0" fillId="0" borderId="1" xfId="10" applyNumberFormat="1" applyFont="1" applyBorder="1"/>
    <xf numFmtId="0" fontId="0" fillId="0" borderId="0" xfId="0" applyAlignment="1">
      <alignment horizontal="right"/>
    </xf>
    <xf numFmtId="3" fontId="0" fillId="0" borderId="0" xfId="0" applyNumberFormat="1"/>
    <xf numFmtId="0" fontId="58" fillId="0" borderId="0" xfId="0" applyFont="1"/>
    <xf numFmtId="0" fontId="16" fillId="2" borderId="2" xfId="8" applyFont="1" applyFill="1" applyBorder="1" applyAlignment="1">
      <alignment horizontal="center"/>
    </xf>
    <xf numFmtId="49" fontId="56" fillId="0" borderId="1" xfId="0" applyNumberFormat="1" applyFont="1" applyBorder="1" applyAlignment="1">
      <alignment horizontal="center"/>
    </xf>
    <xf numFmtId="17" fontId="16" fillId="0" borderId="2" xfId="0" applyNumberFormat="1" applyFont="1" applyBorder="1"/>
    <xf numFmtId="171" fontId="13" fillId="0" borderId="1" xfId="9" applyNumberFormat="1" applyFont="1" applyBorder="1" applyAlignment="1">
      <alignment horizontal="center"/>
    </xf>
    <xf numFmtId="171" fontId="12" fillId="0" borderId="2" xfId="0" applyNumberFormat="1" applyFont="1" applyBorder="1" applyAlignment="1">
      <alignment horizontal="center"/>
    </xf>
    <xf numFmtId="0" fontId="61" fillId="0" borderId="0" xfId="0" applyFont="1" applyAlignment="1">
      <alignment horizontal="left"/>
    </xf>
    <xf numFmtId="17" fontId="16" fillId="0" borderId="1" xfId="0" applyNumberFormat="1" applyFont="1" applyBorder="1" applyAlignment="1">
      <alignment horizontal="left" wrapText="1"/>
    </xf>
    <xf numFmtId="175" fontId="13" fillId="0" borderId="1" xfId="9" applyNumberFormat="1" applyFont="1" applyBorder="1" applyAlignment="1">
      <alignment horizontal="center"/>
    </xf>
    <xf numFmtId="175" fontId="12" fillId="2" borderId="1" xfId="0" applyNumberFormat="1" applyFont="1" applyFill="1" applyBorder="1" applyAlignment="1">
      <alignment horizontal="center"/>
    </xf>
    <xf numFmtId="175" fontId="12" fillId="2" borderId="0" xfId="0" applyNumberFormat="1" applyFont="1" applyFill="1" applyAlignment="1">
      <alignment horizontal="center"/>
    </xf>
    <xf numFmtId="175" fontId="0" fillId="0" borderId="0" xfId="0" applyNumberFormat="1"/>
    <xf numFmtId="166" fontId="10" fillId="0" borderId="0" xfId="0" applyNumberFormat="1" applyFont="1"/>
    <xf numFmtId="174" fontId="0" fillId="0" borderId="0" xfId="0" applyNumberFormat="1"/>
    <xf numFmtId="171" fontId="16" fillId="0" borderId="0" xfId="0" applyNumberFormat="1" applyFont="1" applyFill="1" applyBorder="1" applyAlignment="1">
      <alignment horizontal="center"/>
    </xf>
    <xf numFmtId="171" fontId="12" fillId="6" borderId="2" xfId="0" applyNumberFormat="1" applyFont="1" applyFill="1" applyBorder="1" applyAlignment="1">
      <alignment horizontal="center"/>
    </xf>
    <xf numFmtId="171" fontId="45" fillId="0" borderId="0" xfId="0" applyNumberFormat="1" applyFont="1" applyBorder="1" applyAlignment="1">
      <alignment horizontal="center"/>
    </xf>
    <xf numFmtId="0" fontId="45" fillId="0" borderId="0" xfId="0" applyFont="1" applyBorder="1" applyAlignment="1">
      <alignment horizontal="left"/>
    </xf>
    <xf numFmtId="0" fontId="46" fillId="0" borderId="0" xfId="0" applyFont="1" applyBorder="1"/>
    <xf numFmtId="0" fontId="1" fillId="0" borderId="0" xfId="0" applyFont="1"/>
    <xf numFmtId="0" fontId="0" fillId="0" borderId="0" xfId="0" applyAlignment="1">
      <alignment horizontal="center"/>
    </xf>
    <xf numFmtId="171" fontId="0" fillId="6" borderId="0" xfId="0" applyNumberFormat="1" applyFill="1"/>
    <xf numFmtId="171" fontId="0" fillId="0" borderId="0" xfId="0" applyNumberFormat="1" applyFill="1"/>
    <xf numFmtId="0" fontId="62" fillId="0" borderId="0" xfId="0" applyFont="1" applyAlignment="1">
      <alignment horizontal="center" vertical="top" wrapText="1"/>
    </xf>
    <xf numFmtId="0" fontId="62" fillId="0" borderId="0" xfId="0" applyFont="1" applyAlignment="1">
      <alignment horizontal="left" vertical="top" wrapText="1"/>
    </xf>
    <xf numFmtId="0" fontId="62" fillId="0" borderId="27" xfId="0" applyFont="1" applyBorder="1" applyAlignment="1">
      <alignment horizontal="center" wrapText="1"/>
    </xf>
    <xf numFmtId="0" fontId="62" fillId="0" borderId="27" xfId="0" applyFont="1" applyBorder="1" applyAlignment="1">
      <alignment horizontal="left" wrapText="1"/>
    </xf>
    <xf numFmtId="1" fontId="62" fillId="0" borderId="0" xfId="0" applyNumberFormat="1" applyFont="1" applyAlignment="1">
      <alignment horizontal="right" vertical="top" wrapText="1"/>
    </xf>
    <xf numFmtId="1" fontId="0" fillId="0" borderId="0" xfId="0" applyNumberFormat="1"/>
    <xf numFmtId="0" fontId="33" fillId="0" borderId="0" xfId="0" applyFont="1" applyAlignment="1">
      <alignment wrapText="1"/>
    </xf>
    <xf numFmtId="0" fontId="62" fillId="0" borderId="27" xfId="0" applyFont="1" applyBorder="1" applyAlignment="1">
      <alignment horizontal="right" wrapText="1"/>
    </xf>
    <xf numFmtId="0" fontId="0" fillId="0" borderId="0" xfId="0" applyAlignment="1">
      <alignment vertical="top" wrapText="1"/>
    </xf>
    <xf numFmtId="37" fontId="23" fillId="0" borderId="0" xfId="0" applyNumberFormat="1" applyFont="1" applyFill="1" applyAlignment="1">
      <alignment horizontal="center" vertical="top"/>
    </xf>
    <xf numFmtId="38" fontId="23" fillId="0" borderId="0" xfId="1" applyNumberFormat="1" applyFont="1" applyFill="1" applyAlignment="1">
      <alignment horizontal="center"/>
    </xf>
    <xf numFmtId="3" fontId="23" fillId="0" borderId="4" xfId="0" applyNumberFormat="1" applyFont="1" applyFill="1" applyBorder="1" applyAlignment="1">
      <alignment horizontal="center"/>
    </xf>
    <xf numFmtId="38" fontId="50" fillId="0" borderId="0" xfId="1" quotePrefix="1" applyNumberFormat="1" applyFont="1" applyAlignment="1"/>
    <xf numFmtId="37" fontId="50" fillId="0" borderId="0" xfId="1" applyNumberFormat="1" applyFont="1" applyAlignment="1"/>
    <xf numFmtId="41" fontId="50" fillId="0" borderId="0" xfId="1" applyNumberFormat="1" applyFont="1" applyAlignment="1"/>
    <xf numFmtId="38" fontId="50" fillId="0" borderId="0" xfId="1" applyNumberFormat="1" applyFont="1" applyAlignment="1"/>
    <xf numFmtId="0" fontId="23" fillId="0" borderId="2" xfId="0" applyFont="1" applyBorder="1"/>
    <xf numFmtId="0" fontId="23" fillId="0" borderId="0" xfId="0" applyFont="1" applyBorder="1"/>
    <xf numFmtId="10" fontId="23" fillId="0" borderId="0" xfId="10" applyNumberFormat="1" applyFont="1" applyBorder="1" applyAlignment="1"/>
    <xf numFmtId="10" fontId="50" fillId="0" borderId="9" xfId="1" applyNumberFormat="1" applyFont="1" applyBorder="1" applyAlignment="1"/>
    <xf numFmtId="0" fontId="23" fillId="0" borderId="0" xfId="0" applyFont="1" applyAlignment="1">
      <alignment horizontal="centerContinuous" wrapText="1"/>
    </xf>
    <xf numFmtId="0" fontId="64" fillId="0" borderId="0" xfId="0" applyFont="1"/>
    <xf numFmtId="39" fontId="23" fillId="0" borderId="0" xfId="0" quotePrefix="1" applyNumberFormat="1" applyFont="1"/>
    <xf numFmtId="0" fontId="62" fillId="0" borderId="0" xfId="0" applyFont="1" applyAlignment="1">
      <alignment horizontal="right" vertical="top" wrapText="1"/>
    </xf>
    <xf numFmtId="165" fontId="23" fillId="0" borderId="0" xfId="0" applyNumberFormat="1" applyFont="1"/>
    <xf numFmtId="0" fontId="23" fillId="0" borderId="4" xfId="0" applyFont="1" applyBorder="1" applyAlignment="1">
      <alignment horizontal="fill"/>
    </xf>
    <xf numFmtId="0" fontId="23" fillId="0" borderId="0" xfId="0" quotePrefix="1" applyFont="1" applyAlignment="1">
      <alignment horizontal="center"/>
    </xf>
    <xf numFmtId="0" fontId="23" fillId="0" borderId="4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168" fontId="23" fillId="0" borderId="0" xfId="0" applyNumberFormat="1" applyFont="1" applyAlignment="1">
      <alignment horizontal="center"/>
    </xf>
    <xf numFmtId="169" fontId="23" fillId="0" borderId="0" xfId="0" applyNumberFormat="1" applyFont="1"/>
    <xf numFmtId="0" fontId="6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3" fillId="0" borderId="0" xfId="0" quotePrefix="1" applyFont="1" applyAlignment="1">
      <alignment horizontal="left" wrapText="1"/>
    </xf>
    <xf numFmtId="0" fontId="23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23" fillId="0" borderId="0" xfId="0" applyFont="1" applyAlignment="1">
      <alignment horizontal="center"/>
    </xf>
    <xf numFmtId="0" fontId="39" fillId="0" borderId="0" xfId="7" applyFont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41" fillId="0" borderId="12" xfId="0" applyFont="1" applyBorder="1" applyAlignment="1">
      <alignment horizontal="center" wrapText="1"/>
    </xf>
    <xf numFmtId="0" fontId="42" fillId="0" borderId="14" xfId="0" applyFont="1" applyBorder="1" applyAlignment="1">
      <alignment horizontal="center"/>
    </xf>
  </cellXfs>
  <cellStyles count="11">
    <cellStyle name="Comma" xfId="1" builtinId="3"/>
    <cellStyle name="Comma 3" xfId="2" xr:uid="{00000000-0005-0000-0000-000001000000}"/>
    <cellStyle name="Hyperlink" xfId="3" builtinId="8"/>
    <cellStyle name="Normal" xfId="0" builtinId="0"/>
    <cellStyle name="Normal 2" xfId="4" xr:uid="{00000000-0005-0000-0000-000004000000}"/>
    <cellStyle name="Normal 4" xfId="7" xr:uid="{00000000-0005-0000-0000-000005000000}"/>
    <cellStyle name="Normal 5" xfId="5" xr:uid="{00000000-0005-0000-0000-000006000000}"/>
    <cellStyle name="Normal_2008 DMRs" xfId="8" xr:uid="{00000000-0005-0000-0000-000007000000}"/>
    <cellStyle name="Normal_Crnwd Daily Flow" xfId="9" xr:uid="{00000000-0005-0000-0000-000008000000}"/>
    <cellStyle name="Percent" xfId="10" builtinId="5"/>
    <cellStyle name="Percent 3" xfId="6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Temp/Temp1_2019.zip/2019/Labrador%20WTP%20Summar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LU"/>
      <sheetName val="Labrador"/>
      <sheetName val="Monthly"/>
      <sheetName val="Wells"/>
      <sheetName val="Daily Flow-217"/>
    </sheetNames>
    <sheetDataSet>
      <sheetData sheetId="0"/>
      <sheetData sheetId="1"/>
      <sheetData sheetId="2"/>
      <sheetData sheetId="3"/>
      <sheetData sheetId="4">
        <row r="5">
          <cell r="AH5">
            <v>2.4280000000000004</v>
          </cell>
          <cell r="AI5">
            <v>7.8322580645161302E-2</v>
          </cell>
          <cell r="AJ5">
            <v>0.10100000000000001</v>
          </cell>
        </row>
        <row r="6">
          <cell r="AH6">
            <v>2.4239999999999999</v>
          </cell>
          <cell r="AI6">
            <v>8.6571428571428563E-2</v>
          </cell>
          <cell r="AJ6">
            <v>0.13400000000000001</v>
          </cell>
        </row>
        <row r="7">
          <cell r="AH7">
            <v>2.7840000000000003</v>
          </cell>
          <cell r="AI7">
            <v>8.9806451612903238E-2</v>
          </cell>
          <cell r="AJ7">
            <v>0.124</v>
          </cell>
        </row>
        <row r="8">
          <cell r="AH8">
            <v>2.0619999999999998</v>
          </cell>
          <cell r="AI8">
            <v>6.8733333333333327E-2</v>
          </cell>
          <cell r="AJ8">
            <v>0.1</v>
          </cell>
        </row>
        <row r="9">
          <cell r="AH9">
            <v>1.5170000000000003</v>
          </cell>
          <cell r="AI9">
            <v>4.8935483870967751E-2</v>
          </cell>
          <cell r="AJ9">
            <v>7.5999999999999998E-2</v>
          </cell>
        </row>
        <row r="10">
          <cell r="AH10">
            <v>1.3119999999999998</v>
          </cell>
          <cell r="AI10">
            <v>4.3733333333333325E-2</v>
          </cell>
          <cell r="AJ10">
            <v>5.8000000000000003E-2</v>
          </cell>
        </row>
        <row r="11">
          <cell r="AH11">
            <v>1.3120000000000003</v>
          </cell>
          <cell r="AI11">
            <v>4.2322580645161298E-2</v>
          </cell>
          <cell r="AJ11">
            <v>5.1999999999999998E-2</v>
          </cell>
        </row>
        <row r="12">
          <cell r="AH12">
            <v>1.3579999999999999</v>
          </cell>
          <cell r="AI12">
            <v>4.3806451612903224E-2</v>
          </cell>
          <cell r="AJ12">
            <v>7.1999999999999995E-2</v>
          </cell>
        </row>
        <row r="13">
          <cell r="AH13">
            <v>1.6689999999999998</v>
          </cell>
          <cell r="AI13">
            <v>5.5633333333333326E-2</v>
          </cell>
          <cell r="AJ13">
            <v>0.13500000000000001</v>
          </cell>
        </row>
        <row r="14">
          <cell r="AH14">
            <v>1.6980000000000002</v>
          </cell>
          <cell r="AI14">
            <v>5.4774193548387105E-2</v>
          </cell>
          <cell r="AJ14">
            <v>6.8000000000000005E-2</v>
          </cell>
        </row>
        <row r="15">
          <cell r="AH15">
            <v>2.1025</v>
          </cell>
          <cell r="AI15">
            <v>7.0083333333333331E-2</v>
          </cell>
          <cell r="AJ15">
            <v>8.6999999999999994E-2</v>
          </cell>
        </row>
        <row r="16">
          <cell r="AH16">
            <v>2.2464999999999997</v>
          </cell>
          <cell r="AI16">
            <v>7.2467741935483859E-2</v>
          </cell>
          <cell r="AJ16">
            <v>0.108</v>
          </cell>
        </row>
        <row r="18">
          <cell r="AH18">
            <v>22.913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8"/>
  <sheetViews>
    <sheetView showGridLines="0" workbookViewId="0">
      <selection activeCell="A5" sqref="A5"/>
    </sheetView>
  </sheetViews>
  <sheetFormatPr defaultColWidth="10.7109375" defaultRowHeight="12"/>
  <cols>
    <col min="1" max="1" width="11.7109375" style="2" customWidth="1"/>
    <col min="2" max="2" width="2.7109375" style="2" customWidth="1"/>
    <col min="3" max="3" width="12.7109375" style="2" customWidth="1"/>
    <col min="4" max="4" width="2.7109375" style="2" customWidth="1"/>
    <col min="5" max="5" width="12.7109375" style="2" customWidth="1"/>
    <col min="6" max="6" width="2.7109375" style="2" customWidth="1"/>
    <col min="7" max="7" width="12.7109375" style="2" customWidth="1"/>
    <col min="8" max="8" width="2.7109375" style="2" customWidth="1"/>
    <col min="9" max="9" width="12.7109375" style="2" customWidth="1"/>
    <col min="10" max="10" width="2.7109375" style="2" customWidth="1"/>
    <col min="11" max="11" width="12.7109375" style="2" customWidth="1"/>
    <col min="12" max="12" width="2.7109375" style="2" customWidth="1"/>
    <col min="13" max="13" width="14.7109375" style="2" customWidth="1"/>
    <col min="14" max="14" width="2.7109375" style="2" customWidth="1"/>
    <col min="15" max="15" width="12.7109375" style="2" customWidth="1"/>
    <col min="16" max="17" width="8.7109375" style="2" customWidth="1"/>
    <col min="18" max="18" width="13.140625" style="2" customWidth="1"/>
    <col min="19" max="193" width="8.7109375" style="2" customWidth="1"/>
    <col min="194" max="16384" width="10.7109375" style="2"/>
  </cols>
  <sheetData>
    <row r="1" spans="1:17" ht="12.75">
      <c r="A1" s="134" t="s">
        <v>47</v>
      </c>
      <c r="B1" s="67"/>
      <c r="C1" s="67"/>
      <c r="D1" s="67"/>
      <c r="E1" s="67"/>
      <c r="F1" s="67"/>
      <c r="G1" s="67"/>
      <c r="H1" s="67"/>
      <c r="I1" s="67"/>
      <c r="J1" s="134" t="s">
        <v>48</v>
      </c>
      <c r="K1" s="67"/>
      <c r="L1" s="67"/>
      <c r="M1" s="67"/>
      <c r="N1" s="67"/>
      <c r="O1" s="67"/>
      <c r="P1" s="25"/>
      <c r="Q1" s="25"/>
    </row>
    <row r="2" spans="1:17" ht="12.75">
      <c r="A2" s="134" t="s">
        <v>49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25"/>
      <c r="Q2" s="25"/>
    </row>
    <row r="3" spans="1:17" ht="12.75">
      <c r="A3" s="67"/>
      <c r="B3" s="67"/>
      <c r="C3" s="67"/>
      <c r="D3" s="67"/>
      <c r="E3" s="67"/>
      <c r="F3" s="67"/>
      <c r="G3" s="67"/>
      <c r="H3" s="67"/>
      <c r="I3" s="67"/>
      <c r="J3" s="134" t="s">
        <v>50</v>
      </c>
      <c r="K3" s="67"/>
      <c r="L3" s="67"/>
      <c r="M3" s="67"/>
      <c r="N3" s="67"/>
      <c r="O3" s="67"/>
      <c r="P3" s="25"/>
      <c r="Q3" s="25"/>
    </row>
    <row r="4" spans="1:17" ht="12.75">
      <c r="A4" s="134" t="s">
        <v>398</v>
      </c>
      <c r="B4" s="67"/>
      <c r="C4" s="67"/>
      <c r="D4" s="67"/>
      <c r="E4" s="67"/>
      <c r="F4" s="67"/>
      <c r="G4" s="67"/>
      <c r="H4" s="67"/>
      <c r="I4" s="67"/>
      <c r="J4" s="134" t="s">
        <v>51</v>
      </c>
      <c r="K4" s="67"/>
      <c r="L4" s="67"/>
      <c r="M4" s="67"/>
      <c r="N4" s="67"/>
      <c r="O4" s="67"/>
      <c r="P4" s="25"/>
      <c r="Q4" s="25"/>
    </row>
    <row r="5" spans="1:17" ht="12.75">
      <c r="A5" s="134" t="s">
        <v>396</v>
      </c>
      <c r="B5" s="67"/>
      <c r="C5" s="67"/>
      <c r="D5" s="67"/>
      <c r="E5" s="67"/>
      <c r="F5" s="67"/>
      <c r="G5" s="67"/>
      <c r="H5" s="67"/>
      <c r="I5" s="67"/>
      <c r="J5" s="134" t="s">
        <v>116</v>
      </c>
      <c r="K5" s="67"/>
      <c r="L5" s="67"/>
      <c r="M5" s="67"/>
      <c r="N5" s="67"/>
      <c r="O5" s="67"/>
      <c r="P5" s="25"/>
      <c r="Q5" s="25"/>
    </row>
    <row r="6" spans="1:17" ht="12.75">
      <c r="A6" s="134" t="s">
        <v>397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25"/>
      <c r="Q6" s="25"/>
    </row>
    <row r="7" spans="1:17" ht="12.75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25"/>
      <c r="Q7" s="25"/>
    </row>
    <row r="8" spans="1:17" ht="12.75">
      <c r="A8" s="134" t="s">
        <v>52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25"/>
      <c r="Q8" s="25"/>
    </row>
    <row r="9" spans="1:17" ht="12.75">
      <c r="A9" s="134" t="s">
        <v>118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25"/>
      <c r="Q9" s="25"/>
    </row>
    <row r="10" spans="1:17" ht="12.75">
      <c r="A10" s="134" t="s">
        <v>53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25"/>
      <c r="Q10" s="25"/>
    </row>
    <row r="11" spans="1:17" ht="12.75">
      <c r="A11" s="134" t="s">
        <v>54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25"/>
      <c r="Q11" s="25"/>
    </row>
    <row r="12" spans="1:17" ht="12.75">
      <c r="A12" s="134" t="s">
        <v>55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310"/>
      <c r="M12" s="67"/>
      <c r="N12" s="67"/>
      <c r="O12" s="67"/>
      <c r="P12" s="25"/>
      <c r="Q12" s="25"/>
    </row>
    <row r="13" spans="1:17" ht="12.75">
      <c r="A13" s="115" t="s">
        <v>56</v>
      </c>
      <c r="B13" s="115" t="s">
        <v>56</v>
      </c>
      <c r="C13" s="115" t="s">
        <v>56</v>
      </c>
      <c r="D13" s="115" t="s">
        <v>56</v>
      </c>
      <c r="E13" s="311"/>
      <c r="F13" s="115" t="s">
        <v>56</v>
      </c>
      <c r="G13" s="115" t="s">
        <v>56</v>
      </c>
      <c r="H13" s="115" t="s">
        <v>56</v>
      </c>
      <c r="I13" s="115" t="s">
        <v>56</v>
      </c>
      <c r="J13" s="115" t="s">
        <v>56</v>
      </c>
      <c r="K13" s="115" t="s">
        <v>56</v>
      </c>
      <c r="L13" s="115" t="s">
        <v>56</v>
      </c>
      <c r="M13" s="115" t="s">
        <v>56</v>
      </c>
      <c r="N13" s="67"/>
      <c r="O13" s="67"/>
      <c r="P13" s="25"/>
      <c r="Q13" s="25"/>
    </row>
    <row r="14" spans="1:17" ht="12.75">
      <c r="A14" s="67"/>
      <c r="B14" s="67"/>
      <c r="C14" s="36" t="s">
        <v>57</v>
      </c>
      <c r="D14" s="36"/>
      <c r="E14" s="36"/>
      <c r="F14" s="67"/>
      <c r="G14" s="312" t="s">
        <v>58</v>
      </c>
      <c r="H14" s="67"/>
      <c r="I14" s="36" t="s">
        <v>59</v>
      </c>
      <c r="J14" s="67"/>
      <c r="K14" s="36" t="s">
        <v>60</v>
      </c>
      <c r="L14" s="67"/>
      <c r="M14" s="36" t="s">
        <v>61</v>
      </c>
      <c r="N14" s="67"/>
      <c r="O14" s="36" t="s">
        <v>62</v>
      </c>
      <c r="P14" s="25"/>
      <c r="Q14" s="25"/>
    </row>
    <row r="15" spans="1:17" ht="12.75">
      <c r="A15" s="67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36" t="s">
        <v>63</v>
      </c>
      <c r="N15" s="67"/>
      <c r="O15" s="36" t="s">
        <v>64</v>
      </c>
      <c r="P15" s="25"/>
      <c r="Q15" s="25"/>
    </row>
    <row r="16" spans="1:17" ht="12.75">
      <c r="A16" s="36" t="s">
        <v>65</v>
      </c>
      <c r="B16" s="67"/>
      <c r="C16" s="36" t="s">
        <v>66</v>
      </c>
      <c r="D16" s="36"/>
      <c r="E16" s="36" t="s">
        <v>66</v>
      </c>
      <c r="F16" s="67"/>
      <c r="G16" s="36" t="s">
        <v>67</v>
      </c>
      <c r="H16" s="67"/>
      <c r="I16" s="36" t="s">
        <v>67</v>
      </c>
      <c r="J16" s="67"/>
      <c r="K16" s="36" t="s">
        <v>68</v>
      </c>
      <c r="L16" s="67"/>
      <c r="M16" s="36" t="s">
        <v>69</v>
      </c>
      <c r="N16" s="67"/>
      <c r="O16" s="36" t="s">
        <v>63</v>
      </c>
      <c r="P16" s="25"/>
      <c r="Q16" s="25"/>
    </row>
    <row r="17" spans="1:17" ht="12.75">
      <c r="A17" s="36" t="s">
        <v>70</v>
      </c>
      <c r="B17" s="67"/>
      <c r="C17" s="36" t="s">
        <v>71</v>
      </c>
      <c r="D17" s="36"/>
      <c r="E17" s="36" t="s">
        <v>265</v>
      </c>
      <c r="F17" s="67"/>
      <c r="G17" s="36" t="s">
        <v>72</v>
      </c>
      <c r="H17" s="67"/>
      <c r="I17" s="36" t="s">
        <v>73</v>
      </c>
      <c r="J17" s="67"/>
      <c r="K17" s="36" t="s">
        <v>266</v>
      </c>
      <c r="L17" s="67"/>
      <c r="M17" s="36" t="s">
        <v>74</v>
      </c>
      <c r="N17" s="67"/>
      <c r="O17" s="36" t="s">
        <v>69</v>
      </c>
      <c r="P17" s="25"/>
      <c r="Q17" s="25"/>
    </row>
    <row r="18" spans="1:17" ht="12.75">
      <c r="A18" s="115" t="s">
        <v>56</v>
      </c>
      <c r="B18" s="67"/>
      <c r="C18" s="313" t="s">
        <v>267</v>
      </c>
      <c r="D18" s="314"/>
      <c r="E18" s="313" t="s">
        <v>268</v>
      </c>
      <c r="F18" s="67"/>
      <c r="G18" s="311"/>
      <c r="H18" s="67"/>
      <c r="I18" s="115" t="s">
        <v>56</v>
      </c>
      <c r="J18" s="67"/>
      <c r="K18" s="115" t="s">
        <v>56</v>
      </c>
      <c r="L18" s="67"/>
      <c r="M18" s="115" t="s">
        <v>56</v>
      </c>
      <c r="N18" s="67"/>
      <c r="O18" s="115" t="s">
        <v>56</v>
      </c>
      <c r="P18" s="25"/>
      <c r="Q18" s="25"/>
    </row>
    <row r="19" spans="1:17" ht="12.75">
      <c r="A19" s="110">
        <v>43466</v>
      </c>
      <c r="B19" s="25"/>
      <c r="C19" s="111">
        <f>FLOW2019!AH5</f>
        <v>2.4280000000000004</v>
      </c>
      <c r="D19" s="111"/>
      <c r="E19" s="111">
        <f>C19+'W2019'!N9</f>
        <v>2.4609260000000002</v>
      </c>
      <c r="F19" s="67"/>
      <c r="G19" s="55">
        <v>0</v>
      </c>
      <c r="H19" s="67"/>
      <c r="I19" s="55">
        <f>Sales2019!H$16*10^-6</f>
        <v>2.01722</v>
      </c>
      <c r="J19" s="67"/>
      <c r="K19" s="55">
        <f>'W2019'!G9</f>
        <v>6.8025000000000002E-2</v>
      </c>
      <c r="L19" s="67"/>
      <c r="M19" s="55">
        <f>E19+G19-I19-K19</f>
        <v>0.37568100000000015</v>
      </c>
      <c r="N19" s="112"/>
      <c r="O19" s="113">
        <f>M19/(E19+G19)</f>
        <v>0.15265838956555383</v>
      </c>
      <c r="P19" s="25"/>
      <c r="Q19" s="25"/>
    </row>
    <row r="20" spans="1:17" ht="12.75">
      <c r="A20" s="110">
        <v>43497</v>
      </c>
      <c r="B20" s="25"/>
      <c r="C20" s="111">
        <f>FLOW2019!AH6</f>
        <v>2.4239999999999999</v>
      </c>
      <c r="D20" s="111"/>
      <c r="E20" s="111">
        <f>C20+'W2019'!N10</f>
        <v>2.4559660000000001</v>
      </c>
      <c r="F20" s="67"/>
      <c r="G20" s="55">
        <v>0</v>
      </c>
      <c r="H20" s="67"/>
      <c r="I20" s="55">
        <f>Sales2019!I$16*10^-6</f>
        <v>2.4804909999999998</v>
      </c>
      <c r="J20" s="67"/>
      <c r="K20" s="55">
        <f>'W2019'!G10</f>
        <v>6.6420000000000007E-2</v>
      </c>
      <c r="L20" s="67"/>
      <c r="M20" s="55">
        <f t="shared" ref="M20:M30" si="0">E20+G20-I20-K20</f>
        <v>-9.0944999999999693E-2</v>
      </c>
      <c r="N20" s="112"/>
      <c r="O20" s="113">
        <f t="shared" ref="O20:O30" si="1">M20/(E20+G20)</f>
        <v>-3.7030235760592653E-2</v>
      </c>
      <c r="P20" s="25"/>
      <c r="Q20" s="25"/>
    </row>
    <row r="21" spans="1:17" ht="12.75">
      <c r="A21" s="110">
        <v>43525</v>
      </c>
      <c r="B21" s="25"/>
      <c r="C21" s="111">
        <f>FLOW2019!AH7</f>
        <v>2.794</v>
      </c>
      <c r="D21" s="111"/>
      <c r="E21" s="111">
        <f>C21+'W2019'!N11</f>
        <v>2.8311169999999999</v>
      </c>
      <c r="F21" s="67"/>
      <c r="G21" s="55">
        <v>0</v>
      </c>
      <c r="H21" s="67"/>
      <c r="I21" s="55">
        <f>Sales2019!J$16*10^-6</f>
        <v>2.2668200000000001</v>
      </c>
      <c r="J21" s="67"/>
      <c r="K21" s="55">
        <f>'W2019'!G11</f>
        <v>5.6195000000000002E-2</v>
      </c>
      <c r="L21" s="67"/>
      <c r="M21" s="55">
        <f t="shared" si="0"/>
        <v>0.50810199999999983</v>
      </c>
      <c r="N21" s="112"/>
      <c r="O21" s="113">
        <f t="shared" si="1"/>
        <v>0.17947050581095725</v>
      </c>
      <c r="P21" s="25"/>
      <c r="Q21" s="25"/>
    </row>
    <row r="22" spans="1:17" ht="12.75">
      <c r="A22" s="110">
        <v>43556</v>
      </c>
      <c r="B22" s="25"/>
      <c r="C22" s="111">
        <f>FLOW2019!AH8</f>
        <v>2.0619999999999998</v>
      </c>
      <c r="D22" s="111"/>
      <c r="E22" s="111">
        <f>C22+'W2019'!N12</f>
        <v>2.0888399999999998</v>
      </c>
      <c r="F22" s="67"/>
      <c r="G22" s="55">
        <v>0</v>
      </c>
      <c r="H22" s="67"/>
      <c r="I22" s="55">
        <f>Sales2019!K$16*10^-6</f>
        <v>2.440677</v>
      </c>
      <c r="J22" s="67"/>
      <c r="K22" s="55">
        <f>'W2019'!G12</f>
        <v>2.0375000000000001E-2</v>
      </c>
      <c r="L22" s="67"/>
      <c r="M22" s="55">
        <f t="shared" si="0"/>
        <v>-0.37221200000000015</v>
      </c>
      <c r="N22" s="112"/>
      <c r="O22" s="113">
        <f t="shared" si="1"/>
        <v>-0.17819076616686783</v>
      </c>
      <c r="P22" s="25"/>
      <c r="Q22" s="25"/>
    </row>
    <row r="23" spans="1:17" ht="12.75">
      <c r="A23" s="110">
        <v>43586</v>
      </c>
      <c r="B23" s="25"/>
      <c r="C23" s="111">
        <f>FLOW2019!AH9</f>
        <v>1.5170000000000003</v>
      </c>
      <c r="D23" s="111"/>
      <c r="E23" s="111">
        <f>C23+'W2019'!N13</f>
        <v>1.5139820000000004</v>
      </c>
      <c r="F23" s="67"/>
      <c r="G23" s="55">
        <v>0</v>
      </c>
      <c r="H23" s="67"/>
      <c r="I23" s="55">
        <f>Sales2019!L$16*10^-6</f>
        <v>1.7301219999999999</v>
      </c>
      <c r="J23" s="67"/>
      <c r="K23" s="55">
        <f>'W2019'!G13</f>
        <v>6.5259999999999999E-2</v>
      </c>
      <c r="L23" s="67"/>
      <c r="M23" s="55">
        <f t="shared" si="0"/>
        <v>-0.28139999999999954</v>
      </c>
      <c r="N23" s="112"/>
      <c r="O23" s="113">
        <f t="shared" si="1"/>
        <v>-0.18586746738072149</v>
      </c>
      <c r="P23" s="25"/>
      <c r="Q23" s="25"/>
    </row>
    <row r="24" spans="1:17" ht="12.75">
      <c r="A24" s="110">
        <v>43617</v>
      </c>
      <c r="B24" s="25"/>
      <c r="C24" s="111">
        <f>FLOW2019!AH10</f>
        <v>1.3119999999999998</v>
      </c>
      <c r="D24" s="111"/>
      <c r="E24" s="111">
        <f>C24+'W2019'!N14</f>
        <v>1.2727599999999999</v>
      </c>
      <c r="F24" s="67"/>
      <c r="G24" s="55">
        <v>0</v>
      </c>
      <c r="H24" s="67"/>
      <c r="I24" s="55">
        <f>Sales2019!M$16*10^-6</f>
        <v>1.29111</v>
      </c>
      <c r="J24" s="67"/>
      <c r="K24" s="55">
        <f>'W2019'!G14</f>
        <v>7.8670000000000004E-2</v>
      </c>
      <c r="L24" s="67"/>
      <c r="M24" s="55">
        <f t="shared" si="0"/>
        <v>-9.7020000000000092E-2</v>
      </c>
      <c r="N24" s="112"/>
      <c r="O24" s="113">
        <f t="shared" si="1"/>
        <v>-7.6228039850403925E-2</v>
      </c>
      <c r="P24" s="25"/>
      <c r="Q24" s="25"/>
    </row>
    <row r="25" spans="1:17" ht="12.75">
      <c r="A25" s="110">
        <v>43647</v>
      </c>
      <c r="B25" s="25"/>
      <c r="C25" s="111">
        <f>FLOW2019!AH11</f>
        <v>1.3120000000000003</v>
      </c>
      <c r="D25" s="111"/>
      <c r="E25" s="111">
        <f>C25+'W2019'!N15</f>
        <v>1.2727600000000003</v>
      </c>
      <c r="F25" s="67"/>
      <c r="G25" s="55">
        <v>0</v>
      </c>
      <c r="H25" s="67"/>
      <c r="I25" s="55">
        <f>Sales2019!N$16*10^-6</f>
        <v>1.243136</v>
      </c>
      <c r="J25" s="67"/>
      <c r="K25" s="55">
        <f>'W2019'!G15</f>
        <v>3.4759999999999999E-2</v>
      </c>
      <c r="L25" s="67"/>
      <c r="M25" s="55">
        <f t="shared" si="0"/>
        <v>-5.1359999999996825E-3</v>
      </c>
      <c r="N25" s="112"/>
      <c r="O25" s="113">
        <f t="shared" si="1"/>
        <v>-4.0353248059333113E-3</v>
      </c>
      <c r="P25" s="25"/>
      <c r="Q25" s="25"/>
    </row>
    <row r="26" spans="1:17" ht="12.75">
      <c r="A26" s="110">
        <v>43678</v>
      </c>
      <c r="B26" s="25"/>
      <c r="C26" s="111">
        <f>FLOW2019!AH12</f>
        <v>1.3220000000000003</v>
      </c>
      <c r="D26" s="111"/>
      <c r="E26" s="111">
        <f>C26+'W2019'!N16</f>
        <v>1.2813800000000002</v>
      </c>
      <c r="F26" s="67"/>
      <c r="G26" s="55">
        <v>0</v>
      </c>
      <c r="H26" s="67"/>
      <c r="I26" s="55">
        <f>Sales2019!O$16*10^-6</f>
        <v>1.063655</v>
      </c>
      <c r="J26" s="67"/>
      <c r="K26" s="55">
        <f>'W2019'!G16</f>
        <v>3.3059999999999999E-2</v>
      </c>
      <c r="L26" s="67"/>
      <c r="M26" s="55">
        <f t="shared" si="0"/>
        <v>0.18466500000000016</v>
      </c>
      <c r="N26" s="112"/>
      <c r="O26" s="113">
        <f t="shared" si="1"/>
        <v>0.1441141581732196</v>
      </c>
      <c r="P26" s="25"/>
      <c r="Q26" s="25"/>
    </row>
    <row r="27" spans="1:17" ht="12.75">
      <c r="A27" s="110">
        <v>43709</v>
      </c>
      <c r="B27" s="25"/>
      <c r="C27" s="111">
        <f>FLOW2019!AH13</f>
        <v>1.6689999999999998</v>
      </c>
      <c r="D27" s="111"/>
      <c r="E27" s="111">
        <f>C27+'W2019'!N17</f>
        <v>1.6189899999999999</v>
      </c>
      <c r="F27" s="67"/>
      <c r="G27" s="55">
        <v>0</v>
      </c>
      <c r="H27" s="67"/>
      <c r="I27" s="55">
        <f>Sales2019!P$16*10^-6</f>
        <v>1.3053789999999998</v>
      </c>
      <c r="J27" s="67"/>
      <c r="K27" s="55">
        <f>'W2019'!G17</f>
        <v>0.187195</v>
      </c>
      <c r="L27" s="67"/>
      <c r="M27" s="55">
        <f t="shared" si="0"/>
        <v>0.12641600000000008</v>
      </c>
      <c r="N27" s="112"/>
      <c r="O27" s="113">
        <f t="shared" si="1"/>
        <v>7.8083249433288704E-2</v>
      </c>
      <c r="P27" s="25"/>
      <c r="Q27" s="25"/>
    </row>
    <row r="28" spans="1:17" ht="12.75">
      <c r="A28" s="110">
        <v>43739</v>
      </c>
      <c r="B28" s="25"/>
      <c r="C28" s="111">
        <f>FLOW2019!AH14</f>
        <v>1.6870000000000005</v>
      </c>
      <c r="D28" s="111"/>
      <c r="E28" s="111">
        <f>C28+'W2019'!N18</f>
        <v>1.6367200000000004</v>
      </c>
      <c r="F28" s="67"/>
      <c r="G28" s="55">
        <v>0</v>
      </c>
      <c r="H28" s="67"/>
      <c r="I28" s="55">
        <f>Sales2019!Q$16*10^-6</f>
        <v>1.6552399999999998</v>
      </c>
      <c r="J28" s="67"/>
      <c r="K28" s="55">
        <f>'W2019'!G18</f>
        <v>6.2030000000000002E-2</v>
      </c>
      <c r="L28" s="67"/>
      <c r="M28" s="55">
        <f t="shared" si="0"/>
        <v>-8.0549999999999428E-2</v>
      </c>
      <c r="N28" s="112"/>
      <c r="O28" s="113">
        <f t="shared" si="1"/>
        <v>-4.9214282222982186E-2</v>
      </c>
      <c r="P28" s="25"/>
      <c r="Q28" s="25"/>
    </row>
    <row r="29" spans="1:17" ht="12.75">
      <c r="A29" s="110">
        <v>43770</v>
      </c>
      <c r="B29" s="25"/>
      <c r="C29" s="111">
        <f>FLOW2019!AH15</f>
        <v>2.1025</v>
      </c>
      <c r="D29" s="111"/>
      <c r="E29" s="111">
        <f>C29+'W2019'!N19</f>
        <v>2.039485</v>
      </c>
      <c r="F29" s="67"/>
      <c r="G29" s="55">
        <v>0</v>
      </c>
      <c r="H29" s="67"/>
      <c r="I29" s="55">
        <f>Sales2019!R$16*10^-6</f>
        <v>1.5334399999999999</v>
      </c>
      <c r="J29" s="67"/>
      <c r="K29" s="55">
        <f>'W2019'!G19</f>
        <v>8.3238000000000006E-2</v>
      </c>
      <c r="L29" s="67"/>
      <c r="M29" s="55">
        <f t="shared" si="0"/>
        <v>0.42280700000000004</v>
      </c>
      <c r="N29" s="112"/>
      <c r="O29" s="113">
        <f t="shared" si="1"/>
        <v>0.20731066911499718</v>
      </c>
      <c r="P29" s="25"/>
      <c r="Q29" s="25"/>
    </row>
    <row r="30" spans="1:17" ht="12.75">
      <c r="A30" s="110">
        <v>43800</v>
      </c>
      <c r="B30" s="25"/>
      <c r="C30" s="111">
        <f>FLOW2019!AH16</f>
        <v>2.2464999999999997</v>
      </c>
      <c r="D30" s="111"/>
      <c r="E30" s="111">
        <f>C30+'W2019'!N20</f>
        <v>2.1791649999999998</v>
      </c>
      <c r="F30" s="67"/>
      <c r="G30" s="55">
        <v>0</v>
      </c>
      <c r="H30" s="67"/>
      <c r="I30" s="55">
        <f>Sales2019!S$16*10^-6</f>
        <v>1.9163779999999999</v>
      </c>
      <c r="J30" s="67"/>
      <c r="K30" s="55">
        <f>'W2019'!G20</f>
        <v>8.8041999999999995E-2</v>
      </c>
      <c r="L30" s="67"/>
      <c r="M30" s="55">
        <f t="shared" si="0"/>
        <v>0.17474499999999987</v>
      </c>
      <c r="N30" s="112"/>
      <c r="O30" s="113">
        <f t="shared" si="1"/>
        <v>8.018897146384045E-2</v>
      </c>
      <c r="P30" s="25"/>
      <c r="Q30" s="25"/>
    </row>
    <row r="31" spans="1:17" ht="12.75">
      <c r="A31" s="53"/>
      <c r="B31" s="25"/>
      <c r="C31" s="111"/>
      <c r="D31" s="111"/>
      <c r="E31" s="111"/>
      <c r="F31" s="67"/>
      <c r="G31" s="67"/>
      <c r="H31" s="67"/>
      <c r="I31" s="128"/>
      <c r="J31" s="67"/>
      <c r="K31" s="55"/>
      <c r="L31" s="67"/>
      <c r="M31" s="55"/>
      <c r="N31" s="112"/>
      <c r="O31" s="114"/>
      <c r="P31" s="25"/>
      <c r="Q31" s="25"/>
    </row>
    <row r="32" spans="1:17" ht="12.75">
      <c r="A32" s="25"/>
      <c r="B32" s="25"/>
      <c r="C32" s="115" t="s">
        <v>75</v>
      </c>
      <c r="D32" s="115"/>
      <c r="E32" s="115"/>
      <c r="F32" s="67"/>
      <c r="G32" s="115" t="s">
        <v>75</v>
      </c>
      <c r="H32" s="67"/>
      <c r="I32" s="129" t="s">
        <v>75</v>
      </c>
      <c r="J32" s="67"/>
      <c r="K32" s="115" t="s">
        <v>75</v>
      </c>
      <c r="L32" s="67"/>
      <c r="M32" s="115" t="s">
        <v>75</v>
      </c>
      <c r="N32" s="112"/>
      <c r="O32" s="116" t="s">
        <v>75</v>
      </c>
      <c r="P32" s="25"/>
      <c r="Q32" s="25"/>
    </row>
    <row r="33" spans="1:18" ht="12.75">
      <c r="A33" s="74" t="s">
        <v>76</v>
      </c>
      <c r="B33" s="25"/>
      <c r="C33" s="111">
        <f>SUM(C19:C31)</f>
        <v>22.876000000000001</v>
      </c>
      <c r="D33" s="111"/>
      <c r="E33" s="111">
        <f>SUM(E19:E31)</f>
        <v>22.652091000000002</v>
      </c>
      <c r="F33" s="67"/>
      <c r="G33" s="55">
        <f>SUM(G19:G31)</f>
        <v>0</v>
      </c>
      <c r="H33" s="67"/>
      <c r="I33" s="55">
        <f>SUM(I19:I31)</f>
        <v>20.943667999999995</v>
      </c>
      <c r="J33" s="67"/>
      <c r="K33" s="55">
        <f>SUM(K19:K32)</f>
        <v>0.84327000000000008</v>
      </c>
      <c r="L33" s="67"/>
      <c r="M33" s="55">
        <f t="shared" ref="M33" si="2">E33+G33-I33-K33</f>
        <v>0.86515300000000683</v>
      </c>
      <c r="N33" s="112"/>
      <c r="O33" s="113">
        <f>M33/(E33+G33)</f>
        <v>3.8193074537799035E-2</v>
      </c>
      <c r="P33" s="25"/>
      <c r="Q33" s="25"/>
    </row>
    <row r="34" spans="1:18" ht="12.75">
      <c r="A34" s="25"/>
      <c r="B34" s="25"/>
      <c r="C34" s="51" t="s">
        <v>77</v>
      </c>
      <c r="D34" s="51"/>
      <c r="E34" s="51"/>
      <c r="F34" s="25"/>
      <c r="G34" s="51" t="s">
        <v>77</v>
      </c>
      <c r="H34" s="25"/>
      <c r="I34" s="51" t="s">
        <v>77</v>
      </c>
      <c r="J34" s="25"/>
      <c r="K34" s="51" t="s">
        <v>77</v>
      </c>
      <c r="L34" s="25"/>
      <c r="M34" s="51" t="s">
        <v>77</v>
      </c>
      <c r="N34" s="25"/>
      <c r="O34" s="51" t="s">
        <v>77</v>
      </c>
      <c r="P34" s="25"/>
      <c r="Q34" s="25"/>
    </row>
    <row r="35" spans="1:18" ht="12.75">
      <c r="A35" s="25"/>
      <c r="B35" s="67"/>
      <c r="C35" s="67" t="s">
        <v>117</v>
      </c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25"/>
      <c r="P35" s="25"/>
      <c r="Q35" s="25"/>
    </row>
    <row r="36" spans="1:18" ht="15.75" customHeight="1">
      <c r="A36" s="56"/>
      <c r="B36" s="67"/>
      <c r="C36" s="134"/>
      <c r="D36" s="134"/>
      <c r="E36" s="134"/>
      <c r="F36" s="306"/>
      <c r="G36" s="306"/>
      <c r="H36" s="306"/>
      <c r="I36" s="306"/>
      <c r="J36" s="306"/>
      <c r="K36" s="306"/>
      <c r="L36" s="306"/>
      <c r="M36" s="306"/>
      <c r="N36" s="306"/>
      <c r="O36" s="57"/>
      <c r="P36" s="25"/>
      <c r="Q36" s="25"/>
    </row>
    <row r="37" spans="1:18">
      <c r="B37" s="317" t="s">
        <v>269</v>
      </c>
      <c r="C37" s="318"/>
      <c r="D37" s="318"/>
      <c r="E37" s="318"/>
      <c r="F37" s="318"/>
      <c r="G37" s="318"/>
      <c r="H37" s="318"/>
      <c r="I37" s="318"/>
      <c r="J37" s="318"/>
      <c r="K37" s="318"/>
      <c r="L37" s="318"/>
      <c r="M37" s="318"/>
      <c r="N37" s="318"/>
    </row>
    <row r="38" spans="1:18">
      <c r="B38" s="318"/>
      <c r="C38" s="318"/>
      <c r="D38" s="318"/>
      <c r="E38" s="318"/>
      <c r="F38" s="318"/>
      <c r="G38" s="318"/>
      <c r="H38" s="318"/>
      <c r="I38" s="318"/>
      <c r="J38" s="318"/>
      <c r="K38" s="318"/>
      <c r="L38" s="318"/>
      <c r="M38" s="318"/>
      <c r="N38" s="318"/>
    </row>
    <row r="39" spans="1:18">
      <c r="B39" s="318"/>
      <c r="C39" s="318"/>
      <c r="D39" s="318"/>
      <c r="E39" s="318"/>
      <c r="F39" s="318"/>
      <c r="G39" s="318"/>
      <c r="H39" s="318"/>
      <c r="I39" s="318"/>
      <c r="J39" s="318"/>
      <c r="K39" s="318"/>
      <c r="L39" s="318"/>
      <c r="M39" s="318"/>
      <c r="N39" s="318"/>
    </row>
    <row r="40" spans="1:18">
      <c r="B40" s="318"/>
      <c r="C40" s="318"/>
      <c r="D40" s="318"/>
      <c r="E40" s="318"/>
      <c r="F40" s="318"/>
      <c r="G40" s="318"/>
      <c r="H40" s="318"/>
      <c r="I40" s="318"/>
      <c r="J40" s="318"/>
      <c r="K40" s="318"/>
      <c r="L40" s="318"/>
      <c r="M40" s="318"/>
      <c r="N40" s="318"/>
    </row>
    <row r="41" spans="1:18">
      <c r="B41" s="318"/>
      <c r="C41" s="318"/>
      <c r="D41" s="318"/>
      <c r="E41" s="318"/>
      <c r="F41" s="318"/>
      <c r="G41" s="318"/>
      <c r="H41" s="318"/>
      <c r="I41" s="318"/>
      <c r="J41" s="318"/>
      <c r="K41" s="318"/>
      <c r="L41" s="318"/>
      <c r="M41" s="318"/>
      <c r="N41" s="318"/>
    </row>
    <row r="42" spans="1:18" ht="15">
      <c r="A42" s="5"/>
      <c r="B42" s="307"/>
      <c r="C42" s="307"/>
      <c r="D42" s="307"/>
      <c r="E42" s="307"/>
      <c r="F42" s="307"/>
      <c r="G42" s="307"/>
      <c r="H42" s="307"/>
      <c r="I42" s="307"/>
      <c r="J42" s="307"/>
      <c r="K42" s="307"/>
      <c r="L42" s="307"/>
      <c r="M42" s="307"/>
      <c r="N42" s="307"/>
      <c r="O42" s="5"/>
    </row>
    <row r="43" spans="1:18" ht="12.75">
      <c r="B43" s="117" t="s">
        <v>270</v>
      </c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</row>
    <row r="45" spans="1:18" ht="12.75">
      <c r="B45" s="67"/>
    </row>
    <row r="46" spans="1:18" ht="13.5" customHeight="1">
      <c r="B46" s="67"/>
      <c r="G46" s="22"/>
      <c r="Q46" s="2">
        <f>17.213-17.212</f>
        <v>1.0000000000012221E-3</v>
      </c>
      <c r="R46" s="174">
        <f>Q46/17.212</f>
        <v>5.8099000697259017E-5</v>
      </c>
    </row>
    <row r="47" spans="1:18" ht="12.75" customHeight="1">
      <c r="B47" s="67"/>
    </row>
    <row r="57" spans="1:7" ht="18" customHeight="1">
      <c r="A57" s="5"/>
      <c r="G57" s="6"/>
    </row>
    <row r="58" spans="1:7">
      <c r="G58" s="4"/>
    </row>
  </sheetData>
  <mergeCells count="1">
    <mergeCell ref="B37:N41"/>
  </mergeCells>
  <phoneticPr fontId="9" type="noConversion"/>
  <pageMargins left="0.75" right="0.5" top="1" bottom="1" header="0.5" footer="0.5"/>
  <pageSetup scale="77" orientation="portrait" horizontalDpi="4294967293" vertic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U60"/>
  <sheetViews>
    <sheetView showGridLines="0" workbookViewId="0">
      <selection sqref="A1:S44"/>
    </sheetView>
  </sheetViews>
  <sheetFormatPr defaultColWidth="10.7109375" defaultRowHeight="12"/>
  <cols>
    <col min="1" max="1" width="3.7109375" style="2" customWidth="1"/>
    <col min="2" max="2" width="1.7109375" style="2" customWidth="1"/>
    <col min="3" max="3" width="8.7109375" style="2" customWidth="1"/>
    <col min="4" max="4" width="1.7109375" style="2" customWidth="1"/>
    <col min="5" max="5" width="8.7109375" style="2" customWidth="1"/>
    <col min="6" max="6" width="1.7109375" style="2" customWidth="1"/>
    <col min="7" max="7" width="8.7109375" style="2" customWidth="1"/>
    <col min="8" max="8" width="1.7109375" style="2" customWidth="1"/>
    <col min="9" max="9" width="8.7109375" style="2" customWidth="1"/>
    <col min="10" max="10" width="1.7109375" style="2" customWidth="1"/>
    <col min="11" max="11" width="17.28515625" style="2" customWidth="1"/>
    <col min="12" max="12" width="1.7109375" style="2" customWidth="1"/>
    <col min="13" max="13" width="11.7109375" style="2" customWidth="1"/>
    <col min="14" max="14" width="1.7109375" style="2" customWidth="1"/>
    <col min="15" max="15" width="19.42578125" style="2" customWidth="1"/>
    <col min="16" max="16" width="4" style="2" customWidth="1"/>
    <col min="17" max="17" width="8.7109375" style="2" customWidth="1"/>
    <col min="18" max="18" width="1.7109375" style="2" customWidth="1"/>
    <col min="19" max="20" width="8.7109375" style="2" customWidth="1"/>
    <col min="21" max="21" width="21.7109375" style="2" customWidth="1"/>
    <col min="22" max="205" width="8.7109375" style="2" customWidth="1"/>
    <col min="206" max="16384" width="10.7109375" style="2"/>
  </cols>
  <sheetData>
    <row r="1" spans="1:20" ht="12.75">
      <c r="A1" s="134" t="s">
        <v>113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134" t="s">
        <v>48</v>
      </c>
      <c r="N1" s="67"/>
      <c r="O1" s="67"/>
      <c r="P1" s="67"/>
      <c r="Q1" s="67"/>
      <c r="R1" s="67"/>
      <c r="S1" s="67"/>
      <c r="T1" s="125"/>
    </row>
    <row r="2" spans="1:20" ht="12.75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125"/>
    </row>
    <row r="3" spans="1:20" ht="12.75">
      <c r="A3" s="134" t="str">
        <f>'F 1'!A4</f>
        <v xml:space="preserve">Company:  Utilities, Inc. of Florida - Labrador 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134" t="s">
        <v>114</v>
      </c>
      <c r="N3" s="67"/>
      <c r="O3" s="67"/>
      <c r="P3" s="67"/>
      <c r="Q3" s="67"/>
      <c r="R3" s="67"/>
      <c r="S3" s="67"/>
      <c r="T3" s="125"/>
    </row>
    <row r="4" spans="1:20" ht="12.75">
      <c r="A4" s="134" t="str">
        <f>'F 1'!A5</f>
        <v>Docket No.: 20200139-WS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134" t="s">
        <v>51</v>
      </c>
      <c r="N4" s="67"/>
      <c r="O4" s="67"/>
      <c r="P4" s="67"/>
      <c r="Q4" s="67"/>
      <c r="R4" s="67"/>
      <c r="S4" s="67"/>
      <c r="T4" s="125"/>
    </row>
    <row r="5" spans="1:20" ht="12.75">
      <c r="A5" s="134" t="str">
        <f>'F 1'!A6</f>
        <v>Test Year Ended:  December 31, 2019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134" t="str">
        <f>'F 1'!J5</f>
        <v>Preparer:  Seidman, F.</v>
      </c>
      <c r="N5" s="67"/>
      <c r="O5" s="67"/>
      <c r="P5" s="67"/>
      <c r="Q5" s="67"/>
      <c r="R5" s="67"/>
      <c r="S5" s="67"/>
      <c r="T5" s="125"/>
    </row>
    <row r="6" spans="1:20" ht="12.75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125"/>
    </row>
    <row r="7" spans="1:20" ht="12.75">
      <c r="A7" s="134" t="s">
        <v>115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125"/>
    </row>
    <row r="8" spans="1:20" ht="12.75">
      <c r="A8" s="134" t="s">
        <v>0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125"/>
    </row>
    <row r="9" spans="1:20" ht="12.75">
      <c r="A9" s="134" t="s">
        <v>1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125"/>
    </row>
    <row r="10" spans="1:20" customFormat="1" ht="12.75">
      <c r="A10" s="159"/>
      <c r="B10" s="159"/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282"/>
    </row>
    <row r="11" spans="1:20" ht="12.75">
      <c r="A11" s="67"/>
      <c r="B11" s="67"/>
      <c r="C11" s="312" t="s">
        <v>57</v>
      </c>
      <c r="D11" s="67"/>
      <c r="E11" s="312" t="s">
        <v>58</v>
      </c>
      <c r="F11" s="67"/>
      <c r="G11" s="312" t="s">
        <v>59</v>
      </c>
      <c r="H11" s="36"/>
      <c r="I11" s="312" t="s">
        <v>60</v>
      </c>
      <c r="J11" s="67"/>
      <c r="K11" s="312" t="s">
        <v>61</v>
      </c>
      <c r="L11" s="36"/>
      <c r="M11" s="312" t="s">
        <v>62</v>
      </c>
      <c r="N11" s="36"/>
      <c r="O11" s="312" t="s">
        <v>12</v>
      </c>
      <c r="P11" s="36"/>
      <c r="Q11" s="312" t="s">
        <v>13</v>
      </c>
      <c r="R11" s="36"/>
      <c r="S11" s="312" t="s">
        <v>16</v>
      </c>
      <c r="T11" s="125"/>
    </row>
    <row r="12" spans="1:20" ht="12.75">
      <c r="A12" s="67"/>
      <c r="B12" s="67"/>
      <c r="C12" s="36"/>
      <c r="D12" s="67"/>
      <c r="E12" s="322" t="s">
        <v>5</v>
      </c>
      <c r="F12" s="322"/>
      <c r="G12" s="322"/>
      <c r="H12" s="322"/>
      <c r="I12" s="322"/>
      <c r="J12" s="67"/>
      <c r="K12" s="36" t="s">
        <v>9</v>
      </c>
      <c r="L12" s="36"/>
      <c r="M12" s="36" t="s">
        <v>10</v>
      </c>
      <c r="N12" s="36"/>
      <c r="O12" s="36" t="s">
        <v>76</v>
      </c>
      <c r="P12" s="36"/>
      <c r="Q12" s="36" t="s">
        <v>76</v>
      </c>
      <c r="R12" s="36"/>
      <c r="S12" s="36" t="s">
        <v>17</v>
      </c>
      <c r="T12" s="125"/>
    </row>
    <row r="13" spans="1:20" ht="12.75">
      <c r="A13" s="67" t="s">
        <v>3</v>
      </c>
      <c r="B13" s="67"/>
      <c r="C13" s="36"/>
      <c r="D13" s="67"/>
      <c r="E13" s="159"/>
      <c r="F13" s="159"/>
      <c r="G13" s="159"/>
      <c r="H13" s="159"/>
      <c r="I13" s="159"/>
      <c r="J13" s="67"/>
      <c r="K13" s="36" t="s">
        <v>67</v>
      </c>
      <c r="L13" s="36"/>
      <c r="M13" s="36" t="s">
        <v>9</v>
      </c>
      <c r="N13" s="36"/>
      <c r="O13" s="36" t="s">
        <v>67</v>
      </c>
      <c r="P13" s="36"/>
      <c r="Q13" s="36" t="s">
        <v>14</v>
      </c>
      <c r="R13" s="36"/>
      <c r="S13" s="36" t="s">
        <v>18</v>
      </c>
      <c r="T13" s="125"/>
    </row>
    <row r="14" spans="1:20" ht="12.75">
      <c r="A14" s="67" t="s">
        <v>4</v>
      </c>
      <c r="B14" s="67"/>
      <c r="C14" s="36" t="s">
        <v>70</v>
      </c>
      <c r="D14" s="67"/>
      <c r="E14" s="36" t="s">
        <v>6</v>
      </c>
      <c r="F14" s="36"/>
      <c r="G14" s="36" t="s">
        <v>7</v>
      </c>
      <c r="H14" s="36"/>
      <c r="I14" s="36" t="s">
        <v>8</v>
      </c>
      <c r="J14" s="67"/>
      <c r="K14" s="36" t="s">
        <v>73</v>
      </c>
      <c r="L14" s="36"/>
      <c r="M14" s="36" t="s">
        <v>11</v>
      </c>
      <c r="N14" s="36"/>
      <c r="O14" s="36" t="s">
        <v>73</v>
      </c>
      <c r="P14" s="36"/>
      <c r="Q14" s="36" t="s">
        <v>15</v>
      </c>
      <c r="R14" s="36"/>
      <c r="S14" s="36" t="s">
        <v>19</v>
      </c>
      <c r="T14" s="125"/>
    </row>
    <row r="15" spans="1:20" ht="12.75">
      <c r="A15" s="159"/>
      <c r="B15" s="67"/>
      <c r="C15" s="313"/>
      <c r="D15" s="67"/>
      <c r="E15" s="159"/>
      <c r="F15" s="67"/>
      <c r="G15" s="159"/>
      <c r="H15" s="67"/>
      <c r="I15" s="159"/>
      <c r="J15" s="67"/>
      <c r="K15" s="313"/>
      <c r="L15" s="36"/>
      <c r="M15" s="313"/>
      <c r="N15" s="36"/>
      <c r="O15" s="313"/>
      <c r="P15" s="36"/>
      <c r="Q15" s="313"/>
      <c r="R15" s="36"/>
      <c r="S15" s="313"/>
      <c r="T15" s="125"/>
    </row>
    <row r="16" spans="1:20" ht="12.75">
      <c r="A16" s="25"/>
      <c r="B16" s="25"/>
      <c r="C16" s="52"/>
      <c r="D16" s="25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2"/>
      <c r="Q16" s="52"/>
      <c r="R16" s="52"/>
      <c r="S16" s="52"/>
    </row>
    <row r="17" spans="1:21" ht="12.75">
      <c r="A17" s="36">
        <v>1</v>
      </c>
      <c r="B17" s="67"/>
      <c r="C17" s="36">
        <v>2015</v>
      </c>
      <c r="D17" s="67"/>
      <c r="E17" s="122">
        <f>Sales2019!G99</f>
        <v>879</v>
      </c>
      <c r="F17" s="122"/>
      <c r="G17" s="122">
        <f>Sales2019!F99</f>
        <v>893</v>
      </c>
      <c r="H17" s="122"/>
      <c r="I17" s="122">
        <f>+(E17+G17)/2</f>
        <v>886</v>
      </c>
      <c r="J17" s="123"/>
      <c r="K17" s="122">
        <f>Sales2019!E99</f>
        <v>13571318</v>
      </c>
      <c r="L17" s="122"/>
      <c r="M17" s="122">
        <f>+K17/I17</f>
        <v>15317.514672686229</v>
      </c>
      <c r="N17" s="122"/>
      <c r="O17" s="122">
        <f>Sales2019!E95</f>
        <v>17200248</v>
      </c>
      <c r="P17" s="122"/>
      <c r="Q17" s="122">
        <f>+O17/M17</f>
        <v>1122.9137603289525</v>
      </c>
      <c r="R17" s="36"/>
      <c r="S17" s="124"/>
      <c r="T17" s="125"/>
    </row>
    <row r="18" spans="1:21" ht="12.75">
      <c r="A18" s="36"/>
      <c r="B18" s="67"/>
      <c r="C18" s="36"/>
      <c r="D18" s="67"/>
      <c r="E18" s="122"/>
      <c r="F18" s="122"/>
      <c r="G18" s="122"/>
      <c r="H18" s="122"/>
      <c r="I18" s="122"/>
      <c r="J18" s="123"/>
      <c r="K18" s="122"/>
      <c r="L18" s="122"/>
      <c r="M18" s="122"/>
      <c r="N18" s="122"/>
      <c r="O18" s="122"/>
      <c r="P18" s="122"/>
      <c r="Q18" s="122"/>
      <c r="R18" s="36"/>
      <c r="S18" s="124"/>
      <c r="T18" s="125"/>
    </row>
    <row r="19" spans="1:21" ht="12.75">
      <c r="A19" s="36">
        <v>2</v>
      </c>
      <c r="B19" s="67"/>
      <c r="C19" s="36">
        <v>2016</v>
      </c>
      <c r="D19" s="67"/>
      <c r="E19" s="122">
        <f>G17</f>
        <v>893</v>
      </c>
      <c r="F19" s="122"/>
      <c r="G19" s="122">
        <f>Sales2019!F79</f>
        <v>883</v>
      </c>
      <c r="H19" s="72"/>
      <c r="I19" s="122">
        <f>+(E19+G19)/2</f>
        <v>888</v>
      </c>
      <c r="J19" s="123"/>
      <c r="K19" s="122">
        <f>Sales2019!E79</f>
        <v>13001852</v>
      </c>
      <c r="L19" s="122"/>
      <c r="M19" s="122">
        <f>+K19/I19</f>
        <v>14641.725225225226</v>
      </c>
      <c r="N19" s="122"/>
      <c r="O19" s="122">
        <f>Sales2019!E75</f>
        <v>16275632</v>
      </c>
      <c r="P19" s="122"/>
      <c r="Q19" s="122">
        <f>+O19/M19</f>
        <v>1111.5925035910268</v>
      </c>
      <c r="R19" s="36"/>
      <c r="S19" s="124">
        <f>+(Q19/Q17)-1</f>
        <v>-1.0082035805322409E-2</v>
      </c>
      <c r="T19" s="125"/>
    </row>
    <row r="20" spans="1:21" ht="12.75">
      <c r="A20" s="36"/>
      <c r="B20" s="67"/>
      <c r="C20" s="36"/>
      <c r="D20" s="67"/>
      <c r="E20" s="122"/>
      <c r="F20" s="122"/>
      <c r="G20" s="122"/>
      <c r="H20" s="122"/>
      <c r="I20" s="122"/>
      <c r="J20" s="123"/>
      <c r="K20" s="122"/>
      <c r="L20" s="122"/>
      <c r="M20" s="122"/>
      <c r="N20" s="122"/>
      <c r="O20" s="122"/>
      <c r="P20" s="122"/>
      <c r="Q20" s="122"/>
      <c r="R20" s="36"/>
      <c r="S20" s="124"/>
      <c r="T20" s="125"/>
    </row>
    <row r="21" spans="1:21" ht="12.75">
      <c r="A21" s="36">
        <v>3</v>
      </c>
      <c r="B21" s="67"/>
      <c r="C21" s="36">
        <v>2017</v>
      </c>
      <c r="D21" s="67"/>
      <c r="E21" s="122">
        <f>G19</f>
        <v>883</v>
      </c>
      <c r="F21" s="122"/>
      <c r="G21" s="122">
        <f>Sales2019!F59</f>
        <v>888</v>
      </c>
      <c r="H21" s="122"/>
      <c r="I21" s="122">
        <f>+(E21+G21)/2</f>
        <v>885.5</v>
      </c>
      <c r="J21" s="123"/>
      <c r="K21" s="122">
        <f>Sales2019!E59</f>
        <v>12924521</v>
      </c>
      <c r="L21" s="122"/>
      <c r="M21" s="122">
        <f>+K21/I21</f>
        <v>14595.73235460192</v>
      </c>
      <c r="N21" s="122"/>
      <c r="O21" s="122">
        <f>Sales2019!E55</f>
        <v>16512611</v>
      </c>
      <c r="P21" s="122"/>
      <c r="Q21" s="122">
        <f>+O21/M21</f>
        <v>1131.3314466741167</v>
      </c>
      <c r="R21" s="36"/>
      <c r="S21" s="124">
        <f>+(Q21/Q19)-1</f>
        <v>1.7757355343188008E-2</v>
      </c>
      <c r="T21" s="125"/>
    </row>
    <row r="22" spans="1:21" ht="12.75">
      <c r="A22" s="36"/>
      <c r="B22" s="67"/>
      <c r="C22" s="36"/>
      <c r="D22" s="67"/>
      <c r="E22" s="122"/>
      <c r="F22" s="122"/>
      <c r="G22" s="122"/>
      <c r="H22" s="122"/>
      <c r="I22" s="122"/>
      <c r="J22" s="123"/>
      <c r="K22" s="122"/>
      <c r="L22" s="122"/>
      <c r="M22" s="122"/>
      <c r="N22" s="122"/>
      <c r="O22" s="122"/>
      <c r="P22" s="122"/>
      <c r="Q22" s="122"/>
      <c r="R22" s="36"/>
      <c r="S22" s="124"/>
      <c r="T22" s="125"/>
    </row>
    <row r="23" spans="1:21" ht="12.75">
      <c r="A23" s="36">
        <v>4</v>
      </c>
      <c r="B23" s="67"/>
      <c r="C23" s="36">
        <v>2018</v>
      </c>
      <c r="D23" s="67"/>
      <c r="E23" s="122">
        <f>G21</f>
        <v>888</v>
      </c>
      <c r="F23" s="122"/>
      <c r="G23" s="122">
        <f>Sales2019!F39</f>
        <v>882</v>
      </c>
      <c r="H23" s="122"/>
      <c r="I23" s="122">
        <f>+(E23+G23)/2</f>
        <v>885</v>
      </c>
      <c r="J23" s="123"/>
      <c r="K23" s="122">
        <f>Sales2019!E39</f>
        <v>14937445</v>
      </c>
      <c r="L23" s="122"/>
      <c r="M23" s="122">
        <f>+K23/I23</f>
        <v>16878.468926553673</v>
      </c>
      <c r="N23" s="122"/>
      <c r="O23" s="122">
        <f>Sales2019!E35</f>
        <v>19292015</v>
      </c>
      <c r="P23" s="122"/>
      <c r="Q23" s="122">
        <f>+O23/M23</f>
        <v>1142.9955574731823</v>
      </c>
      <c r="R23" s="36"/>
      <c r="S23" s="124">
        <f>+(Q23/Q21)-1</f>
        <v>1.0310073880961834E-2</v>
      </c>
      <c r="T23" s="125"/>
    </row>
    <row r="24" spans="1:21" ht="12.75">
      <c r="A24" s="36"/>
      <c r="B24" s="67"/>
      <c r="C24" s="36"/>
      <c r="D24" s="67"/>
      <c r="E24" s="122"/>
      <c r="F24" s="122"/>
      <c r="G24" s="122"/>
      <c r="H24" s="122"/>
      <c r="I24" s="122"/>
      <c r="J24" s="123"/>
      <c r="K24" s="122"/>
      <c r="L24" s="122"/>
      <c r="M24" s="122"/>
      <c r="N24" s="122"/>
      <c r="O24" s="122"/>
      <c r="P24" s="122"/>
      <c r="Q24" s="122"/>
      <c r="R24" s="36"/>
      <c r="S24" s="124"/>
      <c r="T24" s="125"/>
    </row>
    <row r="25" spans="1:21" ht="12.75">
      <c r="A25" s="36">
        <v>5</v>
      </c>
      <c r="B25" s="67"/>
      <c r="C25" s="36">
        <v>2019</v>
      </c>
      <c r="D25" s="67"/>
      <c r="E25" s="122">
        <f>G23</f>
        <v>882</v>
      </c>
      <c r="F25" s="122"/>
      <c r="G25" s="122">
        <f>Sales2019!F20</f>
        <v>900</v>
      </c>
      <c r="H25" s="122"/>
      <c r="I25" s="122">
        <f>+(E25+G25)/2</f>
        <v>891</v>
      </c>
      <c r="J25" s="123"/>
      <c r="K25" s="122">
        <f>Sales2019!E20</f>
        <v>16542478</v>
      </c>
      <c r="L25" s="122"/>
      <c r="M25" s="122">
        <f>+K25/I25</f>
        <v>18566.193041526374</v>
      </c>
      <c r="N25" s="122"/>
      <c r="O25" s="122">
        <f>Sales2019!E16</f>
        <v>20943668</v>
      </c>
      <c r="P25" s="122"/>
      <c r="Q25" s="122">
        <f>+O25/M25</f>
        <v>1128.0539824807383</v>
      </c>
      <c r="R25" s="36"/>
      <c r="S25" s="124">
        <f>+(Q25/Q23)-1</f>
        <v>-1.3072294896294467E-2</v>
      </c>
      <c r="T25" s="125"/>
      <c r="U25" s="173"/>
    </row>
    <row r="26" spans="1:21" ht="13.5" thickBot="1">
      <c r="A26" s="36"/>
      <c r="B26" s="67"/>
      <c r="C26" s="67"/>
      <c r="D26" s="67"/>
      <c r="E26" s="67"/>
      <c r="F26" s="67"/>
      <c r="G26" s="67"/>
      <c r="H26" s="67"/>
      <c r="I26" s="67"/>
      <c r="J26" s="67"/>
      <c r="K26" s="36"/>
      <c r="L26" s="36"/>
      <c r="M26" s="36"/>
      <c r="N26" s="36"/>
      <c r="O26" s="126" t="s">
        <v>20</v>
      </c>
      <c r="P26" s="36"/>
      <c r="Q26" s="36"/>
      <c r="R26" s="36"/>
      <c r="S26" s="127">
        <f>AVERAGE(S19:S25)</f>
        <v>1.2282746306332415E-3</v>
      </c>
      <c r="T26" s="125"/>
    </row>
    <row r="27" spans="1:21" ht="13.5" thickTop="1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</row>
    <row r="28" spans="1:21" ht="12.75">
      <c r="A28" s="25"/>
      <c r="B28" s="25"/>
      <c r="C28" s="25"/>
      <c r="D28" s="25"/>
      <c r="E28" s="25"/>
      <c r="F28" s="25"/>
      <c r="G28" s="25"/>
      <c r="H28" s="67" t="s">
        <v>127</v>
      </c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115"/>
    </row>
    <row r="29" spans="1:21" ht="12.75">
      <c r="A29" s="25"/>
      <c r="B29" s="25"/>
      <c r="C29" s="67"/>
      <c r="D29" s="25"/>
      <c r="E29" s="25"/>
      <c r="F29" s="25"/>
      <c r="G29" s="25"/>
      <c r="H29" s="67"/>
      <c r="I29" s="67"/>
      <c r="J29" s="67"/>
      <c r="K29" s="67"/>
      <c r="L29" s="67"/>
      <c r="M29" s="67"/>
      <c r="N29" s="67"/>
      <c r="O29" s="67"/>
      <c r="P29" s="130" t="s">
        <v>128</v>
      </c>
      <c r="Q29" s="137" t="s">
        <v>129</v>
      </c>
      <c r="R29" s="67"/>
      <c r="S29" s="67"/>
    </row>
    <row r="30" spans="1:21" ht="12.75">
      <c r="A30" s="25"/>
      <c r="B30" s="25"/>
      <c r="C30" s="67"/>
      <c r="D30" s="25"/>
      <c r="E30" s="25"/>
      <c r="F30" s="25"/>
      <c r="G30" s="25"/>
      <c r="H30" s="67"/>
      <c r="I30" s="67"/>
      <c r="J30" s="67" t="s">
        <v>130</v>
      </c>
      <c r="K30" s="67"/>
      <c r="L30" s="67"/>
      <c r="M30" s="67">
        <f>INTERCEPT(Q30:Q34,P30:P34)</f>
        <v>1114.8724006538853</v>
      </c>
      <c r="N30" s="67"/>
      <c r="O30" s="36"/>
      <c r="P30" s="67">
        <v>1</v>
      </c>
      <c r="Q30" s="122">
        <f>+Q17</f>
        <v>1122.9137603289525</v>
      </c>
      <c r="R30" s="67"/>
      <c r="S30" s="67"/>
    </row>
    <row r="31" spans="1:21" ht="12.75">
      <c r="A31" s="25"/>
      <c r="B31" s="25"/>
      <c r="C31" s="67"/>
      <c r="D31" s="25"/>
      <c r="E31" s="25"/>
      <c r="F31" s="25"/>
      <c r="G31" s="25"/>
      <c r="H31" s="67"/>
      <c r="I31" s="67"/>
      <c r="J31" s="67" t="s">
        <v>131</v>
      </c>
      <c r="K31" s="67"/>
      <c r="L31" s="67"/>
      <c r="M31" s="67">
        <f>SLOPE(Q30:Q34,P30:P34)</f>
        <v>4.1683498185727101</v>
      </c>
      <c r="N31" s="67"/>
      <c r="O31" s="67"/>
      <c r="P31" s="67">
        <v>2</v>
      </c>
      <c r="Q31" s="122">
        <f>+Q19</f>
        <v>1111.5925035910268</v>
      </c>
      <c r="R31" s="67"/>
      <c r="S31" s="67"/>
    </row>
    <row r="32" spans="1:21" ht="12.75">
      <c r="A32" s="25"/>
      <c r="B32" s="25"/>
      <c r="C32" s="25"/>
      <c r="D32" s="25"/>
      <c r="E32" s="25"/>
      <c r="F32" s="25"/>
      <c r="G32" s="25"/>
      <c r="H32" s="67"/>
      <c r="I32" s="67"/>
      <c r="J32" s="67" t="s">
        <v>132</v>
      </c>
      <c r="K32" s="67"/>
      <c r="L32" s="67"/>
      <c r="M32" s="67">
        <f>RSQ(Q30:Q34,P30:P34)</f>
        <v>0.32838667652556397</v>
      </c>
      <c r="N32" s="67"/>
      <c r="O32" s="67"/>
      <c r="P32" s="67">
        <v>3</v>
      </c>
      <c r="Q32" s="122">
        <f>+Q21</f>
        <v>1131.3314466741167</v>
      </c>
      <c r="R32" s="67"/>
      <c r="S32" s="67"/>
    </row>
    <row r="33" spans="1:19" ht="12.75">
      <c r="A33" s="24"/>
      <c r="B33" s="25"/>
      <c r="C33" s="25"/>
      <c r="D33" s="25"/>
      <c r="E33" s="25"/>
      <c r="F33" s="25"/>
      <c r="G33" s="25"/>
      <c r="H33" s="67"/>
      <c r="I33" s="67"/>
      <c r="J33" s="67"/>
      <c r="K33" s="67"/>
      <c r="L33" s="67"/>
      <c r="M33" s="67"/>
      <c r="N33" s="67"/>
      <c r="O33" s="67"/>
      <c r="P33" s="67">
        <v>4</v>
      </c>
      <c r="Q33" s="122">
        <f>+Q23</f>
        <v>1142.9955574731823</v>
      </c>
      <c r="R33" s="67"/>
      <c r="S33" s="67"/>
    </row>
    <row r="34" spans="1:19" ht="12.75">
      <c r="A34" s="24"/>
      <c r="B34" s="25"/>
      <c r="C34" s="25"/>
      <c r="D34" s="25"/>
      <c r="E34" s="25"/>
      <c r="F34" s="25"/>
      <c r="G34" s="25"/>
      <c r="H34" s="67"/>
      <c r="I34" s="67"/>
      <c r="J34" s="67"/>
      <c r="K34" s="67"/>
      <c r="L34" s="67"/>
      <c r="M34" s="134"/>
      <c r="N34" s="67"/>
      <c r="O34" s="67"/>
      <c r="P34" s="67">
        <v>5</v>
      </c>
      <c r="Q34" s="122">
        <f>+Q25</f>
        <v>1128.0539824807383</v>
      </c>
      <c r="R34" s="67"/>
      <c r="S34" s="67"/>
    </row>
    <row r="35" spans="1:19" ht="12.75">
      <c r="A35" s="24"/>
      <c r="B35" s="25"/>
      <c r="C35" s="25"/>
      <c r="D35" s="25"/>
      <c r="E35" s="25"/>
      <c r="F35" s="25"/>
      <c r="G35" s="25"/>
      <c r="H35" s="67"/>
      <c r="I35" s="67"/>
      <c r="J35" s="67"/>
      <c r="K35" s="67"/>
      <c r="L35" s="67"/>
      <c r="M35" s="134"/>
      <c r="N35" s="67"/>
      <c r="O35" s="67"/>
      <c r="P35" s="67">
        <v>10</v>
      </c>
      <c r="Q35" s="138">
        <f>M30+P35*M31</f>
        <v>1156.5558988396124</v>
      </c>
      <c r="R35" s="67"/>
      <c r="S35" s="67"/>
    </row>
    <row r="36" spans="1:19" ht="12.75">
      <c r="A36" s="24"/>
      <c r="B36" s="25"/>
      <c r="C36" s="25"/>
      <c r="D36" s="25"/>
      <c r="E36" s="25"/>
      <c r="F36" s="25"/>
      <c r="G36" s="25"/>
      <c r="H36" s="67"/>
      <c r="I36" s="67"/>
      <c r="J36" s="67"/>
      <c r="K36" s="67"/>
      <c r="L36" s="67"/>
      <c r="M36" s="134"/>
      <c r="N36" s="67"/>
      <c r="O36" s="67"/>
      <c r="P36" s="67"/>
      <c r="Q36" s="67"/>
      <c r="R36" s="67"/>
      <c r="S36" s="67"/>
    </row>
    <row r="37" spans="1:19" ht="12.75">
      <c r="A37" s="24"/>
      <c r="B37" s="25"/>
      <c r="C37" s="25"/>
      <c r="D37" s="25"/>
      <c r="E37" s="25"/>
      <c r="F37" s="25"/>
      <c r="G37" s="25"/>
      <c r="H37" s="67"/>
      <c r="I37" s="67"/>
      <c r="J37" s="67"/>
      <c r="K37" s="67" t="s">
        <v>133</v>
      </c>
      <c r="L37" s="67"/>
      <c r="M37" s="134"/>
      <c r="N37" s="67"/>
      <c r="O37" s="67"/>
      <c r="P37" s="67"/>
      <c r="Q37" s="135">
        <f>Q35-Q34</f>
        <v>28.501916358874041</v>
      </c>
      <c r="R37" s="67" t="s">
        <v>135</v>
      </c>
      <c r="S37" s="67"/>
    </row>
    <row r="38" spans="1:19" ht="12.75">
      <c r="A38" s="24"/>
      <c r="B38" s="25"/>
      <c r="C38" s="25"/>
      <c r="D38" s="25"/>
      <c r="E38" s="25"/>
      <c r="F38" s="25"/>
      <c r="G38" s="25"/>
      <c r="H38" s="67"/>
      <c r="I38" s="67"/>
      <c r="J38" s="67"/>
      <c r="K38" s="67" t="s">
        <v>134</v>
      </c>
      <c r="L38" s="67"/>
      <c r="M38" s="134"/>
      <c r="N38" s="67"/>
      <c r="O38" s="67"/>
      <c r="P38" s="67"/>
      <c r="Q38" s="114">
        <f>Q37/5</f>
        <v>5.7003832717748084</v>
      </c>
      <c r="R38" s="67" t="s">
        <v>135</v>
      </c>
      <c r="S38" s="67"/>
    </row>
    <row r="39" spans="1:19" ht="15.75">
      <c r="A39" s="29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9"/>
      <c r="N39" s="28"/>
      <c r="O39" s="28"/>
      <c r="P39" s="28"/>
      <c r="Q39" s="28"/>
      <c r="R39" s="28"/>
      <c r="S39" s="28"/>
    </row>
    <row r="40" spans="1:19" ht="12.75">
      <c r="A40" s="24"/>
      <c r="B40" s="25"/>
      <c r="C40" s="25"/>
      <c r="D40" s="25"/>
      <c r="E40" s="25"/>
      <c r="F40" s="25"/>
      <c r="G40" s="25"/>
      <c r="H40" s="25"/>
      <c r="I40" s="67" t="s">
        <v>301</v>
      </c>
      <c r="J40" s="67"/>
      <c r="K40" s="67"/>
      <c r="L40" s="67"/>
      <c r="M40" s="134"/>
      <c r="N40" s="67"/>
      <c r="O40" s="67"/>
      <c r="P40" s="67"/>
      <c r="Q40" s="67"/>
      <c r="R40" s="67"/>
      <c r="S40" s="67"/>
    </row>
    <row r="41" spans="1:19" ht="12.75">
      <c r="A41" s="24"/>
      <c r="B41" s="25"/>
      <c r="C41" s="25"/>
      <c r="D41" s="25"/>
      <c r="E41" s="25"/>
      <c r="F41" s="25"/>
      <c r="G41" s="25"/>
      <c r="H41" s="25"/>
      <c r="I41" s="67"/>
      <c r="J41" s="67"/>
      <c r="K41" s="67"/>
      <c r="L41" s="67"/>
      <c r="M41" s="134"/>
      <c r="N41" s="67"/>
      <c r="O41" s="67"/>
      <c r="P41" s="67"/>
      <c r="Q41" s="67"/>
      <c r="R41" s="67"/>
      <c r="S41" s="67"/>
    </row>
    <row r="42" spans="1:19" ht="12.75">
      <c r="A42" s="24"/>
      <c r="B42" s="25"/>
      <c r="C42" s="25"/>
      <c r="D42" s="25"/>
      <c r="E42" s="25"/>
      <c r="F42" s="25"/>
      <c r="G42" s="25"/>
      <c r="H42" s="25"/>
      <c r="I42" s="67"/>
      <c r="J42" s="67"/>
      <c r="K42" s="67" t="s">
        <v>133</v>
      </c>
      <c r="L42" s="67"/>
      <c r="M42" s="134"/>
      <c r="N42" s="67"/>
      <c r="O42" s="67"/>
      <c r="P42" s="67"/>
      <c r="Q42" s="136">
        <f>Q43*5</f>
        <v>6.9278004433294296</v>
      </c>
      <c r="R42" s="67" t="s">
        <v>135</v>
      </c>
      <c r="S42" s="67"/>
    </row>
    <row r="43" spans="1:19" ht="12.75">
      <c r="A43" s="24"/>
      <c r="B43" s="25"/>
      <c r="C43" s="25"/>
      <c r="D43" s="25"/>
      <c r="E43" s="25"/>
      <c r="F43" s="25"/>
      <c r="G43" s="25"/>
      <c r="H43" s="25"/>
      <c r="I43" s="67"/>
      <c r="J43" s="67"/>
      <c r="K43" s="67" t="s">
        <v>388</v>
      </c>
      <c r="L43" s="67"/>
      <c r="M43" s="134"/>
      <c r="N43" s="67"/>
      <c r="O43" s="67"/>
      <c r="P43" s="67"/>
      <c r="Q43" s="114">
        <f>Q25*S26</f>
        <v>1.3855600886658859</v>
      </c>
      <c r="R43" s="67" t="s">
        <v>135</v>
      </c>
      <c r="S43" s="67"/>
    </row>
    <row r="44" spans="1:19" ht="12.75">
      <c r="A44" s="24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4"/>
      <c r="N44" s="25"/>
      <c r="O44" s="25"/>
      <c r="P44" s="25"/>
      <c r="Q44" s="25"/>
      <c r="R44" s="25"/>
      <c r="S44" s="25"/>
    </row>
    <row r="45" spans="1:19" ht="12.75">
      <c r="A45" s="24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4"/>
      <c r="N45" s="25"/>
      <c r="O45" s="25"/>
      <c r="P45" s="25"/>
      <c r="Q45" s="25"/>
      <c r="R45" s="25"/>
      <c r="S45" s="25"/>
    </row>
    <row r="46" spans="1:19" ht="12.75">
      <c r="A46" s="24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4"/>
      <c r="N46" s="25"/>
      <c r="O46" s="25"/>
      <c r="P46" s="25"/>
      <c r="Q46" s="25"/>
      <c r="R46" s="25"/>
      <c r="S46" s="25"/>
    </row>
    <row r="47" spans="1:19" ht="12.75">
      <c r="A47" s="24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4"/>
      <c r="N47" s="25"/>
      <c r="O47" s="25"/>
      <c r="P47" s="25"/>
      <c r="Q47" s="25"/>
      <c r="R47" s="25"/>
      <c r="S47" s="25"/>
    </row>
    <row r="48" spans="1:19" ht="12.75">
      <c r="A48" s="24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4"/>
      <c r="N48" s="25"/>
      <c r="O48" s="25"/>
      <c r="P48" s="25"/>
      <c r="Q48" s="25"/>
      <c r="R48" s="25"/>
      <c r="S48" s="25"/>
    </row>
    <row r="49" spans="1:13" ht="24">
      <c r="A49" s="1"/>
      <c r="K49" s="23"/>
      <c r="M49" s="1"/>
    </row>
    <row r="50" spans="1:13">
      <c r="A50" s="1"/>
      <c r="M50" s="1"/>
    </row>
    <row r="51" spans="1:13">
      <c r="A51" s="1"/>
      <c r="M51" s="1"/>
    </row>
    <row r="52" spans="1:13">
      <c r="A52" s="1"/>
      <c r="M52" s="1"/>
    </row>
    <row r="53" spans="1:13">
      <c r="A53" s="1"/>
      <c r="M53" s="1"/>
    </row>
    <row r="54" spans="1:13">
      <c r="A54" s="1"/>
      <c r="M54" s="1"/>
    </row>
    <row r="55" spans="1:13">
      <c r="A55" s="1"/>
      <c r="M55" s="1"/>
    </row>
    <row r="56" spans="1:13">
      <c r="A56" s="1"/>
      <c r="M56" s="1"/>
    </row>
    <row r="57" spans="1:13">
      <c r="A57" s="1"/>
      <c r="M57" s="1"/>
    </row>
    <row r="58" spans="1:13" ht="18.75">
      <c r="A58" s="1"/>
      <c r="K58" s="6"/>
      <c r="L58" s="21"/>
    </row>
    <row r="59" spans="1:13">
      <c r="A59" s="1"/>
      <c r="M59" s="1"/>
    </row>
    <row r="60" spans="1:13">
      <c r="A60" s="1"/>
      <c r="M60" s="1"/>
    </row>
  </sheetData>
  <mergeCells count="1">
    <mergeCell ref="E12:I12"/>
  </mergeCells>
  <phoneticPr fontId="9" type="noConversion"/>
  <pageMargins left="0.75" right="0.5" top="1" bottom="1" header="0.5" footer="0.5"/>
  <pageSetup scale="77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T59"/>
  <sheetViews>
    <sheetView showGridLines="0" topLeftCell="A24" workbookViewId="0">
      <selection activeCell="U4" sqref="U4"/>
    </sheetView>
  </sheetViews>
  <sheetFormatPr defaultColWidth="10.7109375" defaultRowHeight="12"/>
  <cols>
    <col min="1" max="1" width="3.7109375" style="2" customWidth="1"/>
    <col min="2" max="2" width="1.7109375" style="2" customWidth="1"/>
    <col min="3" max="3" width="8.7109375" style="2" customWidth="1"/>
    <col min="4" max="4" width="1.7109375" style="2" customWidth="1"/>
    <col min="5" max="5" width="8.7109375" style="2" customWidth="1"/>
    <col min="6" max="6" width="1.7109375" style="2" customWidth="1"/>
    <col min="7" max="7" width="8.7109375" style="2" customWidth="1"/>
    <col min="8" max="8" width="1.7109375" style="2" customWidth="1"/>
    <col min="9" max="9" width="8.7109375" style="2" customWidth="1"/>
    <col min="10" max="10" width="1.7109375" style="2" customWidth="1"/>
    <col min="11" max="11" width="17.28515625" style="2" customWidth="1"/>
    <col min="12" max="12" width="1.7109375" style="2" customWidth="1"/>
    <col min="13" max="13" width="11.7109375" style="2" customWidth="1"/>
    <col min="14" max="14" width="1.7109375" style="2" customWidth="1"/>
    <col min="15" max="15" width="19.42578125" style="2" customWidth="1"/>
    <col min="16" max="16" width="4" style="2" customWidth="1"/>
    <col min="17" max="17" width="8.7109375" style="2" customWidth="1"/>
    <col min="18" max="18" width="1.7109375" style="2" customWidth="1"/>
    <col min="19" max="205" width="8.7109375" style="2" customWidth="1"/>
    <col min="206" max="16384" width="10.7109375" style="2"/>
  </cols>
  <sheetData>
    <row r="1" spans="1:19" ht="12.75">
      <c r="A1" s="134" t="s">
        <v>186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134" t="s">
        <v>48</v>
      </c>
      <c r="N1" s="67"/>
      <c r="O1" s="67"/>
      <c r="P1" s="67"/>
      <c r="Q1" s="67"/>
      <c r="R1" s="67"/>
      <c r="S1" s="67"/>
    </row>
    <row r="2" spans="1:19" ht="12.75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</row>
    <row r="3" spans="1:19" ht="12.75">
      <c r="A3" s="134" t="str">
        <f>'F 1'!A4</f>
        <v xml:space="preserve">Company:  Utilities, Inc. of Florida - Labrador 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134" t="s">
        <v>2</v>
      </c>
      <c r="N3" s="67"/>
      <c r="O3" s="67"/>
      <c r="P3" s="67"/>
      <c r="Q3" s="67"/>
      <c r="R3" s="67"/>
      <c r="S3" s="67"/>
    </row>
    <row r="4" spans="1:19" ht="12.75">
      <c r="A4" s="134" t="str">
        <f>'F 1'!A5</f>
        <v>Docket No.: 20200139-WS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134" t="s">
        <v>51</v>
      </c>
      <c r="N4" s="67"/>
      <c r="O4" s="67"/>
      <c r="P4" s="67"/>
      <c r="Q4" s="67"/>
      <c r="R4" s="67"/>
      <c r="S4" s="67"/>
    </row>
    <row r="5" spans="1:19" ht="12.75">
      <c r="A5" s="134" t="str">
        <f>'F 1'!A6</f>
        <v>Test Year Ended:  December 31, 2019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134" t="str">
        <f>'F 1'!J5</f>
        <v>Preparer:  Seidman, F.</v>
      </c>
      <c r="N5" s="67"/>
      <c r="O5" s="67"/>
      <c r="P5" s="67"/>
      <c r="Q5" s="67"/>
      <c r="R5" s="67"/>
      <c r="S5" s="67"/>
    </row>
    <row r="6" spans="1:19" ht="12.75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</row>
    <row r="7" spans="1:19" ht="12.75">
      <c r="A7" s="134" t="s">
        <v>115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</row>
    <row r="8" spans="1:19" ht="12.75">
      <c r="A8" s="134" t="s">
        <v>0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</row>
    <row r="9" spans="1:19" ht="12.75">
      <c r="A9" s="134" t="s">
        <v>1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</row>
    <row r="10" spans="1:19" customFormat="1" ht="12.75">
      <c r="A10" s="159"/>
      <c r="B10" s="159"/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</row>
    <row r="11" spans="1:19" ht="12.75">
      <c r="A11" s="67"/>
      <c r="B11" s="67"/>
      <c r="C11" s="312" t="s">
        <v>57</v>
      </c>
      <c r="D11" s="67"/>
      <c r="E11" s="312" t="s">
        <v>58</v>
      </c>
      <c r="F11" s="67"/>
      <c r="G11" s="312" t="s">
        <v>59</v>
      </c>
      <c r="H11" s="36"/>
      <c r="I11" s="312" t="s">
        <v>60</v>
      </c>
      <c r="J11" s="67"/>
      <c r="K11" s="312" t="s">
        <v>61</v>
      </c>
      <c r="L11" s="36"/>
      <c r="M11" s="312" t="s">
        <v>62</v>
      </c>
      <c r="N11" s="36"/>
      <c r="O11" s="312" t="s">
        <v>12</v>
      </c>
      <c r="P11" s="36"/>
      <c r="Q11" s="312" t="s">
        <v>13</v>
      </c>
      <c r="R11" s="36"/>
      <c r="S11" s="312" t="s">
        <v>16</v>
      </c>
    </row>
    <row r="12" spans="1:19" ht="12.75">
      <c r="A12" s="67"/>
      <c r="B12" s="67"/>
      <c r="C12" s="36"/>
      <c r="D12" s="67"/>
      <c r="E12" s="322" t="s">
        <v>5</v>
      </c>
      <c r="F12" s="322"/>
      <c r="G12" s="322"/>
      <c r="H12" s="322"/>
      <c r="I12" s="322"/>
      <c r="J12" s="67"/>
      <c r="K12" s="36" t="s">
        <v>9</v>
      </c>
      <c r="L12" s="36"/>
      <c r="M12" s="36" t="s">
        <v>10</v>
      </c>
      <c r="N12" s="36"/>
      <c r="O12" s="36" t="s">
        <v>76</v>
      </c>
      <c r="P12" s="36"/>
      <c r="Q12" s="36" t="s">
        <v>76</v>
      </c>
      <c r="R12" s="36"/>
      <c r="S12" s="36" t="s">
        <v>17</v>
      </c>
    </row>
    <row r="13" spans="1:19" ht="12.75">
      <c r="A13" s="67" t="s">
        <v>3</v>
      </c>
      <c r="B13" s="67"/>
      <c r="C13" s="36"/>
      <c r="D13" s="67"/>
      <c r="E13" s="159"/>
      <c r="F13" s="159"/>
      <c r="G13" s="159"/>
      <c r="H13" s="159"/>
      <c r="I13" s="159"/>
      <c r="J13" s="67"/>
      <c r="K13" s="36" t="s">
        <v>67</v>
      </c>
      <c r="L13" s="36"/>
      <c r="M13" s="36" t="s">
        <v>9</v>
      </c>
      <c r="N13" s="36"/>
      <c r="O13" s="36" t="s">
        <v>67</v>
      </c>
      <c r="P13" s="36"/>
      <c r="Q13" s="36" t="s">
        <v>14</v>
      </c>
      <c r="R13" s="36"/>
      <c r="S13" s="36" t="s">
        <v>18</v>
      </c>
    </row>
    <row r="14" spans="1:19" ht="12.75">
      <c r="A14" s="67" t="s">
        <v>4</v>
      </c>
      <c r="B14" s="67"/>
      <c r="C14" s="36" t="s">
        <v>70</v>
      </c>
      <c r="D14" s="67"/>
      <c r="E14" s="36" t="s">
        <v>6</v>
      </c>
      <c r="F14" s="36"/>
      <c r="G14" s="36" t="s">
        <v>7</v>
      </c>
      <c r="H14" s="36"/>
      <c r="I14" s="36" t="s">
        <v>8</v>
      </c>
      <c r="J14" s="67"/>
      <c r="K14" s="36" t="s">
        <v>73</v>
      </c>
      <c r="L14" s="36"/>
      <c r="M14" s="36" t="s">
        <v>11</v>
      </c>
      <c r="N14" s="36"/>
      <c r="O14" s="36" t="s">
        <v>73</v>
      </c>
      <c r="P14" s="36"/>
      <c r="Q14" s="36" t="s">
        <v>15</v>
      </c>
      <c r="R14" s="36"/>
      <c r="S14" s="36" t="s">
        <v>19</v>
      </c>
    </row>
    <row r="15" spans="1:19" ht="12.75">
      <c r="A15" s="66"/>
      <c r="B15" s="25"/>
      <c r="C15" s="59"/>
      <c r="D15" s="25"/>
      <c r="E15" s="66"/>
      <c r="F15" s="25"/>
      <c r="G15" s="66"/>
      <c r="H15" s="25"/>
      <c r="I15" s="66"/>
      <c r="J15" s="25"/>
      <c r="K15" s="59"/>
      <c r="L15" s="120"/>
      <c r="M15" s="59"/>
      <c r="N15" s="120"/>
      <c r="O15" s="59"/>
      <c r="P15" s="120"/>
      <c r="Q15" s="59"/>
      <c r="R15" s="120"/>
      <c r="S15" s="59"/>
    </row>
    <row r="16" spans="1:19" ht="12.75">
      <c r="A16" s="25"/>
      <c r="B16" s="25"/>
      <c r="C16" s="120"/>
      <c r="D16" s="25"/>
      <c r="E16" s="25"/>
      <c r="F16" s="25"/>
      <c r="G16" s="25"/>
      <c r="H16" s="25"/>
      <c r="I16" s="25"/>
      <c r="J16" s="25"/>
      <c r="K16" s="120"/>
      <c r="L16" s="120"/>
      <c r="M16" s="120"/>
      <c r="N16" s="120"/>
      <c r="O16" s="120"/>
      <c r="P16" s="120"/>
      <c r="Q16" s="120"/>
      <c r="R16" s="120"/>
      <c r="S16" s="120"/>
    </row>
    <row r="17" spans="1:20" ht="12.75">
      <c r="A17" s="36">
        <v>1</v>
      </c>
      <c r="B17" s="67"/>
      <c r="C17" s="36">
        <v>2015</v>
      </c>
      <c r="D17" s="67"/>
      <c r="E17" s="122">
        <f>Sales2019!G100</f>
        <v>879</v>
      </c>
      <c r="F17" s="122"/>
      <c r="G17" s="122">
        <f>Sales2019!F100</f>
        <v>893</v>
      </c>
      <c r="H17" s="122"/>
      <c r="I17" s="122">
        <f>+(E17+G17)/2</f>
        <v>886</v>
      </c>
      <c r="J17" s="123"/>
      <c r="K17" s="122">
        <f>Sales2019!E100</f>
        <v>13571318</v>
      </c>
      <c r="L17" s="122"/>
      <c r="M17" s="122">
        <f>+K17/I17</f>
        <v>15317.514672686229</v>
      </c>
      <c r="N17" s="122"/>
      <c r="O17" s="122">
        <f>Sales2019!E96</f>
        <v>16556448</v>
      </c>
      <c r="P17" s="122"/>
      <c r="Q17" s="122">
        <f>+O17/M17</f>
        <v>1080.8834431556318</v>
      </c>
      <c r="R17" s="36"/>
      <c r="S17" s="124"/>
      <c r="T17" s="125"/>
    </row>
    <row r="18" spans="1:20" ht="12.75">
      <c r="A18" s="36"/>
      <c r="B18" s="67"/>
      <c r="C18" s="36"/>
      <c r="D18" s="67"/>
      <c r="E18" s="122"/>
      <c r="F18" s="122"/>
      <c r="G18" s="122"/>
      <c r="H18" s="122"/>
      <c r="I18" s="122"/>
      <c r="J18" s="123"/>
      <c r="K18" s="122"/>
      <c r="L18" s="122"/>
      <c r="M18" s="122"/>
      <c r="N18" s="122"/>
      <c r="O18" s="122"/>
      <c r="P18" s="122"/>
      <c r="Q18" s="122"/>
      <c r="R18" s="36"/>
      <c r="S18" s="124"/>
      <c r="T18" s="125"/>
    </row>
    <row r="19" spans="1:20" ht="12.75">
      <c r="A19" s="36">
        <v>2</v>
      </c>
      <c r="B19" s="67"/>
      <c r="C19" s="36">
        <v>2016</v>
      </c>
      <c r="D19" s="67"/>
      <c r="E19" s="122">
        <f>G17</f>
        <v>893</v>
      </c>
      <c r="F19" s="122"/>
      <c r="G19" s="122">
        <f>Sales2019!F80</f>
        <v>883</v>
      </c>
      <c r="H19" s="72"/>
      <c r="I19" s="122">
        <f>+(E19+G19)/2</f>
        <v>888</v>
      </c>
      <c r="J19" s="123"/>
      <c r="K19" s="122">
        <f>Sales2019!E80</f>
        <v>13001852</v>
      </c>
      <c r="L19" s="122"/>
      <c r="M19" s="122">
        <f>+K19/I19</f>
        <v>14641.725225225226</v>
      </c>
      <c r="N19" s="122"/>
      <c r="O19" s="122">
        <f>Sales2019!E76</f>
        <v>15501572</v>
      </c>
      <c r="P19" s="122"/>
      <c r="Q19" s="122">
        <f>+O19/M19</f>
        <v>1058.725782757718</v>
      </c>
      <c r="R19" s="36"/>
      <c r="S19" s="124">
        <f>+(Q19/Q17)-1</f>
        <v>-2.0499583501089269E-2</v>
      </c>
      <c r="T19" s="125"/>
    </row>
    <row r="20" spans="1:20" ht="12.75">
      <c r="A20" s="36"/>
      <c r="B20" s="67"/>
      <c r="C20" s="36"/>
      <c r="D20" s="67"/>
      <c r="E20" s="122"/>
      <c r="F20" s="122"/>
      <c r="G20" s="122"/>
      <c r="H20" s="122"/>
      <c r="I20" s="122"/>
      <c r="J20" s="123"/>
      <c r="K20" s="122"/>
      <c r="L20" s="122"/>
      <c r="M20" s="122"/>
      <c r="N20" s="122"/>
      <c r="O20" s="122"/>
      <c r="P20" s="122"/>
      <c r="Q20" s="122"/>
      <c r="R20" s="36"/>
      <c r="S20" s="124"/>
      <c r="T20" s="125"/>
    </row>
    <row r="21" spans="1:20" ht="12.75">
      <c r="A21" s="36">
        <v>3</v>
      </c>
      <c r="B21" s="67"/>
      <c r="C21" s="36">
        <v>2017</v>
      </c>
      <c r="D21" s="67"/>
      <c r="E21" s="122">
        <f>G19</f>
        <v>883</v>
      </c>
      <c r="F21" s="122"/>
      <c r="G21" s="122">
        <f>Sales2019!F60</f>
        <v>888</v>
      </c>
      <c r="H21" s="122"/>
      <c r="I21" s="122">
        <f>+(E21+G21)/2</f>
        <v>885.5</v>
      </c>
      <c r="J21" s="123"/>
      <c r="K21" s="122">
        <f>Sales2019!E60</f>
        <v>12924521</v>
      </c>
      <c r="L21" s="122"/>
      <c r="M21" s="122">
        <f>+K21/I21</f>
        <v>14595.73235460192</v>
      </c>
      <c r="N21" s="122"/>
      <c r="O21" s="122">
        <f>Sales2019!E56</f>
        <v>15643081</v>
      </c>
      <c r="P21" s="122"/>
      <c r="Q21" s="122">
        <f>+O21/M21</f>
        <v>1071.7571835350802</v>
      </c>
      <c r="R21" s="36"/>
      <c r="S21" s="124">
        <f>+(Q21/Q19)-1</f>
        <v>1.2308570348989356E-2</v>
      </c>
      <c r="T21" s="125"/>
    </row>
    <row r="22" spans="1:20" ht="12.75">
      <c r="A22" s="36"/>
      <c r="B22" s="67"/>
      <c r="C22" s="36"/>
      <c r="D22" s="67"/>
      <c r="E22" s="122"/>
      <c r="F22" s="122"/>
      <c r="G22" s="122"/>
      <c r="H22" s="122"/>
      <c r="I22" s="122"/>
      <c r="J22" s="123"/>
      <c r="K22" s="122"/>
      <c r="L22" s="122"/>
      <c r="M22" s="122"/>
      <c r="N22" s="122"/>
      <c r="O22" s="122"/>
      <c r="P22" s="122"/>
      <c r="Q22" s="122"/>
      <c r="R22" s="36"/>
      <c r="S22" s="124"/>
      <c r="T22" s="125"/>
    </row>
    <row r="23" spans="1:20" ht="12.75">
      <c r="A23" s="36">
        <v>4</v>
      </c>
      <c r="B23" s="67"/>
      <c r="C23" s="36">
        <v>2018</v>
      </c>
      <c r="D23" s="67"/>
      <c r="E23" s="122">
        <f>G21</f>
        <v>888</v>
      </c>
      <c r="F23" s="122"/>
      <c r="G23" s="122">
        <f>Sales2019!F40</f>
        <v>882</v>
      </c>
      <c r="H23" s="122"/>
      <c r="I23" s="122">
        <f>+(E23+G23)/2</f>
        <v>885</v>
      </c>
      <c r="J23" s="123"/>
      <c r="K23" s="122">
        <f>Sales2019!E40</f>
        <v>14937445</v>
      </c>
      <c r="L23" s="122"/>
      <c r="M23" s="122">
        <f>+K23/I23</f>
        <v>16878.468926553673</v>
      </c>
      <c r="N23" s="122"/>
      <c r="O23" s="122">
        <f>Sales2019!E36</f>
        <v>18412985</v>
      </c>
      <c r="P23" s="122"/>
      <c r="Q23" s="122">
        <f>+O23/M23</f>
        <v>1090.9155966766739</v>
      </c>
      <c r="R23" s="36"/>
      <c r="S23" s="124">
        <f>+(Q23/Q21)-1</f>
        <v>1.7875703037885549E-2</v>
      </c>
      <c r="T23" s="125"/>
    </row>
    <row r="24" spans="1:20" ht="12.75">
      <c r="A24" s="36"/>
      <c r="B24" s="67"/>
      <c r="C24" s="36"/>
      <c r="D24" s="67"/>
      <c r="E24" s="122"/>
      <c r="F24" s="122"/>
      <c r="G24" s="122"/>
      <c r="H24" s="122"/>
      <c r="I24" s="122"/>
      <c r="J24" s="123"/>
      <c r="K24" s="122"/>
      <c r="L24" s="122"/>
      <c r="M24" s="122"/>
      <c r="N24" s="122"/>
      <c r="O24" s="122"/>
      <c r="P24" s="122"/>
      <c r="Q24" s="122"/>
      <c r="R24" s="36"/>
      <c r="S24" s="124"/>
      <c r="T24" s="125"/>
    </row>
    <row r="25" spans="1:20" ht="12.75">
      <c r="A25" s="36">
        <v>5</v>
      </c>
      <c r="B25" s="67"/>
      <c r="C25" s="36">
        <v>2019</v>
      </c>
      <c r="D25" s="67"/>
      <c r="E25" s="122">
        <f>G23</f>
        <v>882</v>
      </c>
      <c r="F25" s="122"/>
      <c r="G25" s="122">
        <f>Sales2019!F21</f>
        <v>900</v>
      </c>
      <c r="H25" s="122"/>
      <c r="I25" s="122">
        <f>+(E25+G25)/2</f>
        <v>891</v>
      </c>
      <c r="J25" s="123"/>
      <c r="K25" s="122">
        <f>Sales2019!E21</f>
        <v>16542478</v>
      </c>
      <c r="L25" s="122"/>
      <c r="M25" s="122">
        <f>+K25/I25</f>
        <v>18566.193041526374</v>
      </c>
      <c r="N25" s="122"/>
      <c r="O25" s="122">
        <f>Sales2019!E17</f>
        <v>20172418</v>
      </c>
      <c r="P25" s="122"/>
      <c r="Q25" s="122">
        <f>+O25/M25</f>
        <v>1086.5134254976795</v>
      </c>
      <c r="R25" s="36"/>
      <c r="S25" s="124">
        <f>+(Q25/Q23)-1</f>
        <v>-4.0352995157508786E-3</v>
      </c>
      <c r="T25" s="125"/>
    </row>
    <row r="26" spans="1:20" ht="13.5" thickBot="1">
      <c r="A26" s="36"/>
      <c r="B26" s="67"/>
      <c r="C26" s="67"/>
      <c r="D26" s="67"/>
      <c r="E26" s="67"/>
      <c r="F26" s="67"/>
      <c r="G26" s="67"/>
      <c r="H26" s="67"/>
      <c r="I26" s="67"/>
      <c r="J26" s="67"/>
      <c r="K26" s="36"/>
      <c r="L26" s="36"/>
      <c r="M26" s="36"/>
      <c r="N26" s="36"/>
      <c r="O26" s="126" t="s">
        <v>20</v>
      </c>
      <c r="P26" s="36"/>
      <c r="Q26" s="36"/>
      <c r="R26" s="36"/>
      <c r="S26" s="127">
        <f>AVERAGE(S19:S25)</f>
        <v>1.4123475925086892E-3</v>
      </c>
      <c r="T26" s="125"/>
    </row>
    <row r="27" spans="1:20" ht="13.5" thickTop="1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</row>
    <row r="28" spans="1:20" ht="12.75">
      <c r="A28" s="25"/>
      <c r="B28" s="25"/>
      <c r="C28" s="25"/>
      <c r="D28" s="25"/>
      <c r="E28" s="25"/>
      <c r="F28" s="25"/>
      <c r="G28" s="25"/>
      <c r="H28" s="67" t="s">
        <v>127</v>
      </c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115"/>
    </row>
    <row r="29" spans="1:20" ht="12.75">
      <c r="A29" s="25"/>
      <c r="B29" s="25"/>
      <c r="C29" s="67"/>
      <c r="D29" s="25"/>
      <c r="E29" s="25"/>
      <c r="F29" s="25"/>
      <c r="G29" s="25"/>
      <c r="H29" s="67"/>
      <c r="I29" s="67"/>
      <c r="J29" s="67"/>
      <c r="K29" s="67"/>
      <c r="L29" s="67"/>
      <c r="M29" s="67"/>
      <c r="N29" s="67"/>
      <c r="O29" s="67"/>
      <c r="P29" s="130" t="s">
        <v>128</v>
      </c>
      <c r="Q29" s="137" t="s">
        <v>129</v>
      </c>
      <c r="R29" s="67"/>
      <c r="S29" s="67"/>
    </row>
    <row r="30" spans="1:20" ht="12.75">
      <c r="A30" s="25"/>
      <c r="B30" s="25"/>
      <c r="C30" s="67"/>
      <c r="D30" s="25"/>
      <c r="E30" s="25"/>
      <c r="F30" s="25"/>
      <c r="G30" s="25"/>
      <c r="H30" s="67"/>
      <c r="I30" s="67"/>
      <c r="J30" s="67" t="s">
        <v>130</v>
      </c>
      <c r="K30" s="67"/>
      <c r="L30" s="67"/>
      <c r="M30" s="67">
        <f>INTERCEPT(Q30:Q34,P30:P34)</f>
        <v>1064.7241527436413</v>
      </c>
      <c r="N30" s="67"/>
      <c r="O30" s="36"/>
      <c r="P30" s="67">
        <v>1</v>
      </c>
      <c r="Q30" s="122">
        <f>+Q17</f>
        <v>1080.8834431556318</v>
      </c>
      <c r="R30" s="67"/>
      <c r="S30" s="67"/>
    </row>
    <row r="31" spans="1:20" ht="12.75">
      <c r="A31" s="25"/>
      <c r="B31" s="25"/>
      <c r="C31" s="67"/>
      <c r="D31" s="25"/>
      <c r="E31" s="25"/>
      <c r="F31" s="25"/>
      <c r="G31" s="25"/>
      <c r="H31" s="67"/>
      <c r="I31" s="67"/>
      <c r="J31" s="67" t="s">
        <v>131</v>
      </c>
      <c r="K31" s="67"/>
      <c r="L31" s="67"/>
      <c r="M31" s="67">
        <f>SLOPE(Q30:Q34,P30:P34)</f>
        <v>4.3449778603051303</v>
      </c>
      <c r="N31" s="67"/>
      <c r="O31" s="67"/>
      <c r="P31" s="67">
        <v>2</v>
      </c>
      <c r="Q31" s="122">
        <f>+Q19</f>
        <v>1058.725782757718</v>
      </c>
      <c r="R31" s="67"/>
      <c r="S31" s="67"/>
    </row>
    <row r="32" spans="1:20" ht="12.75">
      <c r="A32" s="25"/>
      <c r="B32" s="25"/>
      <c r="C32" s="25"/>
      <c r="D32" s="25"/>
      <c r="E32" s="25"/>
      <c r="F32" s="25"/>
      <c r="G32" s="25"/>
      <c r="H32" s="67"/>
      <c r="I32" s="67"/>
      <c r="J32" s="67" t="s">
        <v>132</v>
      </c>
      <c r="K32" s="67"/>
      <c r="L32" s="67"/>
      <c r="M32" s="67">
        <f>RSQ(Q30:Q34,P30:P34)</f>
        <v>0.28700686721036894</v>
      </c>
      <c r="N32" s="67"/>
      <c r="O32" s="67"/>
      <c r="P32" s="67">
        <v>3</v>
      </c>
      <c r="Q32" s="122">
        <f>+Q21</f>
        <v>1071.7571835350802</v>
      </c>
      <c r="R32" s="67"/>
      <c r="S32" s="67"/>
    </row>
    <row r="33" spans="1:19" ht="12.75">
      <c r="A33" s="24"/>
      <c r="B33" s="25"/>
      <c r="C33" s="25"/>
      <c r="D33" s="25"/>
      <c r="E33" s="25"/>
      <c r="F33" s="25"/>
      <c r="G33" s="25"/>
      <c r="H33" s="67"/>
      <c r="I33" s="67"/>
      <c r="J33" s="67"/>
      <c r="K33" s="67"/>
      <c r="L33" s="67"/>
      <c r="M33" s="67"/>
      <c r="N33" s="67"/>
      <c r="O33" s="67"/>
      <c r="P33" s="67">
        <v>4</v>
      </c>
      <c r="Q33" s="122">
        <f>+Q23</f>
        <v>1090.9155966766739</v>
      </c>
      <c r="R33" s="67"/>
      <c r="S33" s="67"/>
    </row>
    <row r="34" spans="1:19" ht="12.75">
      <c r="A34" s="24"/>
      <c r="B34" s="25"/>
      <c r="C34" s="25"/>
      <c r="D34" s="25"/>
      <c r="E34" s="25"/>
      <c r="F34" s="25"/>
      <c r="G34" s="25"/>
      <c r="H34" s="67"/>
      <c r="I34" s="67"/>
      <c r="J34" s="67"/>
      <c r="K34" s="67"/>
      <c r="L34" s="67"/>
      <c r="M34" s="134"/>
      <c r="N34" s="67"/>
      <c r="O34" s="67"/>
      <c r="P34" s="67">
        <v>5</v>
      </c>
      <c r="Q34" s="122">
        <f>+Q25</f>
        <v>1086.5134254976795</v>
      </c>
      <c r="R34" s="67"/>
      <c r="S34" s="67"/>
    </row>
    <row r="35" spans="1:19" ht="12.75">
      <c r="A35" s="24"/>
      <c r="B35" s="25"/>
      <c r="C35" s="25"/>
      <c r="D35" s="25"/>
      <c r="E35" s="25"/>
      <c r="F35" s="25"/>
      <c r="G35" s="25"/>
      <c r="H35" s="67"/>
      <c r="I35" s="67"/>
      <c r="J35" s="67"/>
      <c r="K35" s="67"/>
      <c r="L35" s="67"/>
      <c r="M35" s="134"/>
      <c r="N35" s="67"/>
      <c r="O35" s="67"/>
      <c r="P35" s="67">
        <v>10</v>
      </c>
      <c r="Q35" s="138">
        <f>M30+P35*M31</f>
        <v>1108.1739313466926</v>
      </c>
      <c r="R35" s="67"/>
      <c r="S35" s="67"/>
    </row>
    <row r="36" spans="1:19" ht="12.75">
      <c r="A36" s="24"/>
      <c r="B36" s="25"/>
      <c r="C36" s="25"/>
      <c r="D36" s="25"/>
      <c r="E36" s="25"/>
      <c r="F36" s="25"/>
      <c r="G36" s="25"/>
      <c r="H36" s="67"/>
      <c r="I36" s="67"/>
      <c r="J36" s="67"/>
      <c r="K36" s="67"/>
      <c r="L36" s="67"/>
      <c r="M36" s="134"/>
      <c r="N36" s="67"/>
      <c r="O36" s="67"/>
      <c r="P36" s="67"/>
      <c r="Q36" s="67"/>
      <c r="R36" s="67"/>
      <c r="S36" s="67"/>
    </row>
    <row r="37" spans="1:19" ht="12.75">
      <c r="A37" s="24"/>
      <c r="B37" s="25"/>
      <c r="C37" s="25"/>
      <c r="D37" s="25"/>
      <c r="E37" s="25"/>
      <c r="F37" s="25"/>
      <c r="G37" s="25"/>
      <c r="H37" s="67"/>
      <c r="I37" s="67"/>
      <c r="J37" s="67"/>
      <c r="K37" s="67" t="s">
        <v>133</v>
      </c>
      <c r="L37" s="67"/>
      <c r="M37" s="134"/>
      <c r="N37" s="67"/>
      <c r="O37" s="67"/>
      <c r="P37" s="67"/>
      <c r="Q37" s="135">
        <f>Q35-Q34</f>
        <v>21.660505849013134</v>
      </c>
      <c r="R37" s="67" t="s">
        <v>135</v>
      </c>
      <c r="S37" s="67"/>
    </row>
    <row r="38" spans="1:19" ht="12.75">
      <c r="A38" s="24"/>
      <c r="B38" s="25"/>
      <c r="C38" s="25"/>
      <c r="D38" s="25"/>
      <c r="E38" s="25"/>
      <c r="F38" s="25"/>
      <c r="G38" s="25"/>
      <c r="H38" s="67"/>
      <c r="I38" s="67"/>
      <c r="J38" s="67"/>
      <c r="K38" s="67" t="s">
        <v>134</v>
      </c>
      <c r="L38" s="67"/>
      <c r="M38" s="134"/>
      <c r="N38" s="67"/>
      <c r="O38" s="67"/>
      <c r="P38" s="67"/>
      <c r="Q38" s="114">
        <f>Q37/5</f>
        <v>4.3321011698026268</v>
      </c>
      <c r="R38" s="67" t="s">
        <v>135</v>
      </c>
      <c r="S38" s="67"/>
    </row>
    <row r="39" spans="1:19" ht="15.75">
      <c r="A39" s="29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9"/>
      <c r="N39" s="28"/>
      <c r="O39" s="28"/>
      <c r="P39" s="28"/>
      <c r="Q39" s="28"/>
      <c r="R39" s="28"/>
      <c r="S39" s="28"/>
    </row>
    <row r="40" spans="1:19" ht="12.75">
      <c r="A40" s="24"/>
      <c r="B40" s="25"/>
      <c r="C40" s="25"/>
      <c r="D40" s="25"/>
      <c r="E40" s="25"/>
      <c r="F40" s="25"/>
      <c r="G40" s="25"/>
      <c r="H40" s="25"/>
      <c r="I40" s="67" t="s">
        <v>301</v>
      </c>
      <c r="J40" s="67"/>
      <c r="K40" s="67"/>
      <c r="L40" s="67"/>
      <c r="M40" s="134"/>
      <c r="N40" s="67"/>
      <c r="O40" s="67"/>
      <c r="P40" s="67"/>
      <c r="Q40" s="67"/>
      <c r="R40" s="67"/>
      <c r="S40" s="67"/>
    </row>
    <row r="41" spans="1:19" ht="12.75">
      <c r="A41" s="24"/>
      <c r="B41" s="25"/>
      <c r="C41" s="25"/>
      <c r="D41" s="25"/>
      <c r="E41" s="25"/>
      <c r="F41" s="25"/>
      <c r="G41" s="25"/>
      <c r="H41" s="25"/>
      <c r="I41" s="67"/>
      <c r="J41" s="67"/>
      <c r="K41" s="67"/>
      <c r="L41" s="67"/>
      <c r="M41" s="134"/>
      <c r="N41" s="67"/>
      <c r="O41" s="67"/>
      <c r="P41" s="67"/>
      <c r="Q41" s="67"/>
      <c r="R41" s="67"/>
      <c r="S41" s="67"/>
    </row>
    <row r="42" spans="1:19" ht="12.75">
      <c r="A42" s="24"/>
      <c r="B42" s="25"/>
      <c r="C42" s="25"/>
      <c r="D42" s="25"/>
      <c r="E42" s="25"/>
      <c r="F42" s="25"/>
      <c r="G42" s="25"/>
      <c r="H42" s="25"/>
      <c r="I42" s="67"/>
      <c r="J42" s="67"/>
      <c r="K42" s="67" t="s">
        <v>133</v>
      </c>
      <c r="L42" s="67"/>
      <c r="M42" s="134"/>
      <c r="N42" s="67"/>
      <c r="O42" s="67"/>
      <c r="P42" s="67"/>
      <c r="Q42" s="135">
        <f>Q43*5</f>
        <v>7.6726731036500837</v>
      </c>
      <c r="R42" s="67" t="s">
        <v>135</v>
      </c>
      <c r="S42" s="67"/>
    </row>
    <row r="43" spans="1:19" ht="12.75">
      <c r="A43" s="24"/>
      <c r="B43" s="25"/>
      <c r="C43" s="25"/>
      <c r="D43" s="25"/>
      <c r="E43" s="25"/>
      <c r="F43" s="25"/>
      <c r="G43" s="25"/>
      <c r="H43" s="25"/>
      <c r="I43" s="67"/>
      <c r="J43" s="67"/>
      <c r="K43" s="67" t="s">
        <v>302</v>
      </c>
      <c r="L43" s="67"/>
      <c r="M43" s="134"/>
      <c r="N43" s="67"/>
      <c r="O43" s="67"/>
      <c r="P43" s="67"/>
      <c r="Q43" s="114">
        <f>Q25*S26</f>
        <v>1.5345346207300168</v>
      </c>
      <c r="R43" s="67" t="s">
        <v>135</v>
      </c>
      <c r="S43" s="67"/>
    </row>
    <row r="44" spans="1:19" ht="12.75">
      <c r="A44" s="24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4"/>
      <c r="N44" s="25"/>
      <c r="O44" s="25"/>
      <c r="P44" s="25"/>
      <c r="Q44" s="25"/>
      <c r="R44" s="25"/>
      <c r="S44" s="25"/>
    </row>
    <row r="45" spans="1:19" ht="12.75">
      <c r="A45" s="24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4"/>
      <c r="N45" s="25"/>
      <c r="O45" s="25"/>
      <c r="P45" s="25"/>
      <c r="Q45" s="25"/>
      <c r="R45" s="25"/>
      <c r="S45" s="25"/>
    </row>
    <row r="46" spans="1:19" ht="12.75">
      <c r="A46" s="24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4"/>
      <c r="N46" s="25"/>
      <c r="O46" s="25"/>
      <c r="P46" s="25"/>
      <c r="Q46" s="25"/>
      <c r="R46" s="25"/>
      <c r="S46" s="25"/>
    </row>
    <row r="47" spans="1:19" ht="12.75">
      <c r="A47" s="24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4"/>
      <c r="N47" s="25"/>
      <c r="O47" s="25"/>
      <c r="P47" s="25"/>
      <c r="Q47" s="25"/>
      <c r="R47" s="25"/>
      <c r="S47" s="25"/>
    </row>
    <row r="48" spans="1:19" ht="24">
      <c r="A48" s="1"/>
      <c r="K48" s="23"/>
      <c r="M48" s="1"/>
    </row>
    <row r="49" spans="1:13">
      <c r="A49" s="1"/>
      <c r="M49" s="1"/>
    </row>
    <row r="50" spans="1:13">
      <c r="A50" s="1"/>
      <c r="M50" s="1"/>
    </row>
    <row r="51" spans="1:13">
      <c r="A51" s="1"/>
      <c r="M51" s="1"/>
    </row>
    <row r="52" spans="1:13">
      <c r="A52" s="1"/>
      <c r="M52" s="1"/>
    </row>
    <row r="53" spans="1:13">
      <c r="A53" s="1"/>
      <c r="M53" s="1"/>
    </row>
    <row r="54" spans="1:13">
      <c r="A54" s="1"/>
      <c r="M54" s="1"/>
    </row>
    <row r="55" spans="1:13">
      <c r="A55" s="1"/>
      <c r="M55" s="1"/>
    </row>
    <row r="56" spans="1:13">
      <c r="A56" s="1"/>
      <c r="M56" s="1"/>
    </row>
    <row r="57" spans="1:13" ht="18.75">
      <c r="A57" s="1"/>
      <c r="K57" s="6"/>
      <c r="L57" s="21"/>
    </row>
    <row r="58" spans="1:13">
      <c r="A58" s="1"/>
      <c r="M58" s="1"/>
    </row>
    <row r="59" spans="1:13">
      <c r="A59" s="1"/>
      <c r="M59" s="1"/>
    </row>
  </sheetData>
  <mergeCells count="1">
    <mergeCell ref="E12:I12"/>
  </mergeCells>
  <pageMargins left="0.75" right="0.5" top="1" bottom="1" header="0.5" footer="0.5"/>
  <pageSetup scale="77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4AFE9-27DC-484C-AAA6-9AB597C5DF1A}">
  <dimension ref="A1:R45"/>
  <sheetViews>
    <sheetView workbookViewId="0">
      <selection activeCell="I21" sqref="I21"/>
    </sheetView>
  </sheetViews>
  <sheetFormatPr defaultRowHeight="12.75"/>
  <cols>
    <col min="1" max="1" width="18.140625" customWidth="1"/>
    <col min="2" max="2" width="10.7109375" customWidth="1"/>
    <col min="3" max="3" width="11.5703125" customWidth="1"/>
    <col min="4" max="4" width="8.85546875" customWidth="1"/>
    <col min="5" max="5" width="11" customWidth="1"/>
    <col min="6" max="6" width="12.140625" customWidth="1"/>
    <col min="7" max="7" width="11.7109375" customWidth="1"/>
    <col min="8" max="8" width="11.85546875" bestFit="1" customWidth="1"/>
    <col min="9" max="9" width="12.5703125" customWidth="1"/>
    <col min="10" max="11" width="11.5703125" customWidth="1"/>
    <col min="12" max="12" width="9.85546875" customWidth="1"/>
    <col min="13" max="14" width="11.5703125" customWidth="1"/>
    <col min="15" max="16" width="12.28515625" customWidth="1"/>
  </cols>
  <sheetData>
    <row r="1" spans="1:18" ht="15.75">
      <c r="A1" s="175" t="s">
        <v>337</v>
      </c>
      <c r="B1" s="175"/>
      <c r="C1" s="175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</row>
    <row r="2" spans="1:18">
      <c r="A2" s="49" t="s">
        <v>245</v>
      </c>
      <c r="B2" s="49"/>
      <c r="C2" s="49"/>
      <c r="D2" s="49"/>
      <c r="E2" s="49"/>
      <c r="F2" s="49"/>
      <c r="G2" s="49"/>
      <c r="H2" s="76"/>
      <c r="I2" s="49"/>
      <c r="J2" s="49"/>
      <c r="K2" s="49"/>
      <c r="L2" s="49"/>
      <c r="M2" s="49"/>
      <c r="N2" s="49"/>
      <c r="O2" s="49"/>
      <c r="P2" s="49"/>
    </row>
    <row r="3" spans="1:18">
      <c r="A3" s="49" t="s">
        <v>338</v>
      </c>
      <c r="B3" s="49"/>
      <c r="C3" s="49" t="s">
        <v>246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</row>
    <row r="4" spans="1:18">
      <c r="A4" s="49" t="s">
        <v>339</v>
      </c>
      <c r="B4" s="49"/>
      <c r="C4" s="49"/>
      <c r="D4" s="49"/>
      <c r="E4" s="100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18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8" ht="13.5" thickBot="1">
      <c r="A6" s="176" t="s">
        <v>260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18" ht="13.5" thickBot="1">
      <c r="A7" s="177" t="s">
        <v>247</v>
      </c>
      <c r="B7" s="178"/>
      <c r="C7" s="178"/>
      <c r="D7" s="178"/>
      <c r="E7" s="326" t="s">
        <v>187</v>
      </c>
      <c r="F7" s="327"/>
      <c r="G7" s="328"/>
      <c r="H7" s="178"/>
      <c r="I7" s="178"/>
      <c r="J7" s="329" t="s">
        <v>340</v>
      </c>
      <c r="K7" s="330"/>
      <c r="L7" s="329" t="s">
        <v>341</v>
      </c>
      <c r="M7" s="330"/>
      <c r="N7" s="179"/>
      <c r="O7" s="180"/>
      <c r="P7" s="178"/>
      <c r="Q7" s="80"/>
      <c r="R7" s="80"/>
    </row>
    <row r="8" spans="1:18" ht="60.75" thickBot="1">
      <c r="A8" s="169"/>
      <c r="B8" s="181" t="s">
        <v>248</v>
      </c>
      <c r="C8" s="182" t="s">
        <v>188</v>
      </c>
      <c r="D8" s="182" t="s">
        <v>189</v>
      </c>
      <c r="E8" s="182" t="s">
        <v>190</v>
      </c>
      <c r="F8" s="182" t="s">
        <v>191</v>
      </c>
      <c r="G8" s="183" t="s">
        <v>192</v>
      </c>
      <c r="H8" s="182" t="s">
        <v>249</v>
      </c>
      <c r="I8" s="184" t="s">
        <v>342</v>
      </c>
      <c r="J8" s="185" t="s">
        <v>250</v>
      </c>
      <c r="K8" s="185" t="s">
        <v>251</v>
      </c>
      <c r="L8" s="185" t="s">
        <v>252</v>
      </c>
      <c r="M8" s="185" t="s">
        <v>253</v>
      </c>
      <c r="N8" s="185" t="s">
        <v>254</v>
      </c>
      <c r="O8" s="186" t="s">
        <v>255</v>
      </c>
      <c r="P8" s="187" t="s">
        <v>343</v>
      </c>
      <c r="Q8" s="182" t="s">
        <v>344</v>
      </c>
      <c r="R8" s="188" t="s">
        <v>345</v>
      </c>
    </row>
    <row r="9" spans="1:18">
      <c r="A9" s="189">
        <v>43466</v>
      </c>
      <c r="B9" s="190">
        <f>'[1]Daily Flow-217'!AH5</f>
        <v>2.4280000000000004</v>
      </c>
      <c r="C9" s="190">
        <f>'[1]Daily Flow-217'!AI5</f>
        <v>7.8322580645161302E-2</v>
      </c>
      <c r="D9" s="190">
        <f>'[1]Daily Flow-217'!AJ5</f>
        <v>0.10100000000000001</v>
      </c>
      <c r="E9" s="191">
        <v>6.8025000000000002E-2</v>
      </c>
      <c r="F9" s="191">
        <v>0</v>
      </c>
      <c r="G9" s="192">
        <f>SUM(E9:F9)</f>
        <v>6.8025000000000002E-2</v>
      </c>
      <c r="H9" s="190">
        <f>B9-G9</f>
        <v>2.3599750000000004</v>
      </c>
      <c r="I9" s="193">
        <v>2.234473923862319</v>
      </c>
      <c r="J9" s="194">
        <v>1.2999999999999999E-2</v>
      </c>
      <c r="K9" s="195">
        <v>3.1486E-2</v>
      </c>
      <c r="L9" s="194">
        <v>0.24</v>
      </c>
      <c r="M9" s="195">
        <v>1.4399999999999999E-3</v>
      </c>
      <c r="N9" s="196">
        <f>K9+M9</f>
        <v>3.2925999999999997E-2</v>
      </c>
      <c r="O9" s="197">
        <f>H9+N9</f>
        <v>2.3929010000000002</v>
      </c>
      <c r="P9" s="198">
        <f>G9+I9</f>
        <v>2.302498923862319</v>
      </c>
      <c r="Q9" s="199">
        <f>P9/SUM(B9+N9)</f>
        <v>0.93562298251240339</v>
      </c>
      <c r="R9" s="200">
        <v>0.91298150339665984</v>
      </c>
    </row>
    <row r="10" spans="1:18">
      <c r="A10" s="201" t="s">
        <v>136</v>
      </c>
      <c r="B10" s="190">
        <f>'[1]Daily Flow-217'!AH6</f>
        <v>2.4239999999999999</v>
      </c>
      <c r="C10" s="190">
        <f>'[1]Daily Flow-217'!AI6</f>
        <v>8.6571428571428563E-2</v>
      </c>
      <c r="D10" s="190">
        <f>'[1]Daily Flow-217'!AJ6</f>
        <v>0.13400000000000001</v>
      </c>
      <c r="E10" s="191">
        <v>6.6420000000000007E-2</v>
      </c>
      <c r="F10" s="191">
        <v>0</v>
      </c>
      <c r="G10" s="192">
        <f t="shared" ref="G10:G20" si="0">SUM(E10:F10)</f>
        <v>6.6420000000000007E-2</v>
      </c>
      <c r="H10" s="190">
        <f t="shared" ref="H10:H20" si="1">B10-G10</f>
        <v>2.35758</v>
      </c>
      <c r="I10" s="202">
        <v>2.254318137940801</v>
      </c>
      <c r="J10" s="203">
        <v>1.2999999999999999E-2</v>
      </c>
      <c r="K10" s="204">
        <v>3.1486E-2</v>
      </c>
      <c r="L10" s="203">
        <v>0.24</v>
      </c>
      <c r="M10" s="204">
        <v>4.8000000000000001E-4</v>
      </c>
      <c r="N10" s="205">
        <f t="shared" ref="N10:N20" si="2">K10+M10</f>
        <v>3.1966000000000001E-2</v>
      </c>
      <c r="O10" s="206">
        <f t="shared" ref="O10:O20" si="3">H10+N10</f>
        <v>2.3895460000000002</v>
      </c>
      <c r="P10" s="207">
        <f t="shared" ref="P10:P20" si="4">G10+I10</f>
        <v>2.320738137940801</v>
      </c>
      <c r="Q10" s="199">
        <f>P10/SUM(B10+N10)</f>
        <v>0.94493903333384943</v>
      </c>
      <c r="R10" s="208">
        <v>0.96934597396795685</v>
      </c>
    </row>
    <row r="11" spans="1:18" ht="24">
      <c r="A11" s="201" t="s">
        <v>137</v>
      </c>
      <c r="B11" s="190">
        <f>'[1]Daily Flow-217'!AH7</f>
        <v>2.7840000000000003</v>
      </c>
      <c r="C11" s="190">
        <f>'[1]Daily Flow-217'!AI7</f>
        <v>8.9806451612903238E-2</v>
      </c>
      <c r="D11" s="190">
        <f>'[1]Daily Flow-217'!AJ7</f>
        <v>0.124</v>
      </c>
      <c r="E11" s="191">
        <v>5.6195000000000002E-2</v>
      </c>
      <c r="F11" s="191">
        <v>0</v>
      </c>
      <c r="G11" s="192">
        <f t="shared" si="0"/>
        <v>5.6195000000000002E-2</v>
      </c>
      <c r="H11" s="190">
        <f t="shared" si="1"/>
        <v>2.727805</v>
      </c>
      <c r="I11" s="202">
        <v>2.571676735360064</v>
      </c>
      <c r="J11" s="203">
        <v>1.2999999999999999E-2</v>
      </c>
      <c r="K11" s="204">
        <v>3.6127000000000006E-2</v>
      </c>
      <c r="L11" s="209" t="s">
        <v>346</v>
      </c>
      <c r="M11" s="204">
        <f>O31</f>
        <v>9.8999999999999999E-4</v>
      </c>
      <c r="N11" s="205">
        <f t="shared" si="2"/>
        <v>3.7117000000000004E-2</v>
      </c>
      <c r="O11" s="206">
        <f t="shared" si="3"/>
        <v>2.7649219999999999</v>
      </c>
      <c r="P11" s="207">
        <f t="shared" si="4"/>
        <v>2.6278717353600642</v>
      </c>
      <c r="Q11" s="199">
        <f t="shared" ref="Q11:Q20" si="5">P11/SUM(B11+N11)</f>
        <v>0.93150044303730195</v>
      </c>
      <c r="R11" s="208">
        <v>0.96038811191746309</v>
      </c>
    </row>
    <row r="12" spans="1:18">
      <c r="A12" s="201" t="s">
        <v>138</v>
      </c>
      <c r="B12" s="190">
        <f>'[1]Daily Flow-217'!AH8</f>
        <v>2.0619999999999998</v>
      </c>
      <c r="C12" s="190">
        <f>'[1]Daily Flow-217'!AI8</f>
        <v>6.8733333333333327E-2</v>
      </c>
      <c r="D12" s="190">
        <f>'[1]Daily Flow-217'!AJ8</f>
        <v>0.1</v>
      </c>
      <c r="E12" s="191">
        <v>2.0375000000000001E-2</v>
      </c>
      <c r="F12" s="191">
        <v>0</v>
      </c>
      <c r="G12" s="192">
        <f t="shared" si="0"/>
        <v>2.0375000000000001E-2</v>
      </c>
      <c r="H12" s="190">
        <f t="shared" si="1"/>
        <v>2.0416249999999998</v>
      </c>
      <c r="I12" s="202">
        <v>1.9656817551206511</v>
      </c>
      <c r="J12" s="203">
        <v>1.2999999999999999E-2</v>
      </c>
      <c r="K12" s="204">
        <v>2.6779999999999995E-2</v>
      </c>
      <c r="L12" s="203">
        <v>0.03</v>
      </c>
      <c r="M12" s="204">
        <v>6.0000000000000002E-5</v>
      </c>
      <c r="N12" s="205">
        <f t="shared" si="2"/>
        <v>2.6839999999999996E-2</v>
      </c>
      <c r="O12" s="206">
        <f t="shared" si="3"/>
        <v>2.0684649999999998</v>
      </c>
      <c r="P12" s="207">
        <f t="shared" si="4"/>
        <v>1.9860567551206512</v>
      </c>
      <c r="Q12" s="199">
        <f t="shared" si="5"/>
        <v>0.95079410348358484</v>
      </c>
      <c r="R12" s="208">
        <v>0.97562420814654571</v>
      </c>
    </row>
    <row r="13" spans="1:18">
      <c r="A13" s="201" t="s">
        <v>139</v>
      </c>
      <c r="B13" s="190">
        <f>'[1]Daily Flow-217'!AH9</f>
        <v>1.5170000000000003</v>
      </c>
      <c r="C13" s="190">
        <f>'[1]Daily Flow-217'!AI9</f>
        <v>4.8935483870967751E-2</v>
      </c>
      <c r="D13" s="190">
        <f>'[1]Daily Flow-217'!AJ9</f>
        <v>7.5999999999999998E-2</v>
      </c>
      <c r="E13" s="191">
        <v>6.5259999999999999E-2</v>
      </c>
      <c r="F13" s="191">
        <v>0</v>
      </c>
      <c r="G13" s="192">
        <f t="shared" si="0"/>
        <v>6.5259999999999999E-2</v>
      </c>
      <c r="H13" s="190">
        <f t="shared" si="1"/>
        <v>1.4517400000000003</v>
      </c>
      <c r="I13" s="202">
        <v>1.4945398926914883</v>
      </c>
      <c r="J13" s="210" t="s">
        <v>347</v>
      </c>
      <c r="K13" s="204">
        <f>O36</f>
        <v>-3.1079999999999997E-3</v>
      </c>
      <c r="L13" s="203">
        <v>0.03</v>
      </c>
      <c r="M13" s="204">
        <v>8.9999999999999992E-5</v>
      </c>
      <c r="N13" s="205">
        <f t="shared" si="2"/>
        <v>-3.0179999999999998E-3</v>
      </c>
      <c r="O13" s="206">
        <f t="shared" si="3"/>
        <v>1.4487220000000003</v>
      </c>
      <c r="P13" s="207">
        <f>G13+I13</f>
        <v>1.5597998926914884</v>
      </c>
      <c r="Q13" s="199">
        <f t="shared" si="5"/>
        <v>1.0302631687110468</v>
      </c>
      <c r="R13" s="208">
        <v>1.0449993083212399</v>
      </c>
    </row>
    <row r="14" spans="1:18">
      <c r="A14" s="201" t="s">
        <v>140</v>
      </c>
      <c r="B14" s="190">
        <f>'[1]Daily Flow-217'!AH10</f>
        <v>1.3119999999999998</v>
      </c>
      <c r="C14" s="190">
        <f>'[1]Daily Flow-217'!AI10</f>
        <v>4.3733333333333325E-2</v>
      </c>
      <c r="D14" s="190">
        <f>'[1]Daily Flow-217'!AJ10</f>
        <v>5.8000000000000003E-2</v>
      </c>
      <c r="E14" s="191">
        <v>6.1670000000000003E-2</v>
      </c>
      <c r="F14" s="191">
        <v>1.7000000000000001E-2</v>
      </c>
      <c r="G14" s="192">
        <f t="shared" si="0"/>
        <v>7.8670000000000004E-2</v>
      </c>
      <c r="H14" s="190">
        <f t="shared" si="1"/>
        <v>1.2333299999999998</v>
      </c>
      <c r="I14" s="202">
        <v>1.23195310286182</v>
      </c>
      <c r="J14" s="203">
        <v>-0.03</v>
      </c>
      <c r="K14" s="204">
        <v>-3.9299999999999995E-2</v>
      </c>
      <c r="L14" s="203">
        <v>0.03</v>
      </c>
      <c r="M14" s="204">
        <v>6.0000000000000002E-5</v>
      </c>
      <c r="N14" s="205">
        <f t="shared" si="2"/>
        <v>-3.9239999999999997E-2</v>
      </c>
      <c r="O14" s="206">
        <f t="shared" si="3"/>
        <v>1.1940899999999999</v>
      </c>
      <c r="P14" s="207">
        <f t="shared" si="4"/>
        <v>1.31062310286182</v>
      </c>
      <c r="Q14" s="199">
        <f t="shared" si="5"/>
        <v>1.0297488158504511</v>
      </c>
      <c r="R14" s="208">
        <v>0.90308700386637042</v>
      </c>
    </row>
    <row r="15" spans="1:18">
      <c r="A15" s="201" t="s">
        <v>141</v>
      </c>
      <c r="B15" s="190">
        <f>'[1]Daily Flow-217'!AH11</f>
        <v>1.3120000000000003</v>
      </c>
      <c r="C15" s="190">
        <f>'[1]Daily Flow-217'!AI11</f>
        <v>4.2322580645161298E-2</v>
      </c>
      <c r="D15" s="190">
        <f>'[1]Daily Flow-217'!AJ11</f>
        <v>5.1999999999999998E-2</v>
      </c>
      <c r="E15" s="191">
        <v>3.4759999999999999E-2</v>
      </c>
      <c r="F15" s="191">
        <v>0</v>
      </c>
      <c r="G15" s="192">
        <f t="shared" si="0"/>
        <v>3.4759999999999999E-2</v>
      </c>
      <c r="H15" s="190">
        <f t="shared" si="1"/>
        <v>1.2772400000000004</v>
      </c>
      <c r="I15" s="202">
        <v>1.1825703376527612</v>
      </c>
      <c r="J15" s="203">
        <v>-0.03</v>
      </c>
      <c r="K15" s="204">
        <v>-3.9300000000000009E-2</v>
      </c>
      <c r="L15" s="203">
        <v>0.03</v>
      </c>
      <c r="M15" s="204">
        <v>6.0000000000000002E-5</v>
      </c>
      <c r="N15" s="205">
        <f t="shared" si="2"/>
        <v>-3.9240000000000011E-2</v>
      </c>
      <c r="O15" s="206">
        <f t="shared" si="3"/>
        <v>1.2380000000000004</v>
      </c>
      <c r="P15" s="207">
        <f t="shared" si="4"/>
        <v>1.2173303376527611</v>
      </c>
      <c r="Q15" s="199">
        <f t="shared" si="5"/>
        <v>0.95644924231808104</v>
      </c>
      <c r="R15" s="208">
        <v>0.92545781941319993</v>
      </c>
    </row>
    <row r="16" spans="1:18">
      <c r="A16" s="201" t="s">
        <v>142</v>
      </c>
      <c r="B16" s="190">
        <f>'[1]Daily Flow-217'!AH12</f>
        <v>1.3579999999999999</v>
      </c>
      <c r="C16" s="190">
        <f>'[1]Daily Flow-217'!AI12</f>
        <v>4.3806451612903224E-2</v>
      </c>
      <c r="D16" s="190">
        <f>'[1]Daily Flow-217'!AJ12</f>
        <v>7.1999999999999995E-2</v>
      </c>
      <c r="E16" s="191">
        <v>3.3059999999999999E-2</v>
      </c>
      <c r="F16" s="191">
        <v>0</v>
      </c>
      <c r="G16" s="192">
        <f t="shared" si="0"/>
        <v>3.3059999999999999E-2</v>
      </c>
      <c r="H16" s="190">
        <f t="shared" si="1"/>
        <v>1.3249399999999998</v>
      </c>
      <c r="I16" s="202">
        <v>1.2463875204049817</v>
      </c>
      <c r="J16" s="203">
        <v>-0.03</v>
      </c>
      <c r="K16" s="204">
        <v>-4.0679999999999994E-2</v>
      </c>
      <c r="L16" s="203">
        <v>0.03</v>
      </c>
      <c r="M16" s="204">
        <v>6.0000000000000002E-5</v>
      </c>
      <c r="N16" s="205">
        <f t="shared" si="2"/>
        <v>-4.0619999999999996E-2</v>
      </c>
      <c r="O16" s="206">
        <f t="shared" si="3"/>
        <v>1.2843199999999997</v>
      </c>
      <c r="P16" s="207">
        <f t="shared" si="4"/>
        <v>1.2794475204049818</v>
      </c>
      <c r="Q16" s="199">
        <f t="shared" si="5"/>
        <v>0.97120612154805908</v>
      </c>
      <c r="R16" s="208">
        <v>0.87119196162233337</v>
      </c>
    </row>
    <row r="17" spans="1:18">
      <c r="A17" s="201" t="s">
        <v>143</v>
      </c>
      <c r="B17" s="190">
        <f>'[1]Daily Flow-217'!AH13</f>
        <v>1.6689999999999998</v>
      </c>
      <c r="C17" s="190">
        <f>'[1]Daily Flow-217'!AI13</f>
        <v>5.5633333333333326E-2</v>
      </c>
      <c r="D17" s="190">
        <f>'[1]Daily Flow-217'!AJ13</f>
        <v>0.13500000000000001</v>
      </c>
      <c r="E17" s="191">
        <v>0.17719499999999999</v>
      </c>
      <c r="F17" s="191">
        <v>0.01</v>
      </c>
      <c r="G17" s="192">
        <f t="shared" si="0"/>
        <v>0.187195</v>
      </c>
      <c r="H17" s="190">
        <f t="shared" si="1"/>
        <v>1.4818049999999998</v>
      </c>
      <c r="I17" s="202">
        <v>1.4278687846235165</v>
      </c>
      <c r="J17" s="203">
        <v>-0.03</v>
      </c>
      <c r="K17" s="204">
        <v>-5.0039999999999994E-2</v>
      </c>
      <c r="L17" s="203">
        <v>0.03</v>
      </c>
      <c r="M17" s="204">
        <v>3.0000000000000001E-5</v>
      </c>
      <c r="N17" s="205">
        <f t="shared" si="2"/>
        <v>-5.0009999999999992E-2</v>
      </c>
      <c r="O17" s="206">
        <f t="shared" si="3"/>
        <v>1.4317949999999999</v>
      </c>
      <c r="P17" s="207">
        <f t="shared" si="4"/>
        <v>1.6150637846235165</v>
      </c>
      <c r="Q17" s="199">
        <f t="shared" si="5"/>
        <v>0.99757489831531798</v>
      </c>
      <c r="R17" s="208">
        <v>0.91261306197089487</v>
      </c>
    </row>
    <row r="18" spans="1:18">
      <c r="A18" s="201" t="s">
        <v>144</v>
      </c>
      <c r="B18" s="190">
        <f>'[1]Daily Flow-217'!AH14</f>
        <v>1.6980000000000002</v>
      </c>
      <c r="C18" s="190">
        <f>'[1]Daily Flow-217'!AI14</f>
        <v>5.4774193548387105E-2</v>
      </c>
      <c r="D18" s="190">
        <f>'[1]Daily Flow-217'!AJ14</f>
        <v>6.8000000000000005E-2</v>
      </c>
      <c r="E18" s="191">
        <v>5.765E-2</v>
      </c>
      <c r="F18" s="191">
        <v>4.3800000000000002E-3</v>
      </c>
      <c r="G18" s="192">
        <f>SUM(E18:F18)</f>
        <v>6.2030000000000002E-2</v>
      </c>
      <c r="H18" s="190">
        <f t="shared" si="1"/>
        <v>1.6359700000000001</v>
      </c>
      <c r="I18" s="202">
        <v>1.5991437463982914</v>
      </c>
      <c r="J18" s="203">
        <v>-0.03</v>
      </c>
      <c r="K18" s="204">
        <v>-5.0610000000000009E-2</v>
      </c>
      <c r="L18" s="203">
        <v>0.03</v>
      </c>
      <c r="M18" s="204">
        <v>3.2999999999999994E-4</v>
      </c>
      <c r="N18" s="205">
        <f t="shared" si="2"/>
        <v>-5.0280000000000012E-2</v>
      </c>
      <c r="O18" s="206">
        <f t="shared" si="3"/>
        <v>1.58569</v>
      </c>
      <c r="P18" s="207">
        <f t="shared" si="4"/>
        <v>1.6611737463982914</v>
      </c>
      <c r="Q18" s="199">
        <f t="shared" si="5"/>
        <v>1.0081650683358163</v>
      </c>
      <c r="R18" s="208">
        <v>1.0866728566308343</v>
      </c>
    </row>
    <row r="19" spans="1:18">
      <c r="A19" s="201" t="s">
        <v>145</v>
      </c>
      <c r="B19" s="190">
        <f>'[1]Daily Flow-217'!AH15</f>
        <v>2.1025</v>
      </c>
      <c r="C19" s="190">
        <f>'[1]Daily Flow-217'!AI15</f>
        <v>7.0083333333333331E-2</v>
      </c>
      <c r="D19" s="190">
        <f>'[1]Daily Flow-217'!AJ15</f>
        <v>8.6999999999999994E-2</v>
      </c>
      <c r="E19" s="191">
        <v>8.3238000000000006E-2</v>
      </c>
      <c r="F19" s="191">
        <v>0</v>
      </c>
      <c r="G19" s="192">
        <f t="shared" si="0"/>
        <v>8.3238000000000006E-2</v>
      </c>
      <c r="H19" s="190">
        <f t="shared" si="1"/>
        <v>2.0192619999999999</v>
      </c>
      <c r="I19" s="202">
        <v>1.8568761464014476</v>
      </c>
      <c r="J19" s="203">
        <v>-0.03</v>
      </c>
      <c r="K19" s="204">
        <v>-6.3045000000000004E-2</v>
      </c>
      <c r="L19" s="203">
        <v>0.03</v>
      </c>
      <c r="M19" s="204">
        <v>3.0000000000000001E-5</v>
      </c>
      <c r="N19" s="205">
        <f t="shared" si="2"/>
        <v>-6.3015000000000002E-2</v>
      </c>
      <c r="O19" s="206">
        <f t="shared" si="3"/>
        <v>1.9562469999999998</v>
      </c>
      <c r="P19" s="207">
        <f t="shared" si="4"/>
        <v>1.9401141464014475</v>
      </c>
      <c r="Q19" s="199">
        <f t="shared" si="5"/>
        <v>0.95127649695950078</v>
      </c>
      <c r="R19" s="208">
        <v>0.88646024510014221</v>
      </c>
    </row>
    <row r="20" spans="1:18">
      <c r="A20" s="211" t="s">
        <v>146</v>
      </c>
      <c r="B20" s="190">
        <f>'[1]Daily Flow-217'!AH16</f>
        <v>2.2464999999999997</v>
      </c>
      <c r="C20" s="190">
        <f>'[1]Daily Flow-217'!AI16</f>
        <v>7.2467741935483859E-2</v>
      </c>
      <c r="D20" s="190">
        <f>'[1]Daily Flow-217'!AJ16</f>
        <v>0.108</v>
      </c>
      <c r="E20" s="191">
        <v>8.6062E-2</v>
      </c>
      <c r="F20" s="191">
        <v>1.98E-3</v>
      </c>
      <c r="G20" s="192">
        <f t="shared" si="0"/>
        <v>8.8041999999999995E-2</v>
      </c>
      <c r="H20" s="190">
        <f t="shared" si="1"/>
        <v>2.1584579999999995</v>
      </c>
      <c r="I20" s="212">
        <v>2.1510389619866714</v>
      </c>
      <c r="J20" s="203">
        <v>-0.03</v>
      </c>
      <c r="K20" s="204">
        <v>-6.7364999999999994E-2</v>
      </c>
      <c r="L20" s="203">
        <v>0.03</v>
      </c>
      <c r="M20" s="204">
        <v>3.0000000000000001E-5</v>
      </c>
      <c r="N20" s="205">
        <f t="shared" si="2"/>
        <v>-6.7334999999999992E-2</v>
      </c>
      <c r="O20" s="206">
        <f t="shared" si="3"/>
        <v>2.0911229999999996</v>
      </c>
      <c r="P20" s="207">
        <f t="shared" si="4"/>
        <v>2.2390809619866716</v>
      </c>
      <c r="Q20" s="199">
        <f t="shared" si="5"/>
        <v>1.0274949175425778</v>
      </c>
      <c r="R20" s="208">
        <v>0.99513607891485834</v>
      </c>
    </row>
    <row r="21" spans="1:18">
      <c r="A21" s="213" t="s">
        <v>193</v>
      </c>
      <c r="B21" s="214">
        <f>SUM(B9:B20)</f>
        <v>22.913</v>
      </c>
      <c r="C21" s="214">
        <f>AVERAGE(C9:C20)</f>
        <v>6.2932520481310802E-2</v>
      </c>
      <c r="D21" s="214">
        <f>MAX(D9:D20)</f>
        <v>0.13500000000000001</v>
      </c>
      <c r="E21" s="214">
        <f>SUM(E9:E20)</f>
        <v>0.80990999999999991</v>
      </c>
      <c r="F21" s="214">
        <f>SUM(F9:F20)</f>
        <v>3.3360000000000008E-2</v>
      </c>
      <c r="G21" s="215">
        <f>SUM(G9:G20)</f>
        <v>0.84327000000000008</v>
      </c>
      <c r="H21" s="214">
        <f>B21-G21</f>
        <v>22.06973</v>
      </c>
      <c r="I21" s="216">
        <f>SUM(I9:I20)</f>
        <v>21.21652904530481</v>
      </c>
      <c r="J21" s="217"/>
      <c r="K21" s="205">
        <f>SUM(K9:K20)</f>
        <v>-0.22756900000000002</v>
      </c>
      <c r="L21" s="217"/>
      <c r="M21" s="205">
        <f>SUM(M9:M20)</f>
        <v>3.6600000000000005E-3</v>
      </c>
      <c r="N21" s="205">
        <f>SUM(N9:N20)</f>
        <v>-0.22390899999999997</v>
      </c>
      <c r="O21" s="218">
        <f>SUM(O9:O20)</f>
        <v>21.845820999999997</v>
      </c>
      <c r="P21" s="219">
        <f>SUM(P9:P20)</f>
        <v>22.059799045304818</v>
      </c>
      <c r="Q21" s="220"/>
      <c r="R21" s="80"/>
    </row>
    <row r="22" spans="1:18">
      <c r="A22" s="84"/>
      <c r="B22" s="198">
        <f>SUM(B9:B20)</f>
        <v>22.913</v>
      </c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198">
        <f>SUM(N9:N20)</f>
        <v>-0.22390899999999997</v>
      </c>
      <c r="O22" s="221"/>
      <c r="P22" s="198">
        <f>SUM(P9:P20)</f>
        <v>22.059799045304818</v>
      </c>
      <c r="Q22" s="80"/>
      <c r="R22" s="80"/>
    </row>
    <row r="23" spans="1:18">
      <c r="A23" s="49"/>
      <c r="B23" s="222">
        <f>B21-'[1]Daily Flow-217'!AH18</f>
        <v>0</v>
      </c>
      <c r="C23" s="223" t="s">
        <v>256</v>
      </c>
      <c r="D23" s="224"/>
      <c r="E23" s="225"/>
      <c r="F23" s="225"/>
      <c r="G23" s="226"/>
      <c r="H23" s="227" t="s">
        <v>348</v>
      </c>
      <c r="I23" s="228">
        <v>0</v>
      </c>
      <c r="N23" s="276">
        <f>SUM(N9:N20)</f>
        <v>-0.22390899999999997</v>
      </c>
      <c r="O23" s="229"/>
      <c r="P23" s="230" t="s">
        <v>349</v>
      </c>
      <c r="Q23" s="231">
        <f>SUM(P22/SUM(B22+N22))</f>
        <v>0.97226455856273908</v>
      </c>
    </row>
    <row r="24" spans="1:18">
      <c r="A24" s="99"/>
      <c r="B24" s="49"/>
      <c r="C24" s="49"/>
      <c r="D24" s="49"/>
      <c r="E24" s="49"/>
      <c r="F24" s="49"/>
      <c r="G24" s="49"/>
      <c r="H24" s="49"/>
      <c r="I24" s="232"/>
      <c r="J24" s="232"/>
      <c r="K24" s="232"/>
      <c r="L24" s="232"/>
      <c r="M24" s="232"/>
      <c r="N24" s="233"/>
      <c r="O24" s="232"/>
      <c r="P24" s="49"/>
    </row>
    <row r="25" spans="1:18">
      <c r="A25" s="78"/>
      <c r="B25" s="49"/>
      <c r="C25" s="49"/>
      <c r="D25" s="49"/>
      <c r="E25" s="49"/>
      <c r="F25" s="49"/>
      <c r="G25" s="49"/>
      <c r="H25" s="234" t="s">
        <v>350</v>
      </c>
      <c r="I25" s="235"/>
      <c r="J25" s="236"/>
      <c r="K25" s="49"/>
      <c r="L25" s="49"/>
      <c r="M25" s="49"/>
      <c r="N25" s="49"/>
      <c r="O25" s="49"/>
      <c r="P25" s="49"/>
    </row>
    <row r="26" spans="1:18" ht="14.25">
      <c r="A26" s="49"/>
      <c r="B26" s="49"/>
      <c r="C26" s="237"/>
      <c r="D26" s="238"/>
      <c r="E26" s="239" t="s">
        <v>257</v>
      </c>
      <c r="F26" s="240">
        <v>0</v>
      </c>
      <c r="G26" s="49"/>
      <c r="H26" s="49"/>
      <c r="I26" s="49"/>
      <c r="J26" s="241"/>
      <c r="K26" s="242"/>
      <c r="L26" s="323"/>
      <c r="M26" s="323"/>
      <c r="N26" s="323"/>
      <c r="O26" s="323"/>
      <c r="P26" s="49"/>
    </row>
    <row r="27" spans="1:18" ht="13.5" thickBot="1">
      <c r="A27" s="99" t="s">
        <v>260</v>
      </c>
      <c r="J27" s="243"/>
      <c r="K27" s="243"/>
      <c r="L27" s="244"/>
      <c r="M27" s="244"/>
      <c r="N27" s="244"/>
      <c r="O27" s="244"/>
    </row>
    <row r="28" spans="1:18">
      <c r="A28" s="78" t="s">
        <v>351</v>
      </c>
      <c r="J28" s="245"/>
      <c r="K28" s="246"/>
      <c r="L28" s="247" t="s">
        <v>259</v>
      </c>
      <c r="M28" s="248" t="s">
        <v>352</v>
      </c>
      <c r="N28" s="248" t="s">
        <v>353</v>
      </c>
      <c r="O28" s="249" t="s">
        <v>354</v>
      </c>
    </row>
    <row r="29" spans="1:18">
      <c r="J29" s="243"/>
      <c r="K29" s="250"/>
      <c r="L29" s="251" t="s">
        <v>355</v>
      </c>
      <c r="M29" s="252">
        <v>0.24</v>
      </c>
      <c r="N29" s="243">
        <v>4.0000000000000001E-3</v>
      </c>
      <c r="O29" s="253">
        <f>N29*M29</f>
        <v>9.6000000000000002E-4</v>
      </c>
    </row>
    <row r="30" spans="1:18">
      <c r="F30" s="79"/>
      <c r="J30" s="82"/>
      <c r="K30" s="80"/>
      <c r="L30" s="251" t="s">
        <v>356</v>
      </c>
      <c r="M30" s="252">
        <v>0.03</v>
      </c>
      <c r="N30" s="243">
        <v>1E-3</v>
      </c>
      <c r="O30" s="253">
        <f>N30*M30</f>
        <v>3.0000000000000001E-5</v>
      </c>
    </row>
    <row r="31" spans="1:18" ht="15" thickBot="1">
      <c r="F31" s="79"/>
      <c r="J31" s="82"/>
      <c r="K31" s="254"/>
      <c r="L31" s="255"/>
      <c r="M31" s="256"/>
      <c r="N31" s="256"/>
      <c r="O31" s="257">
        <f>SUM(O29:O30)</f>
        <v>9.8999999999999999E-4</v>
      </c>
    </row>
    <row r="32" spans="1:18" ht="13.5" thickBot="1">
      <c r="F32" s="79"/>
      <c r="J32" s="82"/>
      <c r="K32" s="254"/>
      <c r="L32" s="258"/>
      <c r="M32" s="80"/>
      <c r="N32" s="258"/>
    </row>
    <row r="33" spans="5:15">
      <c r="E33" s="324" t="s">
        <v>357</v>
      </c>
      <c r="F33" s="324"/>
      <c r="G33" s="325"/>
      <c r="H33" s="325"/>
      <c r="L33" s="247" t="s">
        <v>258</v>
      </c>
      <c r="M33" s="248" t="s">
        <v>352</v>
      </c>
      <c r="N33" s="248" t="s">
        <v>353</v>
      </c>
      <c r="O33" s="249" t="s">
        <v>354</v>
      </c>
    </row>
    <row r="34" spans="5:15">
      <c r="E34" s="259" t="s">
        <v>271</v>
      </c>
      <c r="F34" s="260">
        <f>G9/B9</f>
        <v>2.8016886326194396E-2</v>
      </c>
      <c r="G34" s="261"/>
      <c r="H34" s="262"/>
      <c r="L34" s="251" t="s">
        <v>358</v>
      </c>
      <c r="M34" s="252">
        <v>1.2999999999999999E-2</v>
      </c>
      <c r="N34" s="243">
        <v>0.9840000000000001</v>
      </c>
      <c r="O34" s="253">
        <f>N34*M34</f>
        <v>1.2792000000000001E-2</v>
      </c>
    </row>
    <row r="35" spans="5:15">
      <c r="E35" s="259" t="s">
        <v>272</v>
      </c>
      <c r="F35" s="260">
        <f>G10/B10</f>
        <v>2.7400990099009905E-2</v>
      </c>
      <c r="G35" s="261"/>
      <c r="H35" s="262"/>
      <c r="L35" s="251" t="s">
        <v>359</v>
      </c>
      <c r="M35" s="252">
        <v>-0.03</v>
      </c>
      <c r="N35" s="243">
        <v>0.53</v>
      </c>
      <c r="O35" s="253">
        <f>N35*M35</f>
        <v>-1.5900000000000001E-2</v>
      </c>
    </row>
    <row r="36" spans="5:15" ht="15" thickBot="1">
      <c r="E36" s="259" t="s">
        <v>273</v>
      </c>
      <c r="F36" s="260">
        <f>G11/B11</f>
        <v>2.0184985632183908E-2</v>
      </c>
      <c r="G36" s="261"/>
      <c r="H36" s="262"/>
      <c r="L36" s="255"/>
      <c r="M36" s="256"/>
      <c r="N36" s="256"/>
      <c r="O36" s="257">
        <f>SUM(O34:O35)</f>
        <v>-3.1079999999999997E-3</v>
      </c>
    </row>
    <row r="37" spans="5:15">
      <c r="E37" s="259" t="s">
        <v>360</v>
      </c>
      <c r="F37" s="260">
        <f>G12/B12</f>
        <v>9.8811833171677989E-3</v>
      </c>
      <c r="G37" s="261"/>
      <c r="H37" s="262"/>
    </row>
    <row r="38" spans="5:15">
      <c r="E38" s="259" t="s">
        <v>139</v>
      </c>
      <c r="F38" s="260">
        <f t="shared" ref="F38:F45" si="6">G13/B13</f>
        <v>4.3019116677653249E-2</v>
      </c>
      <c r="G38" s="261"/>
      <c r="H38" s="262"/>
    </row>
    <row r="39" spans="5:15">
      <c r="E39" s="259" t="s">
        <v>140</v>
      </c>
      <c r="F39" s="260">
        <f t="shared" si="6"/>
        <v>5.9961890243902451E-2</v>
      </c>
      <c r="G39" s="261"/>
      <c r="H39" s="262"/>
    </row>
    <row r="40" spans="5:15">
      <c r="E40" s="259" t="s">
        <v>361</v>
      </c>
      <c r="F40" s="260">
        <f>G15/B15</f>
        <v>2.6493902439024383E-2</v>
      </c>
      <c r="G40" s="261"/>
      <c r="H40" s="262"/>
    </row>
    <row r="41" spans="5:15">
      <c r="E41" s="259" t="s">
        <v>274</v>
      </c>
      <c r="F41" s="260">
        <f t="shared" si="6"/>
        <v>2.4344624447717234E-2</v>
      </c>
      <c r="G41" s="261"/>
      <c r="H41" s="262"/>
    </row>
    <row r="42" spans="5:15">
      <c r="E42" s="259" t="s">
        <v>362</v>
      </c>
      <c r="F42" s="260">
        <f>G17/B17</f>
        <v>0.11215997603355304</v>
      </c>
      <c r="G42" s="261"/>
      <c r="H42" s="262"/>
    </row>
    <row r="43" spans="5:15">
      <c r="E43" s="259" t="s">
        <v>275</v>
      </c>
      <c r="F43" s="260">
        <f t="shared" si="6"/>
        <v>3.6531213191990576E-2</v>
      </c>
      <c r="G43" s="261"/>
      <c r="H43" s="262"/>
    </row>
    <row r="44" spans="5:15">
      <c r="E44" s="259" t="s">
        <v>276</v>
      </c>
      <c r="F44" s="260">
        <f t="shared" si="6"/>
        <v>3.9590011890606423E-2</v>
      </c>
      <c r="G44" s="261"/>
      <c r="H44" s="262"/>
    </row>
    <row r="45" spans="5:15">
      <c r="E45" s="259" t="s">
        <v>277</v>
      </c>
      <c r="F45" s="260">
        <f t="shared" si="6"/>
        <v>3.9190741152904524E-2</v>
      </c>
    </row>
  </sheetData>
  <mergeCells count="7">
    <mergeCell ref="N26:O26"/>
    <mergeCell ref="E33:F33"/>
    <mergeCell ref="G33:H33"/>
    <mergeCell ref="E7:G7"/>
    <mergeCell ref="J7:K7"/>
    <mergeCell ref="L7:M7"/>
    <mergeCell ref="L26:M26"/>
  </mergeCells>
  <hyperlinks>
    <hyperlink ref="A7" location="'Hyper Links'!A1" display="'Hyper Links'!A1" xr:uid="{A06019E8-7163-459D-B953-B2ABCB02EBF0}"/>
    <hyperlink ref="A27" location="'Water Loss-Use'!A1" display="'Water Loss-Use'!A1" xr:uid="{5CAE19F2-D8E0-4C81-88DC-70BC46D6457E}"/>
    <hyperlink ref="A6" location="'Water Loss-Use'!A1" display="'Water Loss-Use'!A1" xr:uid="{9D97D59C-B6D9-45B2-A46D-203998B0B5E2}"/>
  </hyperlinks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E41EA-0024-496B-BE3B-E5AF4550543E}">
  <dimension ref="A1:AK25"/>
  <sheetViews>
    <sheetView topLeftCell="P1" workbookViewId="0">
      <selection activeCell="AH12" sqref="AH12"/>
    </sheetView>
  </sheetViews>
  <sheetFormatPr defaultRowHeight="12.75"/>
  <cols>
    <col min="1" max="1" width="14.5703125" customWidth="1"/>
    <col min="2" max="32" width="8.7109375" customWidth="1"/>
    <col min="33" max="33" width="1.140625" customWidth="1"/>
    <col min="34" max="34" width="8.85546875" customWidth="1"/>
    <col min="35" max="35" width="8.7109375" customWidth="1"/>
    <col min="36" max="36" width="7.7109375" customWidth="1"/>
    <col min="37" max="37" width="7.42578125" bestFit="1" customWidth="1"/>
  </cols>
  <sheetData>
    <row r="1" spans="1:37" ht="15.75">
      <c r="A1" s="81" t="s">
        <v>337</v>
      </c>
      <c r="B1" s="82"/>
      <c r="C1" s="83"/>
      <c r="D1" s="82"/>
      <c r="E1" s="82"/>
      <c r="F1" s="82"/>
      <c r="G1" s="82"/>
      <c r="H1" s="82"/>
      <c r="I1" s="82"/>
      <c r="J1" s="82"/>
      <c r="K1" s="177" t="s">
        <v>247</v>
      </c>
      <c r="L1" s="82"/>
      <c r="M1" s="82"/>
      <c r="N1" s="82"/>
      <c r="O1" s="82"/>
      <c r="P1" s="82"/>
      <c r="Q1" s="82"/>
      <c r="R1" s="81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263"/>
    </row>
    <row r="2" spans="1:37" ht="14.25">
      <c r="A2" s="84"/>
      <c r="B2" s="82"/>
      <c r="C2" s="83"/>
      <c r="D2" s="85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263"/>
    </row>
    <row r="3" spans="1:37" ht="14.25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263"/>
    </row>
    <row r="4" spans="1:37">
      <c r="A4" s="86" t="s">
        <v>194</v>
      </c>
      <c r="B4" s="86">
        <v>1</v>
      </c>
      <c r="C4" s="86">
        <v>2</v>
      </c>
      <c r="D4" s="86">
        <v>3</v>
      </c>
      <c r="E4" s="86">
        <v>4</v>
      </c>
      <c r="F4" s="86">
        <v>5</v>
      </c>
      <c r="G4" s="86">
        <v>6</v>
      </c>
      <c r="H4" s="86">
        <v>7</v>
      </c>
      <c r="I4" s="86">
        <v>8</v>
      </c>
      <c r="J4" s="86">
        <v>9</v>
      </c>
      <c r="K4" s="86">
        <v>10</v>
      </c>
      <c r="L4" s="86">
        <v>11</v>
      </c>
      <c r="M4" s="86">
        <v>12</v>
      </c>
      <c r="N4" s="86">
        <v>13</v>
      </c>
      <c r="O4" s="86">
        <v>14</v>
      </c>
      <c r="P4" s="86">
        <v>15</v>
      </c>
      <c r="Q4" s="86">
        <v>16</v>
      </c>
      <c r="R4" s="86">
        <v>17</v>
      </c>
      <c r="S4" s="86">
        <v>18</v>
      </c>
      <c r="T4" s="86">
        <v>19</v>
      </c>
      <c r="U4" s="86">
        <v>20</v>
      </c>
      <c r="V4" s="86">
        <v>21</v>
      </c>
      <c r="W4" s="86">
        <v>22</v>
      </c>
      <c r="X4" s="86">
        <v>23</v>
      </c>
      <c r="Y4" s="86">
        <v>24</v>
      </c>
      <c r="Z4" s="86">
        <v>25</v>
      </c>
      <c r="AA4" s="86">
        <v>26</v>
      </c>
      <c r="AB4" s="86">
        <v>27</v>
      </c>
      <c r="AC4" s="86">
        <v>28</v>
      </c>
      <c r="AD4" s="86">
        <v>29</v>
      </c>
      <c r="AE4" s="86">
        <v>30</v>
      </c>
      <c r="AF4" s="86">
        <v>31</v>
      </c>
      <c r="AG4" s="87"/>
      <c r="AH4" s="88" t="s">
        <v>76</v>
      </c>
      <c r="AI4" s="88" t="s">
        <v>195</v>
      </c>
      <c r="AJ4" s="264" t="s">
        <v>261</v>
      </c>
      <c r="AK4" s="265" t="s">
        <v>363</v>
      </c>
    </row>
    <row r="5" spans="1:37">
      <c r="A5" s="266">
        <v>43466</v>
      </c>
      <c r="B5" s="103">
        <v>7.6999999999999999E-2</v>
      </c>
      <c r="C5" s="103">
        <v>6.4000000000000001E-2</v>
      </c>
      <c r="D5" s="103">
        <v>8.6999999999999994E-2</v>
      </c>
      <c r="E5" s="103">
        <v>0.10100000000000001</v>
      </c>
      <c r="F5" s="103">
        <v>7.0499999999999993E-2</v>
      </c>
      <c r="G5" s="103">
        <v>7.0499999999999993E-2</v>
      </c>
      <c r="H5" s="103">
        <v>0.06</v>
      </c>
      <c r="I5" s="103">
        <v>9.0999999999999998E-2</v>
      </c>
      <c r="J5" s="103">
        <v>7.5999999999999998E-2</v>
      </c>
      <c r="K5" s="103">
        <v>7.3999999999999996E-2</v>
      </c>
      <c r="L5" s="103">
        <v>0.10100000000000001</v>
      </c>
      <c r="M5" s="103">
        <v>7.7499999999999999E-2</v>
      </c>
      <c r="N5" s="103">
        <v>7.7499999999999999E-2</v>
      </c>
      <c r="O5" s="103">
        <v>6.5000000000000002E-2</v>
      </c>
      <c r="P5" s="103">
        <v>7.5999999999999998E-2</v>
      </c>
      <c r="Q5" s="103">
        <v>0.08</v>
      </c>
      <c r="R5" s="103">
        <v>8.7999999999999995E-2</v>
      </c>
      <c r="S5" s="103">
        <v>9.8000000000000004E-2</v>
      </c>
      <c r="T5" s="103">
        <v>0.06</v>
      </c>
      <c r="U5" s="103">
        <v>0.06</v>
      </c>
      <c r="V5" s="103">
        <v>8.7999999999999995E-2</v>
      </c>
      <c r="W5" s="103">
        <v>8.7999999999999995E-2</v>
      </c>
      <c r="X5" s="103">
        <v>6.4000000000000001E-2</v>
      </c>
      <c r="Y5" s="103">
        <v>8.8999999999999996E-2</v>
      </c>
      <c r="Z5" s="103">
        <v>7.5999999999999998E-2</v>
      </c>
      <c r="AA5" s="103">
        <v>7.5999999999999998E-2</v>
      </c>
      <c r="AB5" s="103">
        <v>7.5999999999999998E-2</v>
      </c>
      <c r="AC5" s="103">
        <v>6.6000000000000003E-2</v>
      </c>
      <c r="AD5" s="103">
        <v>8.5999999999999993E-2</v>
      </c>
      <c r="AE5" s="103">
        <v>7.5999999999999998E-2</v>
      </c>
      <c r="AF5" s="103">
        <v>8.8999999999999996E-2</v>
      </c>
      <c r="AG5" s="89"/>
      <c r="AH5" s="104">
        <f>SUM(B5:AF5)</f>
        <v>2.4280000000000004</v>
      </c>
      <c r="AI5" s="267">
        <v>7.8322580645161302E-2</v>
      </c>
      <c r="AJ5" s="268">
        <f>MAX(B5:AF5)</f>
        <v>0.10100000000000001</v>
      </c>
      <c r="AK5" s="222">
        <v>0</v>
      </c>
    </row>
    <row r="6" spans="1:37">
      <c r="A6" s="77" t="s">
        <v>136</v>
      </c>
      <c r="B6" s="103">
        <v>9.9000000000000005E-2</v>
      </c>
      <c r="C6" s="103">
        <v>7.1999999999999995E-2</v>
      </c>
      <c r="D6" s="103">
        <v>7.1999999999999995E-2</v>
      </c>
      <c r="E6" s="103">
        <v>8.8999999999999996E-2</v>
      </c>
      <c r="F6" s="103">
        <v>8.7999999999999995E-2</v>
      </c>
      <c r="G6" s="103">
        <v>0.06</v>
      </c>
      <c r="H6" s="103">
        <v>9.2999999999999999E-2</v>
      </c>
      <c r="I6" s="145">
        <v>0.13400000000000001</v>
      </c>
      <c r="J6" s="103">
        <v>6.5500000000000003E-2</v>
      </c>
      <c r="K6" s="103">
        <v>6.5500000000000003E-2</v>
      </c>
      <c r="L6" s="103">
        <v>7.8E-2</v>
      </c>
      <c r="M6" s="103">
        <v>7.5999999999999998E-2</v>
      </c>
      <c r="N6" s="103">
        <v>7.9000000000000001E-2</v>
      </c>
      <c r="O6" s="103">
        <v>8.7999999999999995E-2</v>
      </c>
      <c r="P6" s="103">
        <v>0.123</v>
      </c>
      <c r="Q6" s="103">
        <v>7.8E-2</v>
      </c>
      <c r="R6" s="103">
        <v>7.8E-2</v>
      </c>
      <c r="S6" s="103">
        <v>8.6999999999999994E-2</v>
      </c>
      <c r="T6" s="103">
        <v>8.8999999999999996E-2</v>
      </c>
      <c r="U6" s="103">
        <v>8.8999999999999996E-2</v>
      </c>
      <c r="V6" s="103">
        <v>8.8999999999999996E-2</v>
      </c>
      <c r="W6" s="103">
        <v>0.11</v>
      </c>
      <c r="X6" s="103">
        <v>7.7499999999999999E-2</v>
      </c>
      <c r="Y6" s="103">
        <v>7.7499999999999999E-2</v>
      </c>
      <c r="Z6" s="103">
        <v>0.10100000000000001</v>
      </c>
      <c r="AA6" s="103">
        <v>8.7999999999999995E-2</v>
      </c>
      <c r="AB6" s="103">
        <v>7.6999999999999999E-2</v>
      </c>
      <c r="AC6" s="103">
        <v>0.10100000000000001</v>
      </c>
      <c r="AD6" s="90"/>
      <c r="AE6" s="90"/>
      <c r="AF6" s="90"/>
      <c r="AG6" s="89"/>
      <c r="AH6" s="104">
        <f t="shared" ref="AH6:AH16" si="0">SUM(B6:AF6)</f>
        <v>2.4239999999999999</v>
      </c>
      <c r="AI6" s="267">
        <v>8.6571428571428563E-2</v>
      </c>
      <c r="AJ6" s="278">
        <f t="shared" ref="AJ6:AJ16" si="1">MAX(B6:AF6)</f>
        <v>0.13400000000000001</v>
      </c>
      <c r="AK6" s="222">
        <v>0</v>
      </c>
    </row>
    <row r="7" spans="1:37">
      <c r="A7" s="77" t="s">
        <v>137</v>
      </c>
      <c r="B7" s="103">
        <v>0.12</v>
      </c>
      <c r="C7" s="103">
        <v>8.6999999999999994E-2</v>
      </c>
      <c r="D7" s="103">
        <v>8.6999999999999994E-2</v>
      </c>
      <c r="E7" s="103">
        <v>7.6999999999999999E-2</v>
      </c>
      <c r="F7" s="103">
        <v>8.5999999999999993E-2</v>
      </c>
      <c r="G7" s="103">
        <v>0.10100000000000001</v>
      </c>
      <c r="H7" s="103">
        <v>7.9000000000000001E-2</v>
      </c>
      <c r="I7" s="103">
        <v>0.124</v>
      </c>
      <c r="J7" s="103">
        <v>7.1999999999999995E-2</v>
      </c>
      <c r="K7" s="103">
        <v>7.1999999999999995E-2</v>
      </c>
      <c r="L7" s="103">
        <v>0.1</v>
      </c>
      <c r="M7" s="103">
        <v>7.0999999999999994E-2</v>
      </c>
      <c r="N7" s="103">
        <v>9.5000000000000001E-2</v>
      </c>
      <c r="O7" s="103">
        <v>8.7999999999999995E-2</v>
      </c>
      <c r="P7" s="103">
        <v>0.122</v>
      </c>
      <c r="Q7" s="103">
        <v>8.9499999999999996E-2</v>
      </c>
      <c r="R7" s="103">
        <v>8.9499999999999996E-2</v>
      </c>
      <c r="S7" s="103">
        <v>6.8000000000000005E-2</v>
      </c>
      <c r="T7" s="103">
        <v>9.8000000000000004E-2</v>
      </c>
      <c r="U7" s="103">
        <v>8.8999999999999996E-2</v>
      </c>
      <c r="V7" s="103">
        <v>0.1</v>
      </c>
      <c r="W7" s="103">
        <v>0.111</v>
      </c>
      <c r="X7" s="103">
        <v>7.8E-2</v>
      </c>
      <c r="Y7" s="103">
        <v>7.8E-2</v>
      </c>
      <c r="Z7" s="103">
        <v>7.6999999999999999E-2</v>
      </c>
      <c r="AA7" s="103">
        <v>9.1999999999999998E-2</v>
      </c>
      <c r="AB7" s="103">
        <v>7.2999999999999995E-2</v>
      </c>
      <c r="AC7" s="103">
        <v>9.1999999999999998E-2</v>
      </c>
      <c r="AD7" s="103">
        <v>0.12</v>
      </c>
      <c r="AE7" s="103">
        <v>7.9000000000000001E-2</v>
      </c>
      <c r="AF7" s="103">
        <v>7.9000000000000001E-2</v>
      </c>
      <c r="AG7" s="89"/>
      <c r="AH7" s="146">
        <f t="shared" si="0"/>
        <v>2.794</v>
      </c>
      <c r="AI7" s="267">
        <v>8.9806451612903238E-2</v>
      </c>
      <c r="AJ7" s="268">
        <f t="shared" si="1"/>
        <v>0.124</v>
      </c>
      <c r="AK7" s="222">
        <v>0</v>
      </c>
    </row>
    <row r="8" spans="1:37">
      <c r="A8" s="77" t="s">
        <v>138</v>
      </c>
      <c r="B8" s="103">
        <v>7.5999999999999998E-2</v>
      </c>
      <c r="C8" s="103">
        <v>7.6999999999999999E-2</v>
      </c>
      <c r="D8" s="103">
        <v>7.5999999999999998E-2</v>
      </c>
      <c r="E8" s="103">
        <v>0.1</v>
      </c>
      <c r="F8" s="103">
        <v>8.6999999999999994E-2</v>
      </c>
      <c r="G8" s="103">
        <v>7.0999999999999994E-2</v>
      </c>
      <c r="H8" s="103">
        <v>7.0999999999999994E-2</v>
      </c>
      <c r="I8" s="103">
        <v>7.5999999999999998E-2</v>
      </c>
      <c r="J8" s="103">
        <v>7.6999999999999999E-2</v>
      </c>
      <c r="K8" s="103">
        <v>6.6000000000000003E-2</v>
      </c>
      <c r="L8" s="103">
        <v>8.5000000000000006E-2</v>
      </c>
      <c r="M8" s="103">
        <v>8.7999999999999995E-2</v>
      </c>
      <c r="N8" s="103">
        <v>5.9499999999999997E-2</v>
      </c>
      <c r="O8" s="103">
        <v>5.9499999999999997E-2</v>
      </c>
      <c r="P8" s="103">
        <v>6.5000000000000002E-2</v>
      </c>
      <c r="Q8" s="103">
        <v>6.4000000000000001E-2</v>
      </c>
      <c r="R8" s="103">
        <v>6.5000000000000002E-2</v>
      </c>
      <c r="S8" s="103">
        <v>6.7000000000000004E-2</v>
      </c>
      <c r="T8" s="103">
        <v>9.2999999999999999E-2</v>
      </c>
      <c r="U8" s="103">
        <v>5.3499999999999999E-2</v>
      </c>
      <c r="V8" s="103">
        <v>5.3499999999999999E-2</v>
      </c>
      <c r="W8" s="103">
        <v>6.5000000000000002E-2</v>
      </c>
      <c r="X8" s="103">
        <v>6.4000000000000001E-2</v>
      </c>
      <c r="Y8" s="103">
        <v>6.4000000000000001E-2</v>
      </c>
      <c r="Z8" s="103">
        <v>7.3999999999999996E-2</v>
      </c>
      <c r="AA8" s="103">
        <v>6.3E-2</v>
      </c>
      <c r="AB8" s="103">
        <v>4.2500000000000003E-2</v>
      </c>
      <c r="AC8" s="103">
        <v>4.2500000000000003E-2</v>
      </c>
      <c r="AD8" s="103">
        <v>6.4000000000000001E-2</v>
      </c>
      <c r="AE8" s="103">
        <v>5.2999999999999999E-2</v>
      </c>
      <c r="AF8" s="90"/>
      <c r="AG8" s="89"/>
      <c r="AH8" s="104">
        <f t="shared" si="0"/>
        <v>2.0619999999999998</v>
      </c>
      <c r="AI8" s="267">
        <v>6.8733333333333327E-2</v>
      </c>
      <c r="AJ8" s="268">
        <f t="shared" si="1"/>
        <v>0.1</v>
      </c>
      <c r="AK8" s="222">
        <v>0</v>
      </c>
    </row>
    <row r="9" spans="1:37">
      <c r="A9" s="77" t="s">
        <v>139</v>
      </c>
      <c r="B9" s="103">
        <v>6.0999999999999999E-2</v>
      </c>
      <c r="C9" s="103">
        <v>5.3999999999999999E-2</v>
      </c>
      <c r="D9" s="103">
        <v>7.5999999999999998E-2</v>
      </c>
      <c r="E9" s="103">
        <v>4.7500000000000001E-2</v>
      </c>
      <c r="F9" s="103">
        <v>4.7500000000000001E-2</v>
      </c>
      <c r="G9" s="103">
        <v>4.2000000000000003E-2</v>
      </c>
      <c r="H9" s="103">
        <v>5.6000000000000001E-2</v>
      </c>
      <c r="I9" s="103">
        <v>5.1999999999999998E-2</v>
      </c>
      <c r="J9" s="103">
        <v>4.1000000000000002E-2</v>
      </c>
      <c r="K9" s="103">
        <v>6.3E-2</v>
      </c>
      <c r="L9" s="103">
        <v>4.1500000000000002E-2</v>
      </c>
      <c r="M9" s="103">
        <v>4.1500000000000002E-2</v>
      </c>
      <c r="N9" s="103">
        <v>4.2000000000000003E-2</v>
      </c>
      <c r="O9" s="103">
        <v>4.9000000000000002E-2</v>
      </c>
      <c r="P9" s="103">
        <v>4.3999999999999997E-2</v>
      </c>
      <c r="Q9" s="103">
        <v>4.4999999999999998E-2</v>
      </c>
      <c r="R9" s="103">
        <v>5.8999999999999997E-2</v>
      </c>
      <c r="S9" s="103">
        <v>4.2000000000000003E-2</v>
      </c>
      <c r="T9" s="103">
        <v>4.2000000000000003E-2</v>
      </c>
      <c r="U9" s="103">
        <v>4.1000000000000002E-2</v>
      </c>
      <c r="V9" s="103">
        <v>4.1000000000000002E-2</v>
      </c>
      <c r="W9" s="103">
        <v>5.1999999999999998E-2</v>
      </c>
      <c r="X9" s="103">
        <v>4.1000000000000002E-2</v>
      </c>
      <c r="Y9" s="103">
        <v>5.1999999999999998E-2</v>
      </c>
      <c r="Z9" s="103">
        <v>4.1500000000000002E-2</v>
      </c>
      <c r="AA9" s="103">
        <v>4.1500000000000002E-2</v>
      </c>
      <c r="AB9" s="103">
        <v>4.1000000000000002E-2</v>
      </c>
      <c r="AC9" s="103">
        <v>5.1999999999999998E-2</v>
      </c>
      <c r="AD9" s="103">
        <v>6.3E-2</v>
      </c>
      <c r="AE9" s="103">
        <v>4.2000000000000003E-2</v>
      </c>
      <c r="AF9" s="103">
        <v>6.3E-2</v>
      </c>
      <c r="AG9" s="89"/>
      <c r="AH9" s="104">
        <f t="shared" si="0"/>
        <v>1.5170000000000003</v>
      </c>
      <c r="AI9" s="267">
        <v>4.8935483870967751E-2</v>
      </c>
      <c r="AJ9" s="268">
        <f t="shared" si="1"/>
        <v>7.5999999999999998E-2</v>
      </c>
      <c r="AK9" s="222">
        <v>0</v>
      </c>
    </row>
    <row r="10" spans="1:37">
      <c r="A10" s="77" t="s">
        <v>140</v>
      </c>
      <c r="B10" s="103">
        <v>4.1500000000000002E-2</v>
      </c>
      <c r="C10" s="103">
        <v>4.1500000000000002E-2</v>
      </c>
      <c r="D10" s="103">
        <v>4.8000000000000001E-2</v>
      </c>
      <c r="E10" s="103">
        <v>4.4999999999999998E-2</v>
      </c>
      <c r="F10" s="103">
        <v>4.8000000000000001E-2</v>
      </c>
      <c r="G10" s="103">
        <v>4.1000000000000002E-2</v>
      </c>
      <c r="H10" s="103">
        <v>5.0999999999999997E-2</v>
      </c>
      <c r="I10" s="103">
        <v>3.9E-2</v>
      </c>
      <c r="J10" s="103">
        <v>3.9E-2</v>
      </c>
      <c r="K10" s="103">
        <v>4.4999999999999998E-2</v>
      </c>
      <c r="L10" s="103">
        <v>3.7999999999999999E-2</v>
      </c>
      <c r="M10" s="103">
        <v>4.1000000000000002E-2</v>
      </c>
      <c r="N10" s="103">
        <v>4.1000000000000002E-2</v>
      </c>
      <c r="O10" s="103">
        <v>5.1999999999999998E-2</v>
      </c>
      <c r="P10" s="103">
        <v>3.6499999999999998E-2</v>
      </c>
      <c r="Q10" s="103">
        <v>3.6499999999999998E-2</v>
      </c>
      <c r="R10" s="103">
        <v>5.1999999999999998E-2</v>
      </c>
      <c r="S10" s="103">
        <v>4.2000000000000003E-2</v>
      </c>
      <c r="T10" s="103">
        <v>4.4999999999999998E-2</v>
      </c>
      <c r="U10" s="103">
        <v>5.8000000000000003E-2</v>
      </c>
      <c r="V10" s="103">
        <v>4.1000000000000002E-2</v>
      </c>
      <c r="W10" s="103">
        <v>4.2000000000000003E-2</v>
      </c>
      <c r="X10" s="103">
        <v>4.2000000000000003E-2</v>
      </c>
      <c r="Y10" s="103">
        <v>4.1000000000000002E-2</v>
      </c>
      <c r="Z10" s="103">
        <v>5.2999999999999999E-2</v>
      </c>
      <c r="AA10" s="103">
        <v>4.1000000000000002E-2</v>
      </c>
      <c r="AB10" s="103">
        <v>4.2000000000000003E-2</v>
      </c>
      <c r="AC10" s="103">
        <v>5.0999999999999997E-2</v>
      </c>
      <c r="AD10" s="103">
        <v>3.9E-2</v>
      </c>
      <c r="AE10" s="103">
        <v>3.9E-2</v>
      </c>
      <c r="AF10" s="90"/>
      <c r="AG10" s="89"/>
      <c r="AH10" s="104">
        <f t="shared" si="0"/>
        <v>1.3119999999999998</v>
      </c>
      <c r="AI10" s="267">
        <v>4.3733333333333325E-2</v>
      </c>
      <c r="AJ10" s="268">
        <f t="shared" si="1"/>
        <v>5.8000000000000003E-2</v>
      </c>
      <c r="AK10" s="222">
        <v>0</v>
      </c>
    </row>
    <row r="11" spans="1:37">
      <c r="A11" s="77" t="s">
        <v>141</v>
      </c>
      <c r="B11" s="103">
        <v>4.5999999999999999E-2</v>
      </c>
      <c r="C11" s="103">
        <v>4.5999999999999999E-2</v>
      </c>
      <c r="D11" s="103">
        <v>5.1999999999999998E-2</v>
      </c>
      <c r="E11" s="103">
        <v>3.1E-2</v>
      </c>
      <c r="F11" s="103">
        <v>4.1000000000000002E-2</v>
      </c>
      <c r="G11" s="103">
        <v>4.65E-2</v>
      </c>
      <c r="H11" s="103">
        <v>4.65E-2</v>
      </c>
      <c r="I11" s="103">
        <v>3.9E-2</v>
      </c>
      <c r="J11" s="103">
        <v>3.4000000000000002E-2</v>
      </c>
      <c r="K11" s="103">
        <v>4.1000000000000002E-2</v>
      </c>
      <c r="L11" s="103">
        <v>4.1000000000000002E-2</v>
      </c>
      <c r="M11" s="103">
        <v>5.1999999999999998E-2</v>
      </c>
      <c r="N11" s="103">
        <v>4.1000000000000002E-2</v>
      </c>
      <c r="O11" s="103">
        <v>4.1000000000000002E-2</v>
      </c>
      <c r="P11" s="103">
        <v>4.2000000000000003E-2</v>
      </c>
      <c r="Q11" s="103">
        <v>4.1000000000000002E-2</v>
      </c>
      <c r="R11" s="103">
        <v>4.2000000000000003E-2</v>
      </c>
      <c r="S11" s="103">
        <v>4.1000000000000002E-2</v>
      </c>
      <c r="T11" s="103">
        <v>5.1999999999999998E-2</v>
      </c>
      <c r="U11" s="103">
        <v>4.1000000000000002E-2</v>
      </c>
      <c r="V11" s="103">
        <v>4.1000000000000002E-2</v>
      </c>
      <c r="W11" s="103">
        <v>4.2000000000000003E-2</v>
      </c>
      <c r="X11" s="103">
        <v>4.1000000000000002E-2</v>
      </c>
      <c r="Y11" s="103">
        <v>4.2000000000000003E-2</v>
      </c>
      <c r="Z11" s="103">
        <v>5.1999999999999998E-2</v>
      </c>
      <c r="AA11" s="103">
        <v>4.1000000000000002E-2</v>
      </c>
      <c r="AB11" s="103">
        <v>3.5999999999999997E-2</v>
      </c>
      <c r="AC11" s="103">
        <v>3.5999999999999997E-2</v>
      </c>
      <c r="AD11" s="103">
        <v>0.04</v>
      </c>
      <c r="AE11" s="103">
        <v>4.2999999999999997E-2</v>
      </c>
      <c r="AF11" s="103">
        <v>4.1000000000000002E-2</v>
      </c>
      <c r="AG11" s="89"/>
      <c r="AH11" s="104">
        <f t="shared" si="0"/>
        <v>1.3120000000000003</v>
      </c>
      <c r="AI11" s="267">
        <v>4.2322580645161298E-2</v>
      </c>
      <c r="AJ11" s="268">
        <f t="shared" si="1"/>
        <v>5.1999999999999998E-2</v>
      </c>
      <c r="AK11" s="222">
        <v>0</v>
      </c>
    </row>
    <row r="12" spans="1:37">
      <c r="A12" s="77" t="s">
        <v>142</v>
      </c>
      <c r="B12" s="103">
        <v>3.1E-2</v>
      </c>
      <c r="C12" s="103">
        <v>5.0999999999999997E-2</v>
      </c>
      <c r="D12" s="103">
        <v>3.5999999999999997E-2</v>
      </c>
      <c r="E12" s="103">
        <v>3.5999999999999997E-2</v>
      </c>
      <c r="F12" s="103">
        <v>4.2000000000000003E-2</v>
      </c>
      <c r="G12" s="103">
        <v>4.1000000000000002E-2</v>
      </c>
      <c r="H12" s="103">
        <v>4.1000000000000002E-2</v>
      </c>
      <c r="I12" s="103">
        <v>4.2000000000000003E-2</v>
      </c>
      <c r="J12" s="103">
        <v>5.1999999999999998E-2</v>
      </c>
      <c r="K12" s="103">
        <v>4.1500000000000002E-2</v>
      </c>
      <c r="L12" s="103">
        <v>4.1500000000000002E-2</v>
      </c>
      <c r="M12" s="103">
        <v>0.03</v>
      </c>
      <c r="N12" s="103">
        <v>4.2000000000000003E-2</v>
      </c>
      <c r="O12" s="103">
        <v>3.5000000000000003E-2</v>
      </c>
      <c r="P12" s="103">
        <v>4.2000000000000003E-2</v>
      </c>
      <c r="Q12" s="103">
        <v>5.5E-2</v>
      </c>
      <c r="R12" s="103">
        <v>4.0500000000000001E-2</v>
      </c>
      <c r="S12" s="103">
        <v>4.0500000000000001E-2</v>
      </c>
      <c r="T12" s="103">
        <v>3.2000000000000001E-2</v>
      </c>
      <c r="U12" s="103">
        <v>6.7000000000000004E-2</v>
      </c>
      <c r="V12" s="103">
        <v>0.03</v>
      </c>
      <c r="W12" s="103">
        <v>0.06</v>
      </c>
      <c r="X12" s="103">
        <v>5.7000000000000002E-2</v>
      </c>
      <c r="Y12" s="103">
        <v>3.6499999999999998E-2</v>
      </c>
      <c r="Z12" s="103">
        <v>3.6499999999999998E-2</v>
      </c>
      <c r="AA12" s="103">
        <v>5.0999999999999997E-2</v>
      </c>
      <c r="AB12" s="103">
        <v>4.2000000000000003E-2</v>
      </c>
      <c r="AC12" s="103">
        <v>4.1000000000000002E-2</v>
      </c>
      <c r="AD12" s="103">
        <v>4.1000000000000002E-2</v>
      </c>
      <c r="AE12" s="103">
        <v>5.1999999999999998E-2</v>
      </c>
      <c r="AF12" s="103">
        <v>3.5999999999999997E-2</v>
      </c>
      <c r="AG12" s="91"/>
      <c r="AH12" s="104">
        <f t="shared" si="0"/>
        <v>1.3220000000000003</v>
      </c>
      <c r="AI12" s="267">
        <v>4.3806451612903224E-2</v>
      </c>
      <c r="AJ12" s="268">
        <f t="shared" si="1"/>
        <v>6.7000000000000004E-2</v>
      </c>
      <c r="AK12" s="222">
        <v>0</v>
      </c>
    </row>
    <row r="13" spans="1:37">
      <c r="A13" s="77" t="s">
        <v>143</v>
      </c>
      <c r="B13" s="103">
        <v>3.5999999999999997E-2</v>
      </c>
      <c r="C13" s="103">
        <v>4.2000000000000003E-2</v>
      </c>
      <c r="D13" s="103">
        <v>5.1999999999999998E-2</v>
      </c>
      <c r="E13" s="103">
        <v>5.2999999999999999E-2</v>
      </c>
      <c r="F13" s="103">
        <v>6.3E-2</v>
      </c>
      <c r="G13" s="103">
        <v>5.3999999999999999E-2</v>
      </c>
      <c r="H13" s="103">
        <v>5.1499999999999997E-2</v>
      </c>
      <c r="I13" s="103">
        <v>5.1499999999999997E-2</v>
      </c>
      <c r="J13" s="103">
        <v>5.0999999999999997E-2</v>
      </c>
      <c r="K13" s="103">
        <v>4.2000000000000003E-2</v>
      </c>
      <c r="L13" s="103">
        <v>4.5999999999999999E-2</v>
      </c>
      <c r="M13" s="103">
        <v>4.1000000000000002E-2</v>
      </c>
      <c r="N13" s="103">
        <v>7.2999999999999995E-2</v>
      </c>
      <c r="O13" s="103">
        <v>5.7000000000000002E-2</v>
      </c>
      <c r="P13" s="103">
        <v>5.7000000000000002E-2</v>
      </c>
      <c r="Q13" s="145">
        <v>0.13500000000000001</v>
      </c>
      <c r="R13" s="103">
        <v>7.2999999999999995E-2</v>
      </c>
      <c r="S13" s="103">
        <v>5.2999999999999999E-2</v>
      </c>
      <c r="T13" s="103">
        <v>5.1999999999999998E-2</v>
      </c>
      <c r="U13" s="103">
        <v>6.3E-2</v>
      </c>
      <c r="V13" s="103">
        <v>5.1999999999999998E-2</v>
      </c>
      <c r="W13" s="103">
        <v>5.1999999999999998E-2</v>
      </c>
      <c r="X13" s="103">
        <v>5.2999999999999999E-2</v>
      </c>
      <c r="Y13" s="103">
        <v>5.1999999999999998E-2</v>
      </c>
      <c r="Z13" s="103">
        <v>5.1999999999999998E-2</v>
      </c>
      <c r="AA13" s="103">
        <v>4.1000000000000002E-2</v>
      </c>
      <c r="AB13" s="103">
        <v>7.3999999999999996E-2</v>
      </c>
      <c r="AC13" s="103">
        <v>4.7E-2</v>
      </c>
      <c r="AD13" s="103">
        <v>4.7E-2</v>
      </c>
      <c r="AE13" s="103">
        <v>5.2999999999999999E-2</v>
      </c>
      <c r="AF13" s="90"/>
      <c r="AG13" s="91"/>
      <c r="AH13" s="104">
        <f t="shared" si="0"/>
        <v>1.6689999999999998</v>
      </c>
      <c r="AI13" s="267">
        <v>5.5633333333333326E-2</v>
      </c>
      <c r="AJ13" s="278">
        <f t="shared" si="1"/>
        <v>0.13500000000000001</v>
      </c>
      <c r="AK13" s="222">
        <v>0</v>
      </c>
    </row>
    <row r="14" spans="1:37">
      <c r="A14" s="77" t="s">
        <v>144</v>
      </c>
      <c r="B14" s="103">
        <v>5.1999999999999998E-2</v>
      </c>
      <c r="C14" s="103">
        <v>5.1999999999999998E-2</v>
      </c>
      <c r="D14" s="103">
        <v>6.4000000000000001E-2</v>
      </c>
      <c r="E14" s="103">
        <v>6.3E-2</v>
      </c>
      <c r="F14" s="103">
        <v>5.1999999999999998E-2</v>
      </c>
      <c r="G14" s="103">
        <v>5.2999999999999999E-2</v>
      </c>
      <c r="H14" s="103">
        <v>4.5999999999999999E-2</v>
      </c>
      <c r="I14" s="103">
        <v>4.8000000000000001E-2</v>
      </c>
      <c r="J14" s="103">
        <v>4.9000000000000002E-2</v>
      </c>
      <c r="K14" s="103">
        <v>6.2E-2</v>
      </c>
      <c r="L14" s="103">
        <v>6.8000000000000005E-2</v>
      </c>
      <c r="M14" s="103">
        <v>5.5E-2</v>
      </c>
      <c r="N14" s="103">
        <v>5.6000000000000001E-2</v>
      </c>
      <c r="O14" s="103">
        <v>3.9E-2</v>
      </c>
      <c r="P14" s="103">
        <v>5.5E-2</v>
      </c>
      <c r="Q14" s="103">
        <v>5.1999999999999998E-2</v>
      </c>
      <c r="R14" s="103">
        <v>6.3E-2</v>
      </c>
      <c r="S14" s="103">
        <v>5.2999999999999999E-2</v>
      </c>
      <c r="T14" s="103">
        <v>4.7E-2</v>
      </c>
      <c r="U14" s="103">
        <v>4.5999999999999999E-2</v>
      </c>
      <c r="V14" s="103">
        <v>4.2000000000000003E-2</v>
      </c>
      <c r="W14" s="103">
        <v>5.2999999999999999E-2</v>
      </c>
      <c r="X14" s="103">
        <v>6.3E-2</v>
      </c>
      <c r="Y14" s="103">
        <v>6.4000000000000001E-2</v>
      </c>
      <c r="Z14" s="103">
        <v>5.1999999999999998E-2</v>
      </c>
      <c r="AA14" s="103">
        <v>4.7E-2</v>
      </c>
      <c r="AB14" s="103">
        <v>4.7E-2</v>
      </c>
      <c r="AC14" s="103">
        <v>6.4000000000000001E-2</v>
      </c>
      <c r="AD14" s="103">
        <v>5.1999999999999998E-2</v>
      </c>
      <c r="AE14" s="103">
        <v>6.4000000000000001E-2</v>
      </c>
      <c r="AF14" s="103">
        <v>6.4000000000000001E-2</v>
      </c>
      <c r="AG14" s="91"/>
      <c r="AH14" s="104">
        <f t="shared" si="0"/>
        <v>1.6870000000000005</v>
      </c>
      <c r="AI14" s="267">
        <v>5.4774193548387105E-2</v>
      </c>
      <c r="AJ14" s="268">
        <f t="shared" si="1"/>
        <v>6.8000000000000005E-2</v>
      </c>
      <c r="AK14" s="222">
        <v>0</v>
      </c>
    </row>
    <row r="15" spans="1:37">
      <c r="A15" s="77" t="s">
        <v>145</v>
      </c>
      <c r="B15" s="103">
        <v>7.4999999999999997E-2</v>
      </c>
      <c r="C15" s="103">
        <v>5.6000000000000001E-2</v>
      </c>
      <c r="D15" s="103">
        <v>5.6000000000000001E-2</v>
      </c>
      <c r="E15" s="103">
        <v>7.0000000000000007E-2</v>
      </c>
      <c r="F15" s="103">
        <v>6.7000000000000004E-2</v>
      </c>
      <c r="G15" s="103">
        <v>5.9000000000000004E-2</v>
      </c>
      <c r="H15" s="103">
        <v>8.1000000000000003E-2</v>
      </c>
      <c r="I15" s="103">
        <v>5.0999999999999997E-2</v>
      </c>
      <c r="J15" s="103">
        <v>7.1999999999999995E-2</v>
      </c>
      <c r="K15" s="103">
        <v>7.1999999999999995E-2</v>
      </c>
      <c r="L15" s="103">
        <v>6.8000000000000005E-2</v>
      </c>
      <c r="M15" s="103">
        <v>7.1999999999999995E-2</v>
      </c>
      <c r="N15" s="103">
        <v>6.4000000000000001E-2</v>
      </c>
      <c r="O15" s="103">
        <v>7.4999999999999997E-2</v>
      </c>
      <c r="P15" s="103">
        <v>7.3999999999999996E-2</v>
      </c>
      <c r="Q15" s="103">
        <v>6.5000000000000002E-2</v>
      </c>
      <c r="R15" s="103">
        <v>6.5000000000000002E-2</v>
      </c>
      <c r="S15" s="103">
        <v>7.5999999999999998E-2</v>
      </c>
      <c r="T15" s="103">
        <v>7.5999999999999998E-2</v>
      </c>
      <c r="U15" s="103">
        <v>8.6999999999999994E-2</v>
      </c>
      <c r="V15" s="103">
        <v>5.3999999999999999E-2</v>
      </c>
      <c r="W15" s="103">
        <v>8.6999999999999994E-2</v>
      </c>
      <c r="X15" s="103">
        <v>5.8999999999999997E-2</v>
      </c>
      <c r="Y15" s="103">
        <v>5.8999999999999997E-2</v>
      </c>
      <c r="Z15" s="103">
        <v>7.8E-2</v>
      </c>
      <c r="AA15" s="103">
        <v>8.6999999999999994E-2</v>
      </c>
      <c r="AB15" s="103">
        <v>0.08</v>
      </c>
      <c r="AC15" s="103">
        <v>7.1999999999999995E-2</v>
      </c>
      <c r="AD15" s="103">
        <v>7.5999999999999998E-2</v>
      </c>
      <c r="AE15" s="103">
        <v>6.9500000000000006E-2</v>
      </c>
      <c r="AF15" s="90"/>
      <c r="AG15" s="91"/>
      <c r="AH15" s="104">
        <f t="shared" si="0"/>
        <v>2.1025</v>
      </c>
      <c r="AI15" s="267">
        <v>7.0083333333333331E-2</v>
      </c>
      <c r="AJ15" s="268">
        <f t="shared" si="1"/>
        <v>8.6999999999999994E-2</v>
      </c>
      <c r="AK15" s="222">
        <v>0</v>
      </c>
    </row>
    <row r="16" spans="1:37">
      <c r="A16" s="77" t="s">
        <v>146</v>
      </c>
      <c r="B16" s="103">
        <v>6.9500000000000006E-2</v>
      </c>
      <c r="C16" s="103">
        <v>7.9000000000000001E-2</v>
      </c>
      <c r="D16" s="103">
        <v>7.8E-2</v>
      </c>
      <c r="E16" s="103">
        <v>8.6999999999999994E-2</v>
      </c>
      <c r="F16" s="103">
        <v>6.5000000000000002E-2</v>
      </c>
      <c r="G16" s="103">
        <v>8.7999999999999995E-2</v>
      </c>
      <c r="H16" s="103">
        <v>7.0000000000000007E-2</v>
      </c>
      <c r="I16" s="103">
        <v>7.0000000000000007E-2</v>
      </c>
      <c r="J16" s="103">
        <v>7.5999999999999998E-2</v>
      </c>
      <c r="K16" s="103">
        <v>6.5000000000000002E-2</v>
      </c>
      <c r="L16" s="103">
        <v>7.5999999999999998E-2</v>
      </c>
      <c r="M16" s="103">
        <v>7.4999999999999997E-2</v>
      </c>
      <c r="N16" s="103">
        <v>0.108</v>
      </c>
      <c r="O16" s="103">
        <v>5.9499999999999997E-2</v>
      </c>
      <c r="P16" s="103">
        <v>5.9499999999999997E-2</v>
      </c>
      <c r="Q16" s="103">
        <v>7.5999999999999998E-2</v>
      </c>
      <c r="R16" s="103">
        <v>6.9000000000000006E-2</v>
      </c>
      <c r="S16" s="103">
        <v>5.8999999999999997E-2</v>
      </c>
      <c r="T16" s="103">
        <v>6.2E-2</v>
      </c>
      <c r="U16" s="103">
        <v>8.5000000000000006E-2</v>
      </c>
      <c r="V16" s="103">
        <v>6.0999999999999999E-2</v>
      </c>
      <c r="W16" s="103">
        <v>6.0999999999999999E-2</v>
      </c>
      <c r="X16" s="103">
        <v>7.5999999999999998E-2</v>
      </c>
      <c r="Y16" s="103">
        <v>5.2999999999999999E-2</v>
      </c>
      <c r="Z16" s="103">
        <v>7.5999999999999998E-2</v>
      </c>
      <c r="AA16" s="103">
        <v>7.4999999999999997E-2</v>
      </c>
      <c r="AB16" s="103">
        <v>9.8000000000000004E-2</v>
      </c>
      <c r="AC16" s="103">
        <v>5.9499999999999997E-2</v>
      </c>
      <c r="AD16" s="103">
        <v>5.9499999999999997E-2</v>
      </c>
      <c r="AE16" s="103">
        <v>8.7999999999999995E-2</v>
      </c>
      <c r="AF16" s="103">
        <v>6.3E-2</v>
      </c>
      <c r="AG16" s="91"/>
      <c r="AH16" s="104">
        <f t="shared" si="0"/>
        <v>2.2464999999999997</v>
      </c>
      <c r="AI16" s="267">
        <v>7.2467741935483859E-2</v>
      </c>
      <c r="AJ16" s="268">
        <f t="shared" si="1"/>
        <v>0.108</v>
      </c>
      <c r="AK16" s="222">
        <v>0</v>
      </c>
    </row>
    <row r="17" spans="1:37" ht="14.25">
      <c r="A17" s="92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 t="s">
        <v>261</v>
      </c>
      <c r="AG17" s="92"/>
      <c r="AH17" s="93">
        <f>MAX(AH5:AH16)</f>
        <v>2.794</v>
      </c>
      <c r="AI17" s="94"/>
      <c r="AJ17" s="93">
        <f>MAX(AJ5:AJ16)</f>
        <v>0.13500000000000001</v>
      </c>
      <c r="AK17" s="263"/>
    </row>
    <row r="18" spans="1:37" ht="14.25">
      <c r="AH18" s="95">
        <v>22.913</v>
      </c>
      <c r="AI18" s="96" t="s">
        <v>199</v>
      </c>
      <c r="AJ18" s="97"/>
      <c r="AK18" s="263"/>
    </row>
    <row r="19" spans="1:37" ht="14.25">
      <c r="AH19" s="279"/>
      <c r="AI19" s="280"/>
      <c r="AJ19" s="281"/>
      <c r="AK19" s="263"/>
    </row>
    <row r="20" spans="1:37" ht="14.25">
      <c r="AH20" s="279"/>
      <c r="AI20" s="280"/>
      <c r="AJ20" s="281"/>
      <c r="AK20" s="263"/>
    </row>
    <row r="21" spans="1:37" ht="14.25">
      <c r="AH21" s="279"/>
      <c r="AI21" s="280"/>
      <c r="AJ21" s="281"/>
      <c r="AK21" s="263"/>
    </row>
    <row r="22" spans="1:37" ht="14.25">
      <c r="AH22" s="279"/>
      <c r="AI22" s="280"/>
      <c r="AJ22" s="281"/>
      <c r="AK22" s="263"/>
    </row>
    <row r="23" spans="1:37">
      <c r="A23" s="75" t="s">
        <v>366</v>
      </c>
    </row>
    <row r="24" spans="1:37">
      <c r="A24" s="86" t="s">
        <v>194</v>
      </c>
      <c r="B24" s="86">
        <v>18</v>
      </c>
      <c r="C24" s="86">
        <v>12</v>
      </c>
      <c r="D24" s="86">
        <v>9</v>
      </c>
      <c r="E24" s="86">
        <v>10</v>
      </c>
      <c r="F24" s="86">
        <v>27</v>
      </c>
      <c r="G24" s="86">
        <v>4</v>
      </c>
      <c r="H24" s="86">
        <v>25</v>
      </c>
      <c r="I24" s="86">
        <v>23</v>
      </c>
      <c r="J24" s="86">
        <v>24</v>
      </c>
      <c r="K24" s="86">
        <v>7</v>
      </c>
      <c r="L24" s="86">
        <v>30</v>
      </c>
      <c r="M24" s="86">
        <v>31</v>
      </c>
      <c r="N24" s="86">
        <v>5</v>
      </c>
      <c r="O24" s="86">
        <v>2</v>
      </c>
      <c r="P24" s="86">
        <v>3</v>
      </c>
      <c r="Q24" s="86">
        <v>14</v>
      </c>
      <c r="R24" s="86">
        <v>20</v>
      </c>
      <c r="S24" s="86">
        <v>16</v>
      </c>
      <c r="T24" s="86">
        <v>17</v>
      </c>
      <c r="U24" s="86">
        <v>26</v>
      </c>
      <c r="V24" s="86">
        <v>28</v>
      </c>
      <c r="W24" s="86">
        <v>13</v>
      </c>
      <c r="X24" s="86">
        <v>19</v>
      </c>
      <c r="Y24" s="86">
        <v>11</v>
      </c>
      <c r="Z24" s="86">
        <v>21</v>
      </c>
      <c r="AA24" s="86">
        <v>6</v>
      </c>
      <c r="AB24" s="86">
        <v>22</v>
      </c>
      <c r="AC24" s="86">
        <v>1</v>
      </c>
      <c r="AD24" s="86">
        <v>29</v>
      </c>
      <c r="AE24" s="86">
        <v>15</v>
      </c>
      <c r="AF24" s="86">
        <v>8</v>
      </c>
      <c r="AH24" s="277"/>
    </row>
    <row r="25" spans="1:37">
      <c r="A25" s="77" t="s">
        <v>137</v>
      </c>
      <c r="B25" s="103">
        <v>6.8000000000000005E-2</v>
      </c>
      <c r="C25" s="103">
        <v>7.0999999999999994E-2</v>
      </c>
      <c r="D25" s="103">
        <v>7.1999999999999995E-2</v>
      </c>
      <c r="E25" s="103">
        <v>7.1999999999999995E-2</v>
      </c>
      <c r="F25" s="103">
        <v>7.2999999999999995E-2</v>
      </c>
      <c r="G25" s="103">
        <v>7.6999999999999999E-2</v>
      </c>
      <c r="H25" s="103">
        <v>7.6999999999999999E-2</v>
      </c>
      <c r="I25" s="103">
        <v>7.8E-2</v>
      </c>
      <c r="J25" s="103">
        <v>7.8E-2</v>
      </c>
      <c r="K25" s="103">
        <v>7.9000000000000001E-2</v>
      </c>
      <c r="L25" s="103">
        <v>7.9000000000000001E-2</v>
      </c>
      <c r="M25" s="103">
        <v>7.9000000000000001E-2</v>
      </c>
      <c r="N25" s="103">
        <v>8.5999999999999993E-2</v>
      </c>
      <c r="O25" s="103">
        <v>8.6999999999999994E-2</v>
      </c>
      <c r="P25" s="103">
        <v>8.6999999999999994E-2</v>
      </c>
      <c r="Q25" s="103">
        <v>8.7999999999999995E-2</v>
      </c>
      <c r="R25" s="103">
        <v>8.8999999999999996E-2</v>
      </c>
      <c r="S25" s="103">
        <v>8.9499999999999996E-2</v>
      </c>
      <c r="T25" s="103">
        <v>8.9499999999999996E-2</v>
      </c>
      <c r="U25" s="103">
        <v>9.1999999999999998E-2</v>
      </c>
      <c r="V25" s="103">
        <v>9.1999999999999998E-2</v>
      </c>
      <c r="W25" s="103">
        <v>9.5000000000000001E-2</v>
      </c>
      <c r="X25" s="103">
        <v>9.8000000000000004E-2</v>
      </c>
      <c r="Y25" s="103">
        <v>0.1</v>
      </c>
      <c r="Z25" s="103">
        <v>0.1</v>
      </c>
      <c r="AA25" s="103">
        <v>0.10100000000000001</v>
      </c>
      <c r="AB25" s="145">
        <v>0.111</v>
      </c>
      <c r="AC25" s="145">
        <v>0.12</v>
      </c>
      <c r="AD25" s="145">
        <v>0.12</v>
      </c>
      <c r="AE25" s="145">
        <v>0.122</v>
      </c>
      <c r="AF25" s="145">
        <v>0.124</v>
      </c>
    </row>
  </sheetData>
  <sortState xmlns:xlrd2="http://schemas.microsoft.com/office/spreadsheetml/2017/richdata2" columnSort="1" ref="B24:AF25">
    <sortCondition ref="B25:AF25"/>
  </sortState>
  <hyperlinks>
    <hyperlink ref="K1" location="'Hyper Links'!A1" display="'Hyper Links'!A1" xr:uid="{B3C2AB71-853D-42C1-9A92-0760E43E871D}"/>
  </hyperlink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C9AB3-66B4-4626-BCE4-8069293968D8}">
  <dimension ref="A1:AL53"/>
  <sheetViews>
    <sheetView workbookViewId="0">
      <selection activeCell="A9" sqref="A9"/>
    </sheetView>
  </sheetViews>
  <sheetFormatPr defaultRowHeight="12.75"/>
  <cols>
    <col min="1" max="1" width="13.28515625" customWidth="1"/>
    <col min="2" max="2" width="10.7109375" customWidth="1"/>
    <col min="3" max="32" width="9.5703125" customWidth="1"/>
    <col min="33" max="33" width="1.28515625" customWidth="1"/>
    <col min="34" max="34" width="10.140625" customWidth="1"/>
    <col min="35" max="35" width="9.42578125" customWidth="1"/>
    <col min="36" max="36" width="8.42578125" customWidth="1"/>
  </cols>
  <sheetData>
    <row r="1" spans="1:38" ht="15">
      <c r="A1" s="98" t="s">
        <v>364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49"/>
      <c r="AH1" s="49"/>
      <c r="AI1" s="49"/>
      <c r="AJ1" s="49"/>
    </row>
    <row r="2" spans="1:38">
      <c r="A2" s="99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49"/>
      <c r="AH2" s="49"/>
      <c r="AI2" s="49"/>
      <c r="AJ2" s="49"/>
    </row>
    <row r="3" spans="1:38">
      <c r="A3" s="100" t="s">
        <v>262</v>
      </c>
      <c r="B3" s="92"/>
      <c r="C3" s="92"/>
      <c r="D3" s="269" t="s">
        <v>365</v>
      </c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49"/>
      <c r="AH3" s="49"/>
      <c r="AI3" s="49"/>
      <c r="AJ3" s="49"/>
    </row>
    <row r="4" spans="1:38">
      <c r="A4" s="99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49"/>
      <c r="AH4" s="102" t="s">
        <v>76</v>
      </c>
      <c r="AI4" s="102" t="s">
        <v>264</v>
      </c>
      <c r="AJ4" s="102" t="s">
        <v>261</v>
      </c>
      <c r="AL4" s="283" t="s">
        <v>331</v>
      </c>
    </row>
    <row r="5" spans="1:38">
      <c r="A5" s="76" t="s">
        <v>263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49"/>
      <c r="AH5" s="49">
        <v>1.3584000000000001</v>
      </c>
      <c r="AI5" s="102">
        <f>AH5/30</f>
        <v>4.5280000000000001E-2</v>
      </c>
      <c r="AJ5" s="49"/>
    </row>
    <row r="6" spans="1:38">
      <c r="A6" s="86" t="s">
        <v>194</v>
      </c>
      <c r="B6" s="86">
        <v>1</v>
      </c>
      <c r="C6" s="86">
        <v>2</v>
      </c>
      <c r="D6" s="86">
        <v>3</v>
      </c>
      <c r="E6" s="86">
        <v>4</v>
      </c>
      <c r="F6" s="86">
        <v>5</v>
      </c>
      <c r="G6" s="86">
        <v>6</v>
      </c>
      <c r="H6" s="86">
        <v>7</v>
      </c>
      <c r="I6" s="86">
        <v>8</v>
      </c>
      <c r="J6" s="86">
        <v>9</v>
      </c>
      <c r="K6" s="86">
        <v>10</v>
      </c>
      <c r="L6" s="86">
        <v>11</v>
      </c>
      <c r="M6" s="86">
        <v>12</v>
      </c>
      <c r="N6" s="86">
        <v>13</v>
      </c>
      <c r="O6" s="86">
        <v>14</v>
      </c>
      <c r="P6" s="86">
        <v>15</v>
      </c>
      <c r="Q6" s="86">
        <v>16</v>
      </c>
      <c r="R6" s="86">
        <v>17</v>
      </c>
      <c r="S6" s="86">
        <v>18</v>
      </c>
      <c r="T6" s="86">
        <v>19</v>
      </c>
      <c r="U6" s="86">
        <v>20</v>
      </c>
      <c r="V6" s="86">
        <v>21</v>
      </c>
      <c r="W6" s="86">
        <v>22</v>
      </c>
      <c r="X6" s="86">
        <v>23</v>
      </c>
      <c r="Y6" s="86">
        <v>24</v>
      </c>
      <c r="Z6" s="86">
        <v>25</v>
      </c>
      <c r="AA6" s="86">
        <v>26</v>
      </c>
      <c r="AB6" s="86">
        <v>27</v>
      </c>
      <c r="AC6" s="86">
        <v>28</v>
      </c>
      <c r="AD6" s="86">
        <v>29</v>
      </c>
      <c r="AE6" s="86">
        <v>30</v>
      </c>
      <c r="AF6" s="86">
        <v>31</v>
      </c>
      <c r="AG6" s="101"/>
      <c r="AH6" s="102">
        <v>1.5578000000000001</v>
      </c>
      <c r="AI6" s="102">
        <f>AH6/31</f>
        <v>5.0251612903225808E-2</v>
      </c>
      <c r="AJ6" s="102"/>
      <c r="AL6" s="144">
        <f>AVERAGE(AI4:AI6)</f>
        <v>4.7765806451612908E-2</v>
      </c>
    </row>
    <row r="7" spans="1:38">
      <c r="A7" s="270">
        <v>43466</v>
      </c>
      <c r="B7" s="106">
        <v>5.2600000000000001E-2</v>
      </c>
      <c r="C7" s="106">
        <v>5.67E-2</v>
      </c>
      <c r="D7" s="106">
        <v>6.3500000000000001E-2</v>
      </c>
      <c r="E7" s="106">
        <v>9.4700000000000006E-2</v>
      </c>
      <c r="F7" s="106">
        <v>4.2999999999999997E-2</v>
      </c>
      <c r="G7" s="106">
        <v>4.2999999999999997E-2</v>
      </c>
      <c r="H7" s="106">
        <v>5.9499999999999997E-2</v>
      </c>
      <c r="I7" s="106">
        <v>6.0100000000000001E-2</v>
      </c>
      <c r="J7" s="106">
        <v>6.7500000000000004E-2</v>
      </c>
      <c r="K7" s="106">
        <v>7.1800000000000003E-2</v>
      </c>
      <c r="L7" s="106">
        <v>0.1031</v>
      </c>
      <c r="M7" s="106">
        <v>6.0600000000000001E-2</v>
      </c>
      <c r="N7" s="106">
        <v>3.78E-2</v>
      </c>
      <c r="O7" s="106">
        <v>0.10290000000000001</v>
      </c>
      <c r="P7" s="106">
        <v>6.6500000000000004E-2</v>
      </c>
      <c r="Q7" s="106">
        <v>6.5100000000000005E-2</v>
      </c>
      <c r="R7" s="106">
        <v>6.9800000000000001E-2</v>
      </c>
      <c r="S7" s="106">
        <v>9.4600000000000004E-2</v>
      </c>
      <c r="T7" s="106">
        <v>5.4649999999999997E-2</v>
      </c>
      <c r="U7" s="106">
        <v>5.4649999999999997E-2</v>
      </c>
      <c r="V7" s="106">
        <v>8.2199999999999995E-2</v>
      </c>
      <c r="W7" s="106">
        <v>7.0000000000000007E-2</v>
      </c>
      <c r="X7" s="106">
        <v>6.1699999999999998E-2</v>
      </c>
      <c r="Y7" s="106">
        <v>6.7299999999999999E-2</v>
      </c>
      <c r="Z7" s="106">
        <v>8.5500000000000007E-2</v>
      </c>
      <c r="AA7" s="106">
        <v>7.5399999999999995E-2</v>
      </c>
      <c r="AB7" s="106">
        <v>7.5399999999999995E-2</v>
      </c>
      <c r="AC7" s="106">
        <v>8.4199999999999997E-2</v>
      </c>
      <c r="AD7" s="106">
        <v>8.2000000000000003E-2</v>
      </c>
      <c r="AE7" s="106">
        <v>6.8699999999999997E-2</v>
      </c>
      <c r="AF7" s="106">
        <v>6.8000000000000005E-2</v>
      </c>
      <c r="AG7" s="107"/>
      <c r="AH7" s="108">
        <f>SUM(B7:AF7)</f>
        <v>2.1425000000000001</v>
      </c>
      <c r="AI7" s="271">
        <f t="shared" ref="AI7:AI18" si="0">IF(ISERROR(AVERAGE(B7:AF7))," ",AVERAGE(B7:AF7))</f>
        <v>6.911290322580646E-2</v>
      </c>
      <c r="AJ7" s="106">
        <f>MAX(B7:AF7)</f>
        <v>0.1031</v>
      </c>
      <c r="AL7" s="144">
        <f>AVERAGE(AI5:AI7)</f>
        <v>5.4881505376344092E-2</v>
      </c>
    </row>
    <row r="8" spans="1:38">
      <c r="A8" s="105" t="s">
        <v>136</v>
      </c>
      <c r="B8" s="106">
        <v>0.1051</v>
      </c>
      <c r="C8" s="106">
        <v>6.105E-2</v>
      </c>
      <c r="D8" s="106">
        <v>6.105E-2</v>
      </c>
      <c r="E8" s="106">
        <v>8.3900000000000002E-2</v>
      </c>
      <c r="F8" s="106">
        <v>0.1356</v>
      </c>
      <c r="G8" s="106">
        <v>8.1799999999999998E-2</v>
      </c>
      <c r="H8" s="106">
        <v>9.74E-2</v>
      </c>
      <c r="I8" s="106">
        <v>0.14399999999999999</v>
      </c>
      <c r="J8" s="106">
        <v>7.6399999999999996E-2</v>
      </c>
      <c r="K8" s="106">
        <v>7.6399999999999996E-2</v>
      </c>
      <c r="L8" s="106">
        <v>0.1066</v>
      </c>
      <c r="M8" s="106">
        <v>9.3700000000000006E-2</v>
      </c>
      <c r="N8" s="106">
        <v>9.2299999999999993E-2</v>
      </c>
      <c r="O8" s="106">
        <v>9.5200000000000007E-2</v>
      </c>
      <c r="P8" s="106">
        <v>0.1426</v>
      </c>
      <c r="Q8" s="106">
        <v>7.6450000000000004E-2</v>
      </c>
      <c r="R8" s="106">
        <v>7.6450000000000004E-2</v>
      </c>
      <c r="S8" s="106">
        <v>0.1111</v>
      </c>
      <c r="T8" s="106">
        <v>9.06E-2</v>
      </c>
      <c r="U8" s="106">
        <v>8.9200000000000002E-2</v>
      </c>
      <c r="V8" s="106">
        <v>9.6799999999999997E-2</v>
      </c>
      <c r="W8" s="106">
        <v>0.1239</v>
      </c>
      <c r="X8" s="106">
        <v>8.7749999999999995E-2</v>
      </c>
      <c r="Y8" s="106">
        <v>8.7749999999999995E-2</v>
      </c>
      <c r="Z8" s="106">
        <v>8.14E-2</v>
      </c>
      <c r="AA8" s="106">
        <v>9.1999999999999998E-2</v>
      </c>
      <c r="AB8" s="106">
        <v>9.0999999999999998E-2</v>
      </c>
      <c r="AC8" s="106">
        <v>9.0999999999999998E-2</v>
      </c>
      <c r="AD8" s="272"/>
      <c r="AE8" s="272"/>
      <c r="AF8" s="272"/>
      <c r="AG8" s="107"/>
      <c r="AH8" s="108">
        <f t="shared" ref="AH8:AH18" si="1">SUM(B8:AF8)</f>
        <v>2.6485000000000003</v>
      </c>
      <c r="AI8" s="271">
        <f t="shared" si="0"/>
        <v>9.4589285714285723E-2</v>
      </c>
      <c r="AJ8" s="106">
        <f t="shared" ref="AJ8:AJ18" si="2">MAX(B8:AF8)</f>
        <v>0.14399999999999999</v>
      </c>
      <c r="AL8" s="285">
        <f>AVERAGE(AI6:AI8)</f>
        <v>7.1317933947772652E-2</v>
      </c>
    </row>
    <row r="9" spans="1:38">
      <c r="A9" s="105" t="s">
        <v>137</v>
      </c>
      <c r="B9" s="106">
        <v>0.1222</v>
      </c>
      <c r="C9" s="106">
        <v>6.7699999999999996E-2</v>
      </c>
      <c r="D9" s="106">
        <v>6.7699999999999996E-2</v>
      </c>
      <c r="E9" s="106">
        <v>9.2499999999999999E-2</v>
      </c>
      <c r="F9" s="106">
        <v>0.1074</v>
      </c>
      <c r="G9" s="106">
        <v>9.1999999999999998E-2</v>
      </c>
      <c r="H9" s="106">
        <v>7.1300000000000002E-2</v>
      </c>
      <c r="I9" s="106">
        <v>0.1255</v>
      </c>
      <c r="J9" s="106">
        <v>7.0349999999999996E-2</v>
      </c>
      <c r="K9" s="106">
        <v>7.0349999999999996E-2</v>
      </c>
      <c r="L9" s="106">
        <v>9.5299999999999996E-2</v>
      </c>
      <c r="M9" s="106">
        <v>8.5900000000000004E-2</v>
      </c>
      <c r="N9" s="106">
        <v>8.8300000000000003E-2</v>
      </c>
      <c r="O9" s="106">
        <v>8.7499999999999994E-2</v>
      </c>
      <c r="P9" s="106">
        <v>0.1193</v>
      </c>
      <c r="Q9" s="106">
        <v>8.2650000000000001E-2</v>
      </c>
      <c r="R9" s="106">
        <v>8.2650000000000001E-2</v>
      </c>
      <c r="S9" s="106">
        <v>7.4999999999999997E-2</v>
      </c>
      <c r="T9" s="106">
        <v>0.10059999999999999</v>
      </c>
      <c r="U9" s="106">
        <v>9.7500000000000003E-2</v>
      </c>
      <c r="V9" s="106">
        <v>7.3700000000000002E-2</v>
      </c>
      <c r="W9" s="106">
        <v>0.1183</v>
      </c>
      <c r="X9" s="106">
        <v>6.3700000000000007E-2</v>
      </c>
      <c r="Y9" s="106">
        <v>6.3700000000000007E-2</v>
      </c>
      <c r="Z9" s="106">
        <v>9.1600000000000001E-2</v>
      </c>
      <c r="AA9" s="106">
        <v>7.4200000000000002E-2</v>
      </c>
      <c r="AB9" s="106">
        <v>8.3199999999999996E-2</v>
      </c>
      <c r="AC9" s="106">
        <v>8.4599999999999995E-2</v>
      </c>
      <c r="AD9" s="106">
        <v>0.1081</v>
      </c>
      <c r="AE9" s="106">
        <v>6.1499999999999999E-2</v>
      </c>
      <c r="AF9" s="106">
        <v>6.1499999999999999E-2</v>
      </c>
      <c r="AG9" s="107"/>
      <c r="AH9" s="108">
        <f t="shared" si="1"/>
        <v>2.6858</v>
      </c>
      <c r="AI9" s="271">
        <f t="shared" si="0"/>
        <v>8.6638709677419351E-2</v>
      </c>
      <c r="AJ9" s="106">
        <f t="shared" si="2"/>
        <v>0.1255</v>
      </c>
      <c r="AL9" s="284">
        <f t="shared" ref="AL9:AL18" si="3">AVERAGE(AI7:AI9)</f>
        <v>8.3446966205837178E-2</v>
      </c>
    </row>
    <row r="10" spans="1:38">
      <c r="A10" s="105" t="s">
        <v>138</v>
      </c>
      <c r="B10" s="106">
        <v>7.9100000000000004E-2</v>
      </c>
      <c r="C10" s="106">
        <v>8.7599999999999997E-2</v>
      </c>
      <c r="D10" s="106">
        <v>8.3799999999999999E-2</v>
      </c>
      <c r="E10" s="106">
        <v>7.4300000000000005E-2</v>
      </c>
      <c r="F10" s="106">
        <v>8.8400000000000006E-2</v>
      </c>
      <c r="G10" s="106">
        <v>5.7000000000000002E-2</v>
      </c>
      <c r="H10" s="106">
        <v>5.7000000000000002E-2</v>
      </c>
      <c r="I10" s="106">
        <v>6.1899999999999997E-2</v>
      </c>
      <c r="J10" s="106">
        <v>6.9599999999999995E-2</v>
      </c>
      <c r="K10" s="106">
        <v>5.74E-2</v>
      </c>
      <c r="L10" s="106">
        <v>5.6599999999999998E-2</v>
      </c>
      <c r="M10" s="106">
        <v>8.1100000000000005E-2</v>
      </c>
      <c r="N10" s="106">
        <v>5.5E-2</v>
      </c>
      <c r="O10" s="106">
        <v>5.5E-2</v>
      </c>
      <c r="P10" s="106">
        <v>5.6000000000000001E-2</v>
      </c>
      <c r="Q10" s="106">
        <v>0.06</v>
      </c>
      <c r="R10" s="106">
        <v>4.8899999999999999E-2</v>
      </c>
      <c r="S10" s="106">
        <v>5.7500000000000002E-2</v>
      </c>
      <c r="T10" s="106">
        <v>8.2500000000000004E-2</v>
      </c>
      <c r="U10" s="106">
        <v>5.0650000000000001E-2</v>
      </c>
      <c r="V10" s="106">
        <v>5.0650000000000001E-2</v>
      </c>
      <c r="W10" s="106">
        <v>4.65E-2</v>
      </c>
      <c r="X10" s="106">
        <v>4.3499999999999997E-2</v>
      </c>
      <c r="Y10" s="106">
        <v>5.57E-2</v>
      </c>
      <c r="Z10" s="106">
        <v>5.33E-2</v>
      </c>
      <c r="AA10" s="106">
        <v>7.0199999999999999E-2</v>
      </c>
      <c r="AB10" s="106">
        <v>3.3849999999999998E-2</v>
      </c>
      <c r="AC10" s="106">
        <v>3.3849999999999998E-2</v>
      </c>
      <c r="AD10" s="106">
        <v>5.4800000000000001E-2</v>
      </c>
      <c r="AE10" s="106">
        <v>4.02E-2</v>
      </c>
      <c r="AF10" s="273"/>
      <c r="AG10" s="107"/>
      <c r="AH10" s="108">
        <f t="shared" si="1"/>
        <v>1.8019000000000003</v>
      </c>
      <c r="AI10" s="271">
        <f t="shared" si="0"/>
        <v>6.0063333333333344E-2</v>
      </c>
      <c r="AJ10" s="106">
        <f t="shared" si="2"/>
        <v>8.8400000000000006E-2</v>
      </c>
      <c r="AL10" s="144">
        <f t="shared" si="3"/>
        <v>8.0430442908346153E-2</v>
      </c>
    </row>
    <row r="11" spans="1:38">
      <c r="A11" s="105" t="s">
        <v>139</v>
      </c>
      <c r="B11" s="106">
        <v>3.1099999999999999E-2</v>
      </c>
      <c r="C11" s="106">
        <v>3.8600000000000002E-2</v>
      </c>
      <c r="D11" s="106">
        <v>5.4899999999999997E-2</v>
      </c>
      <c r="E11" s="106">
        <v>3.2099999999999997E-2</v>
      </c>
      <c r="F11" s="106">
        <v>3.2099999999999997E-2</v>
      </c>
      <c r="G11" s="106">
        <v>4.4400000000000002E-2</v>
      </c>
      <c r="H11" s="106">
        <v>3.4299999999999997E-2</v>
      </c>
      <c r="I11" s="106">
        <v>0.04</v>
      </c>
      <c r="J11" s="106">
        <v>5.5899999999999998E-2</v>
      </c>
      <c r="K11" s="106">
        <v>5.0700000000000002E-2</v>
      </c>
      <c r="L11" s="106">
        <v>3.2199999999999999E-2</v>
      </c>
      <c r="M11" s="106">
        <v>3.2199999999999999E-2</v>
      </c>
      <c r="N11" s="106">
        <v>5.8400000000000001E-2</v>
      </c>
      <c r="O11" s="106">
        <v>4.48E-2</v>
      </c>
      <c r="P11" s="106">
        <v>3.2199999999999999E-2</v>
      </c>
      <c r="Q11" s="106">
        <v>3.3799999999999997E-2</v>
      </c>
      <c r="R11" s="106">
        <v>5.3100000000000001E-2</v>
      </c>
      <c r="S11" s="106">
        <v>2.4E-2</v>
      </c>
      <c r="T11" s="106">
        <v>2.41E-2</v>
      </c>
      <c r="U11" s="106">
        <v>3.73E-2</v>
      </c>
      <c r="V11" s="106">
        <v>4.48E-2</v>
      </c>
      <c r="W11" s="106">
        <v>1.8200000000000001E-2</v>
      </c>
      <c r="X11" s="106">
        <v>3.2199999999999999E-2</v>
      </c>
      <c r="Y11" s="106">
        <v>3.9E-2</v>
      </c>
      <c r="Z11" s="106">
        <v>3.0300000000000001E-2</v>
      </c>
      <c r="AA11" s="106">
        <v>3.04E-2</v>
      </c>
      <c r="AB11" s="106">
        <v>3.15E-2</v>
      </c>
      <c r="AC11" s="106">
        <v>2.1499999999999998E-2</v>
      </c>
      <c r="AD11" s="106">
        <v>2.8899999999999999E-2</v>
      </c>
      <c r="AE11" s="106">
        <v>3.2000000000000001E-2</v>
      </c>
      <c r="AF11" s="106">
        <v>4.1300000000000003E-2</v>
      </c>
      <c r="AG11" s="107"/>
      <c r="AH11" s="108">
        <f t="shared" si="1"/>
        <v>1.1362999999999999</v>
      </c>
      <c r="AI11" s="271">
        <f t="shared" si="0"/>
        <v>3.6654838709677416E-2</v>
      </c>
      <c r="AJ11" s="106">
        <f t="shared" si="2"/>
        <v>5.8400000000000001E-2</v>
      </c>
      <c r="AL11" s="144">
        <f t="shared" si="3"/>
        <v>6.1118960573476704E-2</v>
      </c>
    </row>
    <row r="12" spans="1:38">
      <c r="A12" s="105" t="s">
        <v>140</v>
      </c>
      <c r="B12" s="106">
        <v>3.3399999999999999E-2</v>
      </c>
      <c r="C12" s="106">
        <v>3.3399999999999999E-2</v>
      </c>
      <c r="D12" s="106">
        <v>3.1099999999999999E-2</v>
      </c>
      <c r="E12" s="106">
        <v>3.0300000000000001E-2</v>
      </c>
      <c r="F12" s="106">
        <v>3.73E-2</v>
      </c>
      <c r="G12" s="106">
        <v>3.2500000000000001E-2</v>
      </c>
      <c r="H12" s="106">
        <v>5.6000000000000001E-2</v>
      </c>
      <c r="I12" s="106">
        <v>3.9899999999999998E-2</v>
      </c>
      <c r="J12" s="106">
        <v>3.9899999999999998E-2</v>
      </c>
      <c r="K12" s="106">
        <v>3.6600000000000001E-2</v>
      </c>
      <c r="L12" s="106">
        <v>3.9300000000000002E-2</v>
      </c>
      <c r="M12" s="106">
        <v>4.1200000000000001E-2</v>
      </c>
      <c r="N12" s="106">
        <v>3.6700000000000003E-2</v>
      </c>
      <c r="O12" s="106">
        <v>5.3199999999999997E-2</v>
      </c>
      <c r="P12" s="106">
        <v>5.0900000000000001E-2</v>
      </c>
      <c r="Q12" s="106">
        <v>5.0900000000000001E-2</v>
      </c>
      <c r="R12" s="106">
        <v>4.9700000000000001E-2</v>
      </c>
      <c r="S12" s="106">
        <v>5.7500000000000002E-2</v>
      </c>
      <c r="T12" s="106">
        <v>6.3E-2</v>
      </c>
      <c r="U12" s="106">
        <v>4.8300000000000003E-2</v>
      </c>
      <c r="V12" s="106">
        <v>5.8400000000000001E-2</v>
      </c>
      <c r="W12" s="106">
        <v>3.2800000000000003E-2</v>
      </c>
      <c r="X12" s="106">
        <v>3.2899999999999999E-2</v>
      </c>
      <c r="Y12" s="106">
        <v>3.8399999999999997E-2</v>
      </c>
      <c r="Z12" s="106">
        <v>4.2200000000000001E-2</v>
      </c>
      <c r="AA12" s="106">
        <v>3.1899999999999998E-2</v>
      </c>
      <c r="AB12" s="106">
        <v>4.19E-2</v>
      </c>
      <c r="AC12" s="106">
        <v>4.2900000000000001E-2</v>
      </c>
      <c r="AD12" s="106">
        <v>3.2199999999999999E-2</v>
      </c>
      <c r="AE12" s="106"/>
      <c r="AF12" s="272"/>
      <c r="AG12" s="107"/>
      <c r="AH12" s="108">
        <f t="shared" si="1"/>
        <v>1.2147000000000001</v>
      </c>
      <c r="AI12" s="271">
        <f t="shared" si="0"/>
        <v>4.1886206896551731E-2</v>
      </c>
      <c r="AJ12" s="106">
        <f t="shared" si="2"/>
        <v>6.3E-2</v>
      </c>
      <c r="AL12" s="144">
        <f t="shared" si="3"/>
        <v>4.620145964652083E-2</v>
      </c>
    </row>
    <row r="13" spans="1:38">
      <c r="A13" s="105" t="s">
        <v>141</v>
      </c>
      <c r="B13" s="106">
        <v>3.7900000000000003E-2</v>
      </c>
      <c r="C13" s="106">
        <v>3.6900000000000002E-2</v>
      </c>
      <c r="D13" s="106">
        <v>3.8100000000000002E-2</v>
      </c>
      <c r="E13" s="106">
        <v>3.5000000000000003E-2</v>
      </c>
      <c r="F13" s="106">
        <v>4.2500000000000003E-2</v>
      </c>
      <c r="G13" s="106">
        <v>5.5599999999999997E-2</v>
      </c>
      <c r="H13" s="106">
        <v>5.57E-2</v>
      </c>
      <c r="I13" s="106">
        <v>3.4599999999999999E-2</v>
      </c>
      <c r="J13" s="106">
        <v>4.2999999999999997E-2</v>
      </c>
      <c r="K13" s="106">
        <v>5.5300000000000002E-2</v>
      </c>
      <c r="L13" s="106">
        <v>4.9099999999999998E-2</v>
      </c>
      <c r="M13" s="106">
        <v>6.0900000000000003E-2</v>
      </c>
      <c r="N13" s="106">
        <v>4.1300000000000003E-2</v>
      </c>
      <c r="O13" s="106">
        <v>4.1300000000000003E-2</v>
      </c>
      <c r="P13" s="106">
        <v>5.7599999999999998E-2</v>
      </c>
      <c r="Q13" s="106">
        <v>5.1799999999999999E-2</v>
      </c>
      <c r="R13" s="106">
        <v>4.8500000000000001E-2</v>
      </c>
      <c r="S13" s="106">
        <v>4.5100000000000001E-2</v>
      </c>
      <c r="T13" s="106">
        <v>5.5300000000000002E-2</v>
      </c>
      <c r="U13" s="106">
        <v>4.8500000000000001E-2</v>
      </c>
      <c r="V13" s="106">
        <v>4.8399999999999999E-2</v>
      </c>
      <c r="W13" s="106">
        <v>6.1600000000000002E-2</v>
      </c>
      <c r="X13" s="106">
        <v>5.4300000000000001E-2</v>
      </c>
      <c r="Y13" s="106">
        <v>7.85E-2</v>
      </c>
      <c r="Z13" s="106">
        <v>0.10920000000000001</v>
      </c>
      <c r="AA13" s="106">
        <v>8.8200000000000001E-2</v>
      </c>
      <c r="AB13" s="106">
        <v>4.99E-2</v>
      </c>
      <c r="AC13" s="106">
        <v>0.05</v>
      </c>
      <c r="AD13" s="106">
        <v>8.8300000000000003E-2</v>
      </c>
      <c r="AE13" s="106">
        <v>5.7299999999999997E-2</v>
      </c>
      <c r="AF13" s="106">
        <v>7.3999999999999996E-2</v>
      </c>
      <c r="AG13" s="107"/>
      <c r="AH13" s="108">
        <f t="shared" si="1"/>
        <v>1.6937000000000002</v>
      </c>
      <c r="AI13" s="271">
        <f t="shared" si="0"/>
        <v>5.4635483870967748E-2</v>
      </c>
      <c r="AJ13" s="106">
        <f t="shared" si="2"/>
        <v>0.10920000000000001</v>
      </c>
      <c r="AL13" s="144">
        <f t="shared" si="3"/>
        <v>4.4392176492398967E-2</v>
      </c>
    </row>
    <row r="14" spans="1:38">
      <c r="A14" s="105" t="s">
        <v>142</v>
      </c>
      <c r="B14" s="106">
        <v>6.3899999999999998E-2</v>
      </c>
      <c r="C14" s="106">
        <v>0.12859999999999999</v>
      </c>
      <c r="D14" s="106">
        <v>6.5199999999999994E-2</v>
      </c>
      <c r="E14" s="106">
        <v>6.5199999999999994E-2</v>
      </c>
      <c r="F14" s="106">
        <v>7.7700000000000005E-2</v>
      </c>
      <c r="G14" s="106">
        <v>6.88E-2</v>
      </c>
      <c r="H14" s="106">
        <v>0.19189999999999999</v>
      </c>
      <c r="I14" s="106">
        <v>8.8200000000000001E-2</v>
      </c>
      <c r="J14" s="106">
        <v>0.10539999999999999</v>
      </c>
      <c r="K14" s="106">
        <v>6.7100000000000007E-2</v>
      </c>
      <c r="L14" s="106">
        <v>6.2E-2</v>
      </c>
      <c r="M14" s="106">
        <v>9.5399999999999999E-2</v>
      </c>
      <c r="N14" s="106">
        <v>8.4500000000000006E-2</v>
      </c>
      <c r="O14" s="106">
        <v>7.8799999999999995E-2</v>
      </c>
      <c r="P14" s="106">
        <v>0.10879999999999999</v>
      </c>
      <c r="Q14" s="106">
        <v>0.12429999999999999</v>
      </c>
      <c r="R14" s="106">
        <v>8.5900000000000004E-2</v>
      </c>
      <c r="S14" s="106">
        <v>8.5900000000000004E-2</v>
      </c>
      <c r="T14" s="106">
        <v>7.8700000000000006E-2</v>
      </c>
      <c r="U14" s="106">
        <v>7.5700000000000003E-2</v>
      </c>
      <c r="V14" s="106">
        <v>6.7299999999999999E-2</v>
      </c>
      <c r="W14" s="106">
        <v>7.1300000000000002E-2</v>
      </c>
      <c r="X14" s="106">
        <v>8.6400000000000005E-2</v>
      </c>
      <c r="Y14" s="106">
        <v>5.3400000000000003E-2</v>
      </c>
      <c r="Z14" s="106">
        <v>5.3400000000000003E-2</v>
      </c>
      <c r="AA14" s="106">
        <v>5.9200000000000003E-2</v>
      </c>
      <c r="AB14" s="106">
        <v>6.4899999999999999E-2</v>
      </c>
      <c r="AC14" s="106">
        <v>6.3200000000000006E-2</v>
      </c>
      <c r="AD14" s="106">
        <v>5.8999999999999997E-2</v>
      </c>
      <c r="AE14" s="106">
        <v>6.7900000000000002E-2</v>
      </c>
      <c r="AF14" s="109">
        <v>5.91E-2</v>
      </c>
      <c r="AG14" s="107"/>
      <c r="AH14" s="108">
        <f t="shared" si="1"/>
        <v>2.5070999999999999</v>
      </c>
      <c r="AI14" s="271">
        <f t="shared" si="0"/>
        <v>8.0874193548387097E-2</v>
      </c>
      <c r="AJ14" s="106">
        <f t="shared" si="2"/>
        <v>0.19189999999999999</v>
      </c>
      <c r="AL14" s="144">
        <f t="shared" si="3"/>
        <v>5.9131961438635527E-2</v>
      </c>
    </row>
    <row r="15" spans="1:38">
      <c r="A15" s="105" t="s">
        <v>143</v>
      </c>
      <c r="B15" s="106">
        <v>5.91E-2</v>
      </c>
      <c r="C15" s="106">
        <v>6.0100000000000001E-2</v>
      </c>
      <c r="D15" s="106">
        <v>6.3500000000000001E-2</v>
      </c>
      <c r="E15" s="106">
        <v>4.9599999999999998E-2</v>
      </c>
      <c r="F15" s="106">
        <v>5.3600000000000002E-2</v>
      </c>
      <c r="G15" s="106">
        <v>6.6500000000000004E-2</v>
      </c>
      <c r="H15" s="106">
        <v>4.7100000000000003E-2</v>
      </c>
      <c r="I15" s="106">
        <v>4.7100000000000003E-2</v>
      </c>
      <c r="J15" s="106">
        <v>4.7399999999999998E-2</v>
      </c>
      <c r="K15" s="106">
        <v>5.4800000000000001E-2</v>
      </c>
      <c r="L15" s="106">
        <v>4.53E-2</v>
      </c>
      <c r="M15" s="106">
        <v>5.45E-2</v>
      </c>
      <c r="N15" s="106">
        <v>6.9800000000000001E-2</v>
      </c>
      <c r="O15" s="106">
        <v>0.04</v>
      </c>
      <c r="P15" s="106">
        <v>0.04</v>
      </c>
      <c r="Q15" s="106">
        <v>5.5100000000000003E-2</v>
      </c>
      <c r="R15" s="106">
        <v>4.99E-2</v>
      </c>
      <c r="S15" s="106">
        <v>5.0900000000000001E-2</v>
      </c>
      <c r="T15" s="106">
        <v>4.7800000000000002E-2</v>
      </c>
      <c r="U15" s="106">
        <v>6.25E-2</v>
      </c>
      <c r="V15" s="106">
        <v>3.7600000000000001E-2</v>
      </c>
      <c r="W15" s="106">
        <v>3.7699999999999997E-2</v>
      </c>
      <c r="X15" s="106">
        <v>4.5100000000000001E-2</v>
      </c>
      <c r="Y15" s="106">
        <v>5.1700000000000003E-2</v>
      </c>
      <c r="Z15" s="106">
        <v>4.3400000000000001E-2</v>
      </c>
      <c r="AA15" s="106">
        <v>4.48E-2</v>
      </c>
      <c r="AB15" s="106">
        <v>6.0999999999999999E-2</v>
      </c>
      <c r="AC15" s="106">
        <v>5.96E-2</v>
      </c>
      <c r="AD15" s="106">
        <v>5.9499999999999997E-2</v>
      </c>
      <c r="AE15" s="106">
        <v>4.6100000000000002E-2</v>
      </c>
      <c r="AF15" s="272"/>
      <c r="AG15" s="107"/>
      <c r="AH15" s="108">
        <f>SUM(B15:AE15)</f>
        <v>1.5511000000000004</v>
      </c>
      <c r="AI15" s="271">
        <f t="shared" si="0"/>
        <v>5.1703333333333344E-2</v>
      </c>
      <c r="AJ15" s="106">
        <f t="shared" si="2"/>
        <v>6.9800000000000001E-2</v>
      </c>
      <c r="AL15" s="144">
        <f t="shared" si="3"/>
        <v>6.2404336917562732E-2</v>
      </c>
    </row>
    <row r="16" spans="1:38">
      <c r="A16" s="105" t="s">
        <v>144</v>
      </c>
      <c r="B16" s="106">
        <v>3.9899999999999998E-2</v>
      </c>
      <c r="C16" s="106">
        <v>4.6899999999999997E-2</v>
      </c>
      <c r="D16" s="106">
        <v>4.2999999999999997E-2</v>
      </c>
      <c r="E16" s="106">
        <v>5.8299999999999998E-2</v>
      </c>
      <c r="F16" s="106">
        <v>3.5799999999999998E-2</v>
      </c>
      <c r="G16" s="106">
        <v>3.5900000000000001E-2</v>
      </c>
      <c r="H16" s="106">
        <v>6.2600000000000003E-2</v>
      </c>
      <c r="I16" s="106">
        <v>4.7E-2</v>
      </c>
      <c r="J16" s="106">
        <v>5.4100000000000002E-2</v>
      </c>
      <c r="K16" s="106">
        <v>4.2599999999999999E-2</v>
      </c>
      <c r="L16" s="106">
        <v>4.8099999999999997E-2</v>
      </c>
      <c r="M16" s="106">
        <v>4.3999999999999997E-2</v>
      </c>
      <c r="N16" s="106">
        <v>4.41E-2</v>
      </c>
      <c r="O16" s="106">
        <v>4.1599999999999998E-2</v>
      </c>
      <c r="P16" s="106">
        <v>4.7199999999999999E-2</v>
      </c>
      <c r="Q16" s="106">
        <v>4.7100000000000003E-2</v>
      </c>
      <c r="R16" s="106">
        <v>4.48E-2</v>
      </c>
      <c r="S16" s="106">
        <v>0.14710000000000001</v>
      </c>
      <c r="T16" s="106">
        <v>5.67E-2</v>
      </c>
      <c r="U16" s="106">
        <v>5.6500000000000002E-2</v>
      </c>
      <c r="V16" s="106">
        <v>6.7900000000000002E-2</v>
      </c>
      <c r="W16" s="106">
        <v>5.6000000000000001E-2</v>
      </c>
      <c r="X16" s="106">
        <v>6.2899999999999998E-2</v>
      </c>
      <c r="Y16" s="106">
        <v>5.4300000000000001E-2</v>
      </c>
      <c r="Z16" s="106">
        <v>0.14299999999999999</v>
      </c>
      <c r="AA16" s="106">
        <v>6.3899999999999998E-2</v>
      </c>
      <c r="AB16" s="106">
        <v>6.3899999999999998E-2</v>
      </c>
      <c r="AC16" s="106">
        <v>8.3299999999999999E-2</v>
      </c>
      <c r="AD16" s="106">
        <v>5.6000000000000001E-2</v>
      </c>
      <c r="AE16" s="106">
        <v>7.0599999999999996E-2</v>
      </c>
      <c r="AF16" s="109">
        <v>5.8900000000000001E-2</v>
      </c>
      <c r="AG16" s="107"/>
      <c r="AH16" s="108">
        <f t="shared" si="1"/>
        <v>1.8240000000000003</v>
      </c>
      <c r="AI16" s="271">
        <f t="shared" si="0"/>
        <v>5.8838709677419367E-2</v>
      </c>
      <c r="AJ16" s="106">
        <f t="shared" si="2"/>
        <v>0.14710000000000001</v>
      </c>
      <c r="AL16" s="144">
        <f t="shared" si="3"/>
        <v>6.3805412186379931E-2</v>
      </c>
    </row>
    <row r="17" spans="1:38">
      <c r="A17" s="105" t="s">
        <v>145</v>
      </c>
      <c r="B17" s="106">
        <v>9.7600000000000006E-2</v>
      </c>
      <c r="C17" s="106">
        <v>5.5550000000000002E-2</v>
      </c>
      <c r="D17" s="106">
        <v>5.5550000000000002E-2</v>
      </c>
      <c r="E17" s="106">
        <v>6.4199999999999993E-2</v>
      </c>
      <c r="F17" s="106">
        <v>8.0299999999999996E-2</v>
      </c>
      <c r="G17" s="106">
        <v>5.57E-2</v>
      </c>
      <c r="H17" s="106">
        <v>8.3000000000000004E-2</v>
      </c>
      <c r="I17" s="106">
        <v>8.5999999999999993E-2</v>
      </c>
      <c r="J17" s="106">
        <v>8.5999999999999993E-2</v>
      </c>
      <c r="K17" s="106">
        <v>3.61E-2</v>
      </c>
      <c r="L17" s="106">
        <v>6.0900000000000003E-2</v>
      </c>
      <c r="M17" s="106">
        <v>6.4699999999999994E-2</v>
      </c>
      <c r="N17" s="106">
        <v>7.3700000000000002E-2</v>
      </c>
      <c r="O17" s="106">
        <v>7.0400000000000004E-2</v>
      </c>
      <c r="P17" s="106">
        <v>7.9299999999999995E-2</v>
      </c>
      <c r="Q17" s="106">
        <v>6.0600000000000001E-2</v>
      </c>
      <c r="R17" s="106">
        <v>6.5600000000000006E-2</v>
      </c>
      <c r="S17" s="106">
        <v>7.6399999999999996E-2</v>
      </c>
      <c r="T17" s="106">
        <v>7.85E-2</v>
      </c>
      <c r="U17" s="106">
        <v>6.5500000000000003E-2</v>
      </c>
      <c r="V17" s="106">
        <v>6.3799999999999996E-2</v>
      </c>
      <c r="W17" s="106">
        <v>8.7099999999999997E-2</v>
      </c>
      <c r="X17" s="106">
        <v>6.2600000000000003E-2</v>
      </c>
      <c r="Y17" s="106">
        <v>6.2600000000000003E-2</v>
      </c>
      <c r="Z17" s="106">
        <v>6.4399999999999999E-2</v>
      </c>
      <c r="AA17" s="106">
        <v>6.6699999999999995E-2</v>
      </c>
      <c r="AB17" s="106">
        <v>6.4699999999999994E-2</v>
      </c>
      <c r="AC17" s="106">
        <v>6.7900000000000002E-2</v>
      </c>
      <c r="AD17" s="106">
        <v>5.6800000000000003E-2</v>
      </c>
      <c r="AE17" s="106">
        <v>5.4100000000000002E-2</v>
      </c>
      <c r="AF17" s="272"/>
      <c r="AG17" s="107"/>
      <c r="AH17" s="108">
        <f t="shared" si="1"/>
        <v>2.0463</v>
      </c>
      <c r="AI17" s="271">
        <f t="shared" si="0"/>
        <v>6.8210000000000007E-2</v>
      </c>
      <c r="AJ17" s="106">
        <f t="shared" si="2"/>
        <v>9.7600000000000006E-2</v>
      </c>
      <c r="AL17" s="144">
        <f t="shared" si="3"/>
        <v>5.9584014336917568E-2</v>
      </c>
    </row>
    <row r="18" spans="1:38">
      <c r="A18" s="105" t="s">
        <v>146</v>
      </c>
      <c r="B18" s="106">
        <v>5.4100000000000002E-2</v>
      </c>
      <c r="C18" s="106">
        <v>7.1800000000000003E-2</v>
      </c>
      <c r="D18" s="106">
        <v>5.3400000000000003E-2</v>
      </c>
      <c r="E18" s="106">
        <v>7.9799999999999996E-2</v>
      </c>
      <c r="F18" s="106">
        <v>0.03</v>
      </c>
      <c r="G18" s="106">
        <v>8.48E-2</v>
      </c>
      <c r="H18" s="106">
        <v>5.2449999999999997E-2</v>
      </c>
      <c r="I18" s="106">
        <v>5.2449999999999997E-2</v>
      </c>
      <c r="J18" s="106">
        <v>5.7299999999999997E-2</v>
      </c>
      <c r="K18" s="106">
        <v>5.8000000000000003E-2</v>
      </c>
      <c r="L18" s="106">
        <v>5.3600000000000002E-2</v>
      </c>
      <c r="M18" s="106">
        <v>5.91E-2</v>
      </c>
      <c r="N18" s="106">
        <v>8.4599999999999995E-2</v>
      </c>
      <c r="O18" s="106">
        <v>4.65E-2</v>
      </c>
      <c r="P18" s="106">
        <v>4.65E-2</v>
      </c>
      <c r="Q18" s="106">
        <v>5.8700000000000002E-2</v>
      </c>
      <c r="R18" s="106">
        <v>5.8400000000000001E-2</v>
      </c>
      <c r="S18" s="106">
        <v>6.2799999999999995E-2</v>
      </c>
      <c r="T18" s="106">
        <v>5.7500000000000002E-2</v>
      </c>
      <c r="U18" s="106">
        <v>7.5800000000000006E-2</v>
      </c>
      <c r="V18" s="106">
        <v>5.79E-2</v>
      </c>
      <c r="W18" s="106">
        <v>5.79E-2</v>
      </c>
      <c r="X18" s="106">
        <v>8.2299999999999998E-2</v>
      </c>
      <c r="Y18" s="106">
        <v>5.4100000000000002E-2</v>
      </c>
      <c r="Z18" s="106">
        <v>8.2400000000000001E-2</v>
      </c>
      <c r="AA18" s="106">
        <v>6.2100000000000002E-2</v>
      </c>
      <c r="AB18" s="106">
        <v>9.2499999999999999E-2</v>
      </c>
      <c r="AC18" s="106">
        <v>5.4350000000000002E-2</v>
      </c>
      <c r="AD18" s="106">
        <v>5.4350000000000002E-2</v>
      </c>
      <c r="AE18" s="106">
        <v>7.3499999999999996E-2</v>
      </c>
      <c r="AF18" s="106">
        <v>6.0299999999999999E-2</v>
      </c>
      <c r="AG18" s="107"/>
      <c r="AH18" s="108">
        <f t="shared" si="1"/>
        <v>1.9293000000000002</v>
      </c>
      <c r="AI18" s="271">
        <f t="shared" si="0"/>
        <v>6.223548387096775E-2</v>
      </c>
      <c r="AJ18" s="106">
        <f t="shared" si="2"/>
        <v>9.2499999999999999E-2</v>
      </c>
      <c r="AL18" s="144">
        <f t="shared" si="3"/>
        <v>6.309473118279571E-2</v>
      </c>
    </row>
    <row r="19" spans="1:38">
      <c r="AH19" s="274">
        <f>SUM(AH7:AH18)</f>
        <v>23.181200000000004</v>
      </c>
      <c r="AL19" s="276">
        <f>MAX(AL6:AL17)</f>
        <v>8.3446966205837178E-2</v>
      </c>
    </row>
    <row r="22" spans="1:38">
      <c r="C22">
        <v>591</v>
      </c>
      <c r="D22" s="103">
        <f>C22/10000</f>
        <v>5.91E-2</v>
      </c>
    </row>
    <row r="23" spans="1:38">
      <c r="C23">
        <v>601</v>
      </c>
      <c r="D23" s="103">
        <f t="shared" ref="D23:D52" si="4">C23/10000</f>
        <v>6.0100000000000001E-2</v>
      </c>
    </row>
    <row r="24" spans="1:38">
      <c r="C24">
        <v>635</v>
      </c>
      <c r="D24" s="103">
        <f t="shared" si="4"/>
        <v>6.3500000000000001E-2</v>
      </c>
    </row>
    <row r="25" spans="1:38">
      <c r="C25">
        <v>496</v>
      </c>
      <c r="D25" s="103">
        <f t="shared" si="4"/>
        <v>4.9599999999999998E-2</v>
      </c>
    </row>
    <row r="26" spans="1:38">
      <c r="C26">
        <v>536</v>
      </c>
      <c r="D26" s="103">
        <f t="shared" si="4"/>
        <v>5.3600000000000002E-2</v>
      </c>
    </row>
    <row r="27" spans="1:38">
      <c r="C27">
        <v>665</v>
      </c>
      <c r="D27" s="103">
        <f t="shared" si="4"/>
        <v>6.6500000000000004E-2</v>
      </c>
    </row>
    <row r="28" spans="1:38">
      <c r="C28">
        <v>471</v>
      </c>
      <c r="D28" s="103">
        <f t="shared" si="4"/>
        <v>4.7100000000000003E-2</v>
      </c>
    </row>
    <row r="29" spans="1:38">
      <c r="C29">
        <v>471</v>
      </c>
      <c r="D29" s="103">
        <f t="shared" si="4"/>
        <v>4.7100000000000003E-2</v>
      </c>
    </row>
    <row r="30" spans="1:38">
      <c r="C30">
        <v>474</v>
      </c>
      <c r="D30" s="103">
        <f t="shared" si="4"/>
        <v>4.7399999999999998E-2</v>
      </c>
    </row>
    <row r="31" spans="1:38">
      <c r="C31">
        <v>548</v>
      </c>
      <c r="D31" s="103">
        <f t="shared" si="4"/>
        <v>5.4800000000000001E-2</v>
      </c>
    </row>
    <row r="32" spans="1:38">
      <c r="C32">
        <v>453</v>
      </c>
      <c r="D32" s="103">
        <f t="shared" si="4"/>
        <v>4.53E-2</v>
      </c>
    </row>
    <row r="33" spans="3:4">
      <c r="C33">
        <v>545</v>
      </c>
      <c r="D33" s="103">
        <f t="shared" si="4"/>
        <v>5.45E-2</v>
      </c>
    </row>
    <row r="34" spans="3:4">
      <c r="C34">
        <v>698</v>
      </c>
      <c r="D34" s="103">
        <f t="shared" si="4"/>
        <v>6.9800000000000001E-2</v>
      </c>
    </row>
    <row r="35" spans="3:4">
      <c r="C35">
        <v>400</v>
      </c>
      <c r="D35" s="103">
        <f t="shared" si="4"/>
        <v>0.04</v>
      </c>
    </row>
    <row r="36" spans="3:4">
      <c r="C36">
        <v>400</v>
      </c>
      <c r="D36" s="103">
        <f t="shared" si="4"/>
        <v>0.04</v>
      </c>
    </row>
    <row r="37" spans="3:4">
      <c r="C37">
        <v>551</v>
      </c>
      <c r="D37" s="103">
        <f t="shared" si="4"/>
        <v>5.5100000000000003E-2</v>
      </c>
    </row>
    <row r="38" spans="3:4">
      <c r="C38">
        <v>499</v>
      </c>
      <c r="D38" s="103">
        <f t="shared" si="4"/>
        <v>4.99E-2</v>
      </c>
    </row>
    <row r="39" spans="3:4">
      <c r="C39">
        <v>509</v>
      </c>
      <c r="D39" s="103">
        <f t="shared" si="4"/>
        <v>5.0900000000000001E-2</v>
      </c>
    </row>
    <row r="40" spans="3:4">
      <c r="C40">
        <v>478</v>
      </c>
      <c r="D40" s="103">
        <f t="shared" si="4"/>
        <v>4.7800000000000002E-2</v>
      </c>
    </row>
    <row r="41" spans="3:4">
      <c r="C41">
        <v>625</v>
      </c>
      <c r="D41" s="103">
        <f t="shared" si="4"/>
        <v>6.25E-2</v>
      </c>
    </row>
    <row r="42" spans="3:4">
      <c r="C42">
        <v>376</v>
      </c>
      <c r="D42" s="103">
        <f t="shared" si="4"/>
        <v>3.7600000000000001E-2</v>
      </c>
    </row>
    <row r="43" spans="3:4">
      <c r="C43">
        <v>377</v>
      </c>
      <c r="D43" s="103">
        <f t="shared" si="4"/>
        <v>3.7699999999999997E-2</v>
      </c>
    </row>
    <row r="44" spans="3:4">
      <c r="C44">
        <v>451</v>
      </c>
      <c r="D44" s="103">
        <f t="shared" si="4"/>
        <v>4.5100000000000001E-2</v>
      </c>
    </row>
    <row r="45" spans="3:4">
      <c r="C45">
        <v>517</v>
      </c>
      <c r="D45" s="103">
        <f t="shared" si="4"/>
        <v>5.1700000000000003E-2</v>
      </c>
    </row>
    <row r="46" spans="3:4">
      <c r="C46">
        <v>434</v>
      </c>
      <c r="D46" s="103">
        <f t="shared" si="4"/>
        <v>4.3400000000000001E-2</v>
      </c>
    </row>
    <row r="47" spans="3:4">
      <c r="C47">
        <v>448</v>
      </c>
      <c r="D47" s="103">
        <f t="shared" si="4"/>
        <v>4.48E-2</v>
      </c>
    </row>
    <row r="48" spans="3:4">
      <c r="C48">
        <v>610</v>
      </c>
      <c r="D48" s="103">
        <f t="shared" si="4"/>
        <v>6.0999999999999999E-2</v>
      </c>
    </row>
    <row r="49" spans="3:4">
      <c r="C49">
        <v>596</v>
      </c>
      <c r="D49" s="103">
        <f t="shared" si="4"/>
        <v>5.96E-2</v>
      </c>
    </row>
    <row r="50" spans="3:4">
      <c r="C50">
        <v>595</v>
      </c>
      <c r="D50" s="103">
        <f t="shared" si="4"/>
        <v>5.9499999999999997E-2</v>
      </c>
    </row>
    <row r="51" spans="3:4">
      <c r="C51">
        <v>461</v>
      </c>
      <c r="D51" s="103">
        <f t="shared" si="4"/>
        <v>4.6100000000000002E-2</v>
      </c>
    </row>
    <row r="52" spans="3:4">
      <c r="D52" s="103">
        <f t="shared" si="4"/>
        <v>0</v>
      </c>
    </row>
    <row r="53" spans="3:4">
      <c r="D53" s="274">
        <f>SUM(D22:D52)</f>
        <v>1.5511000000000004</v>
      </c>
    </row>
  </sheetData>
  <hyperlinks>
    <hyperlink ref="A3" location="Hyperlinks!A1" display="Hyperlinks!A1" xr:uid="{4787317E-DD3A-4BED-9100-6D34B176EAC3}"/>
  </hyperlink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03E29-B53F-4CA6-8D65-9719FD992B08}">
  <dimension ref="A1:T100"/>
  <sheetViews>
    <sheetView workbookViewId="0">
      <selection activeCell="F5" sqref="F5"/>
    </sheetView>
  </sheetViews>
  <sheetFormatPr defaultRowHeight="12.75"/>
  <sheetData>
    <row r="1" spans="1:20" ht="15.75">
      <c r="A1" s="73" t="s">
        <v>378</v>
      </c>
    </row>
    <row r="2" spans="1:20" ht="15.75">
      <c r="A2" s="73"/>
    </row>
    <row r="3" spans="1:20" ht="15.75">
      <c r="A3" s="73"/>
    </row>
    <row r="4" spans="1:20">
      <c r="A4" s="282">
        <v>2019</v>
      </c>
    </row>
    <row r="5" spans="1:20" ht="31.5">
      <c r="A5" s="288" t="s">
        <v>196</v>
      </c>
      <c r="B5" s="289" t="s">
        <v>197</v>
      </c>
      <c r="C5" s="288" t="s">
        <v>198</v>
      </c>
      <c r="D5" s="288" t="s">
        <v>382</v>
      </c>
      <c r="F5" s="292" t="s">
        <v>278</v>
      </c>
    </row>
    <row r="6" spans="1:20" ht="36">
      <c r="A6" s="286" t="s">
        <v>237</v>
      </c>
      <c r="B6" s="287" t="s">
        <v>238</v>
      </c>
      <c r="C6" s="286" t="s">
        <v>379</v>
      </c>
      <c r="D6" s="286" t="s">
        <v>201</v>
      </c>
      <c r="E6" s="290">
        <v>583650</v>
      </c>
      <c r="H6" s="290">
        <v>46730</v>
      </c>
      <c r="I6" s="290">
        <v>54860</v>
      </c>
      <c r="J6" s="290">
        <v>54030</v>
      </c>
      <c r="K6" s="290">
        <v>58380</v>
      </c>
      <c r="L6" s="290">
        <v>48370</v>
      </c>
      <c r="M6" s="290">
        <v>40980</v>
      </c>
      <c r="N6" s="290">
        <v>35910</v>
      </c>
      <c r="O6" s="290">
        <v>35540</v>
      </c>
      <c r="P6" s="290">
        <v>41350</v>
      </c>
      <c r="Q6" s="290">
        <v>50520</v>
      </c>
      <c r="R6" s="290">
        <v>57370</v>
      </c>
      <c r="S6" s="290">
        <v>59610</v>
      </c>
      <c r="T6" s="290">
        <v>583650</v>
      </c>
    </row>
    <row r="7" spans="1:20" ht="36">
      <c r="A7" s="286" t="s">
        <v>237</v>
      </c>
      <c r="B7" s="287" t="s">
        <v>238</v>
      </c>
      <c r="C7" s="286" t="s">
        <v>379</v>
      </c>
      <c r="D7" s="286" t="s">
        <v>200</v>
      </c>
      <c r="E7" s="290">
        <v>336410</v>
      </c>
      <c r="H7" s="290">
        <v>25950</v>
      </c>
      <c r="I7" s="290">
        <v>28560</v>
      </c>
      <c r="J7" s="290">
        <v>46500</v>
      </c>
      <c r="K7" s="290">
        <v>67450</v>
      </c>
      <c r="L7" s="290">
        <v>15330</v>
      </c>
      <c r="M7" s="290">
        <v>37010</v>
      </c>
      <c r="N7" s="290">
        <v>10580</v>
      </c>
      <c r="O7" s="294"/>
      <c r="P7" s="290">
        <v>23640</v>
      </c>
      <c r="Q7" s="290">
        <v>48780</v>
      </c>
      <c r="R7" s="290">
        <v>8310</v>
      </c>
      <c r="S7" s="290">
        <v>24300</v>
      </c>
      <c r="T7" s="290">
        <v>336410</v>
      </c>
    </row>
    <row r="8" spans="1:20" ht="36">
      <c r="A8" s="286" t="s">
        <v>237</v>
      </c>
      <c r="B8" s="287" t="s">
        <v>238</v>
      </c>
      <c r="C8" s="286" t="s">
        <v>379</v>
      </c>
      <c r="D8" s="286" t="s">
        <v>239</v>
      </c>
      <c r="E8" s="290">
        <v>3481130</v>
      </c>
      <c r="H8" s="290">
        <v>375360</v>
      </c>
      <c r="I8" s="290">
        <v>450580</v>
      </c>
      <c r="J8" s="290">
        <v>412500</v>
      </c>
      <c r="K8" s="290">
        <v>408720</v>
      </c>
      <c r="L8" s="290">
        <v>269000</v>
      </c>
      <c r="M8" s="290">
        <v>212800</v>
      </c>
      <c r="N8" s="290">
        <v>185400</v>
      </c>
      <c r="O8" s="290">
        <v>205920</v>
      </c>
      <c r="P8" s="290">
        <v>235630</v>
      </c>
      <c r="Q8" s="290">
        <v>202880</v>
      </c>
      <c r="R8" s="290">
        <v>211240</v>
      </c>
      <c r="S8" s="290">
        <v>311100</v>
      </c>
      <c r="T8" s="290">
        <v>3481130</v>
      </c>
    </row>
    <row r="9" spans="1:20" ht="27">
      <c r="A9" s="286" t="s">
        <v>380</v>
      </c>
      <c r="B9" s="287" t="s">
        <v>240</v>
      </c>
      <c r="C9" s="286" t="s">
        <v>381</v>
      </c>
      <c r="D9" s="286" t="s">
        <v>200</v>
      </c>
      <c r="E9" s="290">
        <v>16542478</v>
      </c>
      <c r="H9" s="290">
        <v>1569180</v>
      </c>
      <c r="I9" s="290">
        <v>1946491</v>
      </c>
      <c r="J9" s="290">
        <v>1753790</v>
      </c>
      <c r="K9" s="290">
        <v>1906127</v>
      </c>
      <c r="L9" s="290">
        <v>1397422</v>
      </c>
      <c r="M9" s="290">
        <v>1000320</v>
      </c>
      <c r="N9" s="290">
        <v>1011246</v>
      </c>
      <c r="O9" s="290">
        <v>822195</v>
      </c>
      <c r="P9" s="290">
        <v>1004759</v>
      </c>
      <c r="Q9" s="290">
        <v>1353060</v>
      </c>
      <c r="R9" s="290">
        <v>1256520</v>
      </c>
      <c r="S9" s="290">
        <v>1521368</v>
      </c>
      <c r="T9" s="290">
        <v>16542478</v>
      </c>
    </row>
    <row r="10" spans="1:20" ht="36">
      <c r="A10" s="286" t="s">
        <v>241</v>
      </c>
      <c r="B10" s="287" t="s">
        <v>242</v>
      </c>
      <c r="C10" s="286" t="s">
        <v>379</v>
      </c>
      <c r="D10" s="286" t="s">
        <v>201</v>
      </c>
      <c r="E10" s="290">
        <v>117150</v>
      </c>
      <c r="H10" s="290">
        <v>12990</v>
      </c>
      <c r="I10" s="290">
        <v>11900</v>
      </c>
      <c r="J10" s="290">
        <v>10360</v>
      </c>
      <c r="K10" s="290">
        <v>12060</v>
      </c>
      <c r="L10" s="290">
        <v>9110</v>
      </c>
      <c r="M10" s="290">
        <v>6630</v>
      </c>
      <c r="N10" s="290">
        <v>8340</v>
      </c>
      <c r="O10" s="290">
        <v>6550</v>
      </c>
      <c r="P10" s="290">
        <v>6930</v>
      </c>
      <c r="Q10" s="290">
        <v>7660</v>
      </c>
      <c r="R10" s="290">
        <v>12880</v>
      </c>
      <c r="S10" s="290">
        <v>11740</v>
      </c>
      <c r="T10" s="290">
        <v>117150</v>
      </c>
    </row>
    <row r="11" spans="1:20" ht="36">
      <c r="A11" s="286" t="s">
        <v>241</v>
      </c>
      <c r="B11" s="287" t="s">
        <v>242</v>
      </c>
      <c r="C11" s="286" t="s">
        <v>379</v>
      </c>
      <c r="D11" s="286" t="s">
        <v>200</v>
      </c>
      <c r="E11" s="290">
        <v>31660</v>
      </c>
      <c r="H11" s="290">
        <v>2570</v>
      </c>
      <c r="I11" s="290">
        <v>7640</v>
      </c>
      <c r="J11" s="290">
        <v>810</v>
      </c>
      <c r="K11" s="290">
        <v>4880</v>
      </c>
      <c r="L11" s="290">
        <v>4500</v>
      </c>
      <c r="M11" s="290">
        <v>5040</v>
      </c>
      <c r="N11" s="290">
        <v>4770</v>
      </c>
      <c r="O11" s="294"/>
      <c r="P11" s="294"/>
      <c r="Q11" s="294"/>
      <c r="R11" s="290">
        <v>110</v>
      </c>
      <c r="S11" s="290">
        <v>1340</v>
      </c>
      <c r="T11" s="290">
        <v>31660</v>
      </c>
    </row>
    <row r="12" spans="1:20" ht="36">
      <c r="A12" s="286" t="s">
        <v>241</v>
      </c>
      <c r="B12" s="287" t="s">
        <v>242</v>
      </c>
      <c r="C12" s="286" t="s">
        <v>379</v>
      </c>
      <c r="D12" s="286" t="s">
        <v>239</v>
      </c>
      <c r="E12" s="290">
        <v>3481130</v>
      </c>
      <c r="H12" s="290">
        <v>375360</v>
      </c>
      <c r="I12" s="290">
        <v>450580</v>
      </c>
      <c r="J12" s="290">
        <v>412500</v>
      </c>
      <c r="K12" s="290">
        <v>408720</v>
      </c>
      <c r="L12" s="290">
        <v>269000</v>
      </c>
      <c r="M12" s="290">
        <v>212800</v>
      </c>
      <c r="N12" s="290">
        <v>185400</v>
      </c>
      <c r="O12" s="290">
        <v>205920</v>
      </c>
      <c r="P12" s="290">
        <v>235630</v>
      </c>
      <c r="Q12" s="290">
        <v>202880</v>
      </c>
      <c r="R12" s="290">
        <v>211240</v>
      </c>
      <c r="S12" s="290">
        <v>311100</v>
      </c>
      <c r="T12" s="290">
        <v>3481130</v>
      </c>
    </row>
    <row r="13" spans="1:20" ht="27">
      <c r="A13" s="286" t="s">
        <v>243</v>
      </c>
      <c r="B13" s="287" t="s">
        <v>244</v>
      </c>
      <c r="C13" s="286" t="s">
        <v>381</v>
      </c>
      <c r="D13" s="286" t="s">
        <v>200</v>
      </c>
      <c r="E13" s="290">
        <v>16542478</v>
      </c>
      <c r="H13" s="290">
        <v>1569180</v>
      </c>
      <c r="I13" s="290">
        <v>1946491</v>
      </c>
      <c r="J13" s="290">
        <v>1753790</v>
      </c>
      <c r="K13" s="290">
        <v>1906127</v>
      </c>
      <c r="L13" s="290">
        <v>1397422</v>
      </c>
      <c r="M13" s="290">
        <v>1000320</v>
      </c>
      <c r="N13" s="290">
        <v>1011246</v>
      </c>
      <c r="O13" s="290">
        <v>822195</v>
      </c>
      <c r="P13" s="290">
        <v>1004759</v>
      </c>
      <c r="Q13" s="290">
        <v>1353060</v>
      </c>
      <c r="R13" s="290">
        <v>1256520</v>
      </c>
      <c r="S13" s="290">
        <v>1521368</v>
      </c>
      <c r="T13" s="290">
        <v>16542478</v>
      </c>
    </row>
    <row r="14" spans="1:20">
      <c r="E14" s="291">
        <f>SUM(E6:E13)</f>
        <v>41116086</v>
      </c>
      <c r="H14" s="291">
        <f t="shared" ref="H14:T14" si="0">SUM(H6:H13)</f>
        <v>3977320</v>
      </c>
      <c r="I14" s="291">
        <f t="shared" si="0"/>
        <v>4897102</v>
      </c>
      <c r="J14" s="291">
        <f t="shared" si="0"/>
        <v>4444280</v>
      </c>
      <c r="K14" s="291">
        <f t="shared" si="0"/>
        <v>4772464</v>
      </c>
      <c r="L14" s="291">
        <f t="shared" si="0"/>
        <v>3410154</v>
      </c>
      <c r="M14" s="291">
        <f t="shared" si="0"/>
        <v>2515900</v>
      </c>
      <c r="N14" s="291">
        <f t="shared" si="0"/>
        <v>2452892</v>
      </c>
      <c r="O14" s="291">
        <f t="shared" si="0"/>
        <v>2098320</v>
      </c>
      <c r="P14" s="291">
        <f t="shared" si="0"/>
        <v>2552698</v>
      </c>
      <c r="Q14" s="291">
        <f t="shared" si="0"/>
        <v>3218840</v>
      </c>
      <c r="R14" s="291">
        <f t="shared" si="0"/>
        <v>3014190</v>
      </c>
      <c r="S14" s="291">
        <f t="shared" si="0"/>
        <v>3761926</v>
      </c>
      <c r="T14" s="291">
        <f t="shared" si="0"/>
        <v>41116086</v>
      </c>
    </row>
    <row r="16" spans="1:20" ht="15.75">
      <c r="A16" s="121" t="s">
        <v>202</v>
      </c>
      <c r="E16" s="291">
        <f>SUM(E6:E9)</f>
        <v>20943668</v>
      </c>
      <c r="H16" s="291">
        <f t="shared" ref="H16:T16" si="1">SUM(H6:H9)</f>
        <v>2017220</v>
      </c>
      <c r="I16" s="291">
        <f t="shared" si="1"/>
        <v>2480491</v>
      </c>
      <c r="J16" s="291">
        <f t="shared" si="1"/>
        <v>2266820</v>
      </c>
      <c r="K16" s="291">
        <f t="shared" si="1"/>
        <v>2440677</v>
      </c>
      <c r="L16" s="291">
        <f t="shared" si="1"/>
        <v>1730122</v>
      </c>
      <c r="M16" s="291">
        <f t="shared" si="1"/>
        <v>1291110</v>
      </c>
      <c r="N16" s="291">
        <f t="shared" si="1"/>
        <v>1243136</v>
      </c>
      <c r="O16" s="291">
        <f t="shared" si="1"/>
        <v>1063655</v>
      </c>
      <c r="P16" s="291">
        <f t="shared" si="1"/>
        <v>1305379</v>
      </c>
      <c r="Q16" s="291">
        <f t="shared" si="1"/>
        <v>1655240</v>
      </c>
      <c r="R16" s="291">
        <f t="shared" si="1"/>
        <v>1533440</v>
      </c>
      <c r="S16" s="291">
        <f t="shared" si="1"/>
        <v>1916378</v>
      </c>
      <c r="T16" s="291">
        <f t="shared" si="1"/>
        <v>20943668</v>
      </c>
    </row>
    <row r="17" spans="1:20" ht="15.75">
      <c r="A17" s="121" t="s">
        <v>203</v>
      </c>
      <c r="E17" s="291">
        <f>SUM(E10:E13)</f>
        <v>20172418</v>
      </c>
      <c r="H17" s="291">
        <f t="shared" ref="H17:T17" si="2">SUM(H10:H13)</f>
        <v>1960100</v>
      </c>
      <c r="I17" s="291">
        <f t="shared" si="2"/>
        <v>2416611</v>
      </c>
      <c r="J17" s="291">
        <f t="shared" si="2"/>
        <v>2177460</v>
      </c>
      <c r="K17" s="291">
        <f t="shared" si="2"/>
        <v>2331787</v>
      </c>
      <c r="L17" s="291">
        <f t="shared" si="2"/>
        <v>1680032</v>
      </c>
      <c r="M17" s="291">
        <f t="shared" si="2"/>
        <v>1224790</v>
      </c>
      <c r="N17" s="291">
        <f t="shared" si="2"/>
        <v>1209756</v>
      </c>
      <c r="O17" s="291">
        <f t="shared" si="2"/>
        <v>1034665</v>
      </c>
      <c r="P17" s="291">
        <f t="shared" si="2"/>
        <v>1247319</v>
      </c>
      <c r="Q17" s="291">
        <f t="shared" si="2"/>
        <v>1563600</v>
      </c>
      <c r="R17" s="291">
        <f t="shared" si="2"/>
        <v>1480750</v>
      </c>
      <c r="S17" s="291">
        <f t="shared" si="2"/>
        <v>1845548</v>
      </c>
      <c r="T17" s="291">
        <f t="shared" si="2"/>
        <v>20172418</v>
      </c>
    </row>
    <row r="18" spans="1:20" ht="15.75">
      <c r="A18" s="121" t="s">
        <v>76</v>
      </c>
      <c r="E18" s="291">
        <f>E16+E17</f>
        <v>41116086</v>
      </c>
      <c r="H18" s="291">
        <f t="shared" ref="H18:T18" si="3">H16+H17</f>
        <v>3977320</v>
      </c>
      <c r="I18" s="291">
        <f t="shared" si="3"/>
        <v>4897102</v>
      </c>
      <c r="J18" s="291">
        <f t="shared" si="3"/>
        <v>4444280</v>
      </c>
      <c r="K18" s="291">
        <f t="shared" si="3"/>
        <v>4772464</v>
      </c>
      <c r="L18" s="291">
        <f t="shared" si="3"/>
        <v>3410154</v>
      </c>
      <c r="M18" s="291">
        <f t="shared" si="3"/>
        <v>2515900</v>
      </c>
      <c r="N18" s="291">
        <f t="shared" si="3"/>
        <v>2452892</v>
      </c>
      <c r="O18" s="291">
        <f t="shared" si="3"/>
        <v>2098320</v>
      </c>
      <c r="P18" s="291">
        <f t="shared" si="3"/>
        <v>2552698</v>
      </c>
      <c r="Q18" s="291">
        <f t="shared" si="3"/>
        <v>3218840</v>
      </c>
      <c r="R18" s="291">
        <f t="shared" si="3"/>
        <v>3014190</v>
      </c>
      <c r="S18" s="291">
        <f t="shared" si="3"/>
        <v>3761926</v>
      </c>
      <c r="T18" s="291">
        <f t="shared" si="3"/>
        <v>41116086</v>
      </c>
    </row>
    <row r="19" spans="1:20" ht="15.75">
      <c r="A19" s="121"/>
      <c r="E19" s="291"/>
      <c r="H19" s="291"/>
      <c r="I19" s="291"/>
      <c r="J19" s="291"/>
      <c r="K19" s="291"/>
      <c r="L19" s="291"/>
      <c r="M19" s="291"/>
      <c r="N19" s="291"/>
      <c r="O19" s="291"/>
      <c r="P19" s="291"/>
      <c r="Q19" s="291"/>
      <c r="R19" s="291"/>
      <c r="S19" s="291"/>
      <c r="T19" s="291"/>
    </row>
    <row r="20" spans="1:20" ht="15.75">
      <c r="A20" s="121" t="s">
        <v>235</v>
      </c>
      <c r="E20" s="291">
        <f>E9</f>
        <v>16542478</v>
      </c>
      <c r="F20">
        <v>900</v>
      </c>
      <c r="H20" s="291">
        <f t="shared" ref="H20:T20" si="4">H9</f>
        <v>1569180</v>
      </c>
      <c r="I20" s="291">
        <f t="shared" si="4"/>
        <v>1946491</v>
      </c>
      <c r="J20" s="291">
        <f t="shared" si="4"/>
        <v>1753790</v>
      </c>
      <c r="K20" s="291">
        <f t="shared" si="4"/>
        <v>1906127</v>
      </c>
      <c r="L20" s="291">
        <f t="shared" si="4"/>
        <v>1397422</v>
      </c>
      <c r="M20" s="291">
        <f t="shared" si="4"/>
        <v>1000320</v>
      </c>
      <c r="N20" s="291">
        <f t="shared" si="4"/>
        <v>1011246</v>
      </c>
      <c r="O20" s="291">
        <f t="shared" si="4"/>
        <v>822195</v>
      </c>
      <c r="P20" s="291">
        <f t="shared" si="4"/>
        <v>1004759</v>
      </c>
      <c r="Q20" s="291">
        <f t="shared" si="4"/>
        <v>1353060</v>
      </c>
      <c r="R20" s="291">
        <f t="shared" si="4"/>
        <v>1256520</v>
      </c>
      <c r="S20" s="291">
        <f t="shared" si="4"/>
        <v>1521368</v>
      </c>
      <c r="T20" s="291">
        <f t="shared" si="4"/>
        <v>16542478</v>
      </c>
    </row>
    <row r="21" spans="1:20" ht="15.75">
      <c r="A21" s="121" t="s">
        <v>236</v>
      </c>
      <c r="E21" s="291">
        <f>E13</f>
        <v>16542478</v>
      </c>
      <c r="F21">
        <v>900</v>
      </c>
      <c r="H21" s="291">
        <f t="shared" ref="H21:T21" si="5">H13</f>
        <v>1569180</v>
      </c>
      <c r="I21" s="291">
        <f t="shared" si="5"/>
        <v>1946491</v>
      </c>
      <c r="J21" s="291">
        <f t="shared" si="5"/>
        <v>1753790</v>
      </c>
      <c r="K21" s="291">
        <f t="shared" si="5"/>
        <v>1906127</v>
      </c>
      <c r="L21" s="291">
        <f t="shared" si="5"/>
        <v>1397422</v>
      </c>
      <c r="M21" s="291">
        <f t="shared" si="5"/>
        <v>1000320</v>
      </c>
      <c r="N21" s="291">
        <f t="shared" si="5"/>
        <v>1011246</v>
      </c>
      <c r="O21" s="291">
        <f t="shared" si="5"/>
        <v>822195</v>
      </c>
      <c r="P21" s="291">
        <f t="shared" si="5"/>
        <v>1004759</v>
      </c>
      <c r="Q21" s="291">
        <f t="shared" si="5"/>
        <v>1353060</v>
      </c>
      <c r="R21" s="291">
        <f t="shared" si="5"/>
        <v>1256520</v>
      </c>
      <c r="S21" s="291">
        <f t="shared" si="5"/>
        <v>1521368</v>
      </c>
      <c r="T21" s="291">
        <f t="shared" si="5"/>
        <v>16542478</v>
      </c>
    </row>
    <row r="23" spans="1:20">
      <c r="A23" s="282">
        <v>2018</v>
      </c>
    </row>
    <row r="24" spans="1:20" ht="31.5">
      <c r="A24" s="288" t="s">
        <v>196</v>
      </c>
      <c r="B24" s="289" t="s">
        <v>197</v>
      </c>
      <c r="C24" s="288" t="s">
        <v>198</v>
      </c>
      <c r="D24" s="288" t="s">
        <v>382</v>
      </c>
      <c r="F24" s="292" t="s">
        <v>278</v>
      </c>
      <c r="H24" s="293" t="s">
        <v>385</v>
      </c>
      <c r="I24" s="293" t="s">
        <v>136</v>
      </c>
      <c r="J24" s="293" t="s">
        <v>137</v>
      </c>
      <c r="K24" s="293" t="s">
        <v>138</v>
      </c>
      <c r="L24" s="293" t="s">
        <v>139</v>
      </c>
      <c r="M24" s="293" t="s">
        <v>140</v>
      </c>
      <c r="N24" s="293" t="s">
        <v>141</v>
      </c>
      <c r="O24" s="293" t="s">
        <v>142</v>
      </c>
      <c r="P24" s="293" t="s">
        <v>143</v>
      </c>
      <c r="Q24" s="293" t="s">
        <v>144</v>
      </c>
      <c r="R24" s="293" t="s">
        <v>145</v>
      </c>
      <c r="S24" s="293" t="s">
        <v>146</v>
      </c>
      <c r="T24" s="293" t="s">
        <v>199</v>
      </c>
    </row>
    <row r="25" spans="1:20" ht="36">
      <c r="A25" s="286" t="s">
        <v>237</v>
      </c>
      <c r="B25" s="287" t="s">
        <v>238</v>
      </c>
      <c r="C25" s="286" t="s">
        <v>379</v>
      </c>
      <c r="D25" s="286" t="s">
        <v>201</v>
      </c>
      <c r="E25" s="290">
        <v>714430</v>
      </c>
      <c r="H25" s="290">
        <v>86760</v>
      </c>
      <c r="I25" s="290">
        <v>69960</v>
      </c>
      <c r="J25" s="290">
        <v>89100</v>
      </c>
      <c r="K25" s="290">
        <v>69000</v>
      </c>
      <c r="L25" s="290">
        <v>64250</v>
      </c>
      <c r="M25" s="290">
        <v>53040</v>
      </c>
      <c r="N25" s="290">
        <v>43910</v>
      </c>
      <c r="O25" s="290">
        <v>48860</v>
      </c>
      <c r="P25" s="290">
        <v>47890</v>
      </c>
      <c r="Q25" s="290">
        <v>39950</v>
      </c>
      <c r="R25" s="290">
        <v>55370</v>
      </c>
      <c r="S25" s="290">
        <v>46340</v>
      </c>
      <c r="T25" s="290">
        <v>714430</v>
      </c>
    </row>
    <row r="26" spans="1:20" ht="36">
      <c r="A26" s="286" t="s">
        <v>237</v>
      </c>
      <c r="B26" s="287" t="s">
        <v>238</v>
      </c>
      <c r="C26" s="286" t="s">
        <v>379</v>
      </c>
      <c r="D26" s="286" t="s">
        <v>200</v>
      </c>
      <c r="E26" s="290">
        <v>300860</v>
      </c>
      <c r="H26" s="290">
        <v>26910</v>
      </c>
      <c r="I26" s="290">
        <v>21680</v>
      </c>
      <c r="J26" s="290">
        <v>22530</v>
      </c>
      <c r="K26" s="290">
        <v>23860</v>
      </c>
      <c r="L26" s="290">
        <v>23080</v>
      </c>
      <c r="M26" s="290">
        <v>28800</v>
      </c>
      <c r="N26" s="290">
        <v>19940</v>
      </c>
      <c r="O26" s="290">
        <v>28940</v>
      </c>
      <c r="P26" s="290">
        <v>24950</v>
      </c>
      <c r="Q26" s="290">
        <v>24330</v>
      </c>
      <c r="R26" s="290">
        <v>29580</v>
      </c>
      <c r="S26" s="290">
        <v>26260</v>
      </c>
      <c r="T26" s="290">
        <v>300860</v>
      </c>
    </row>
    <row r="27" spans="1:20" ht="36">
      <c r="A27" s="286" t="s">
        <v>237</v>
      </c>
      <c r="B27" s="287" t="s">
        <v>238</v>
      </c>
      <c r="C27" s="286" t="s">
        <v>379</v>
      </c>
      <c r="D27" s="286" t="s">
        <v>239</v>
      </c>
      <c r="E27" s="290">
        <v>3339280</v>
      </c>
      <c r="H27" s="290">
        <v>346870</v>
      </c>
      <c r="I27" s="290">
        <v>430020</v>
      </c>
      <c r="J27" s="290">
        <v>432580</v>
      </c>
      <c r="K27" s="290">
        <v>365010</v>
      </c>
      <c r="L27" s="290">
        <v>170830</v>
      </c>
      <c r="M27" s="290">
        <v>169000</v>
      </c>
      <c r="N27" s="290">
        <v>148860</v>
      </c>
      <c r="O27" s="290">
        <v>251880</v>
      </c>
      <c r="P27" s="290">
        <v>202520</v>
      </c>
      <c r="Q27" s="290">
        <v>216580</v>
      </c>
      <c r="R27" s="290">
        <v>309670</v>
      </c>
      <c r="S27" s="290">
        <v>295460</v>
      </c>
      <c r="T27" s="290">
        <v>3339280</v>
      </c>
    </row>
    <row r="28" spans="1:20" ht="27">
      <c r="A28" s="286" t="s">
        <v>380</v>
      </c>
      <c r="B28" s="287" t="s">
        <v>240</v>
      </c>
      <c r="C28" s="286" t="s">
        <v>381</v>
      </c>
      <c r="D28" s="286" t="s">
        <v>200</v>
      </c>
      <c r="E28" s="290">
        <v>14937445</v>
      </c>
      <c r="H28" s="290">
        <v>1614180</v>
      </c>
      <c r="I28" s="290">
        <v>1728322</v>
      </c>
      <c r="J28" s="290">
        <v>1795720</v>
      </c>
      <c r="K28" s="290">
        <v>1887905</v>
      </c>
      <c r="L28" s="290">
        <v>1156633</v>
      </c>
      <c r="M28" s="290">
        <v>854226</v>
      </c>
      <c r="N28" s="290">
        <v>673836</v>
      </c>
      <c r="O28" s="290">
        <v>802468</v>
      </c>
      <c r="P28" s="290">
        <v>691210</v>
      </c>
      <c r="Q28" s="290">
        <v>759166</v>
      </c>
      <c r="R28" s="290">
        <v>1586854</v>
      </c>
      <c r="S28" s="290">
        <v>1386925</v>
      </c>
      <c r="T28" s="290">
        <v>14937445</v>
      </c>
    </row>
    <row r="29" spans="1:20" ht="36">
      <c r="A29" s="286" t="s">
        <v>241</v>
      </c>
      <c r="B29" s="287" t="s">
        <v>242</v>
      </c>
      <c r="C29" s="286" t="s">
        <v>379</v>
      </c>
      <c r="D29" s="286" t="s">
        <v>201</v>
      </c>
      <c r="E29" s="290">
        <v>112190</v>
      </c>
      <c r="H29" s="290">
        <v>9500</v>
      </c>
      <c r="I29" s="290">
        <v>9600</v>
      </c>
      <c r="J29" s="290">
        <v>17430</v>
      </c>
      <c r="K29" s="290">
        <v>12240</v>
      </c>
      <c r="L29" s="290">
        <v>7420</v>
      </c>
      <c r="M29" s="290">
        <v>5540</v>
      </c>
      <c r="N29" s="290">
        <v>7620</v>
      </c>
      <c r="O29" s="290">
        <v>9750</v>
      </c>
      <c r="P29" s="290">
        <v>8190</v>
      </c>
      <c r="Q29" s="290">
        <v>2690</v>
      </c>
      <c r="R29" s="290">
        <v>12890</v>
      </c>
      <c r="S29" s="290">
        <v>9320</v>
      </c>
      <c r="T29" s="290">
        <v>112190</v>
      </c>
    </row>
    <row r="30" spans="1:20" ht="36">
      <c r="A30" s="286" t="s">
        <v>241</v>
      </c>
      <c r="B30" s="287" t="s">
        <v>242</v>
      </c>
      <c r="C30" s="286" t="s">
        <v>379</v>
      </c>
      <c r="D30" s="286" t="s">
        <v>200</v>
      </c>
      <c r="E30" s="290">
        <v>24070</v>
      </c>
      <c r="H30" s="290">
        <v>4280</v>
      </c>
      <c r="I30" s="294"/>
      <c r="J30" s="290">
        <v>5000</v>
      </c>
      <c r="K30" s="294"/>
      <c r="L30" s="290">
        <v>2250</v>
      </c>
      <c r="M30" s="290">
        <v>1090</v>
      </c>
      <c r="N30" s="290">
        <v>1650</v>
      </c>
      <c r="O30" s="290">
        <v>1370</v>
      </c>
      <c r="P30" s="290">
        <v>7630</v>
      </c>
      <c r="Q30" s="290">
        <v>360</v>
      </c>
      <c r="R30" s="290">
        <v>440</v>
      </c>
      <c r="S30" s="309" t="s">
        <v>395</v>
      </c>
      <c r="T30" s="290">
        <v>24070</v>
      </c>
    </row>
    <row r="31" spans="1:20" ht="36">
      <c r="A31" s="286" t="s">
        <v>241</v>
      </c>
      <c r="B31" s="287" t="s">
        <v>242</v>
      </c>
      <c r="C31" s="286" t="s">
        <v>379</v>
      </c>
      <c r="D31" s="286" t="s">
        <v>239</v>
      </c>
      <c r="E31" s="290">
        <v>3339280</v>
      </c>
      <c r="H31" s="290">
        <v>346870</v>
      </c>
      <c r="I31" s="290">
        <v>430020</v>
      </c>
      <c r="J31" s="290">
        <v>432580</v>
      </c>
      <c r="K31" s="290">
        <v>365010</v>
      </c>
      <c r="L31" s="290">
        <v>170830</v>
      </c>
      <c r="M31" s="290">
        <v>169000</v>
      </c>
      <c r="N31" s="290">
        <v>148860</v>
      </c>
      <c r="O31" s="290">
        <v>251880</v>
      </c>
      <c r="P31" s="290">
        <v>202520</v>
      </c>
      <c r="Q31" s="290">
        <v>216580</v>
      </c>
      <c r="R31" s="290">
        <v>309670</v>
      </c>
      <c r="S31" s="290">
        <v>295460</v>
      </c>
      <c r="T31" s="290">
        <v>3339280</v>
      </c>
    </row>
    <row r="32" spans="1:20" ht="27">
      <c r="A32" s="286" t="s">
        <v>243</v>
      </c>
      <c r="B32" s="287" t="s">
        <v>244</v>
      </c>
      <c r="C32" s="286" t="s">
        <v>381</v>
      </c>
      <c r="D32" s="286" t="s">
        <v>200</v>
      </c>
      <c r="E32" s="290">
        <v>14937445</v>
      </c>
      <c r="H32" s="290">
        <v>1614180</v>
      </c>
      <c r="I32" s="290">
        <v>1728322</v>
      </c>
      <c r="J32" s="290">
        <v>1795720</v>
      </c>
      <c r="K32" s="290">
        <v>1887905</v>
      </c>
      <c r="L32" s="290">
        <v>1156633</v>
      </c>
      <c r="M32" s="290">
        <v>854226</v>
      </c>
      <c r="N32" s="290">
        <v>673836</v>
      </c>
      <c r="O32" s="290">
        <v>802468</v>
      </c>
      <c r="P32" s="290">
        <v>691210</v>
      </c>
      <c r="Q32" s="290">
        <v>759166</v>
      </c>
      <c r="R32" s="290">
        <v>1586854</v>
      </c>
      <c r="S32" s="290">
        <v>1386925</v>
      </c>
      <c r="T32" s="290">
        <v>14937445</v>
      </c>
    </row>
    <row r="33" spans="1:20">
      <c r="E33" s="291">
        <f>SUM(E25:E32)</f>
        <v>37705000</v>
      </c>
      <c r="H33" s="291">
        <f t="shared" ref="H33:T33" si="6">SUM(H25:H32)</f>
        <v>4049550</v>
      </c>
      <c r="I33" s="291">
        <f t="shared" si="6"/>
        <v>4417924</v>
      </c>
      <c r="J33" s="291">
        <f t="shared" si="6"/>
        <v>4590660</v>
      </c>
      <c r="K33" s="291">
        <f t="shared" si="6"/>
        <v>4610930</v>
      </c>
      <c r="L33" s="291">
        <f t="shared" si="6"/>
        <v>2751926</v>
      </c>
      <c r="M33" s="291">
        <f t="shared" si="6"/>
        <v>2134922</v>
      </c>
      <c r="N33" s="291">
        <f t="shared" si="6"/>
        <v>1718512</v>
      </c>
      <c r="O33" s="291">
        <f t="shared" si="6"/>
        <v>2197616</v>
      </c>
      <c r="P33" s="291">
        <f t="shared" si="6"/>
        <v>1876120</v>
      </c>
      <c r="Q33" s="291">
        <f t="shared" si="6"/>
        <v>2018822</v>
      </c>
      <c r="R33" s="291">
        <f t="shared" si="6"/>
        <v>3891328</v>
      </c>
      <c r="S33" s="291">
        <f t="shared" si="6"/>
        <v>3446690</v>
      </c>
      <c r="T33" s="291">
        <f t="shared" si="6"/>
        <v>37705000</v>
      </c>
    </row>
    <row r="35" spans="1:20" ht="15.75">
      <c r="A35" s="121" t="s">
        <v>202</v>
      </c>
      <c r="E35" s="291">
        <f>SUM(E25:E28)</f>
        <v>19292015</v>
      </c>
      <c r="H35" s="291">
        <f t="shared" ref="H35:T35" si="7">SUM(H25:H28)</f>
        <v>2074720</v>
      </c>
      <c r="I35" s="291">
        <f t="shared" si="7"/>
        <v>2249982</v>
      </c>
      <c r="J35" s="291">
        <f t="shared" si="7"/>
        <v>2339930</v>
      </c>
      <c r="K35" s="291">
        <f t="shared" si="7"/>
        <v>2345775</v>
      </c>
      <c r="L35" s="291">
        <f t="shared" si="7"/>
        <v>1414793</v>
      </c>
      <c r="M35" s="291">
        <f t="shared" si="7"/>
        <v>1105066</v>
      </c>
      <c r="N35" s="291">
        <f t="shared" si="7"/>
        <v>886546</v>
      </c>
      <c r="O35" s="291">
        <f t="shared" si="7"/>
        <v>1132148</v>
      </c>
      <c r="P35" s="291">
        <f t="shared" si="7"/>
        <v>966570</v>
      </c>
      <c r="Q35" s="291">
        <f t="shared" si="7"/>
        <v>1040026</v>
      </c>
      <c r="R35" s="291">
        <f t="shared" si="7"/>
        <v>1981474</v>
      </c>
      <c r="S35" s="291">
        <f t="shared" si="7"/>
        <v>1754985</v>
      </c>
      <c r="T35" s="291">
        <f t="shared" si="7"/>
        <v>19292015</v>
      </c>
    </row>
    <row r="36" spans="1:20" ht="15.75">
      <c r="A36" s="121" t="s">
        <v>203</v>
      </c>
      <c r="E36" s="291">
        <f>SUM(E29:E32)</f>
        <v>18412985</v>
      </c>
      <c r="H36" s="291">
        <f t="shared" ref="H36:T36" si="8">SUM(H29:H32)</f>
        <v>1974830</v>
      </c>
      <c r="I36" s="291">
        <f t="shared" si="8"/>
        <v>2167942</v>
      </c>
      <c r="J36" s="291">
        <f t="shared" si="8"/>
        <v>2250730</v>
      </c>
      <c r="K36" s="291">
        <f t="shared" si="8"/>
        <v>2265155</v>
      </c>
      <c r="L36" s="291">
        <f t="shared" si="8"/>
        <v>1337133</v>
      </c>
      <c r="M36" s="291">
        <f t="shared" si="8"/>
        <v>1029856</v>
      </c>
      <c r="N36" s="291">
        <f t="shared" si="8"/>
        <v>831966</v>
      </c>
      <c r="O36" s="291">
        <f t="shared" si="8"/>
        <v>1065468</v>
      </c>
      <c r="P36" s="291">
        <f t="shared" si="8"/>
        <v>909550</v>
      </c>
      <c r="Q36" s="291">
        <f t="shared" si="8"/>
        <v>978796</v>
      </c>
      <c r="R36" s="291">
        <f t="shared" si="8"/>
        <v>1909854</v>
      </c>
      <c r="S36" s="291">
        <f t="shared" si="8"/>
        <v>1691705</v>
      </c>
      <c r="T36" s="291">
        <f t="shared" si="8"/>
        <v>18412985</v>
      </c>
    </row>
    <row r="37" spans="1:20" ht="15.75">
      <c r="A37" s="121" t="s">
        <v>76</v>
      </c>
      <c r="E37" s="291">
        <f>E35+E36</f>
        <v>37705000</v>
      </c>
      <c r="H37" s="291">
        <f t="shared" ref="H37:T37" si="9">H35+H36</f>
        <v>4049550</v>
      </c>
      <c r="I37" s="291">
        <f t="shared" si="9"/>
        <v>4417924</v>
      </c>
      <c r="J37" s="291">
        <f t="shared" si="9"/>
        <v>4590660</v>
      </c>
      <c r="K37" s="291">
        <f t="shared" si="9"/>
        <v>4610930</v>
      </c>
      <c r="L37" s="291">
        <f t="shared" si="9"/>
        <v>2751926</v>
      </c>
      <c r="M37" s="291">
        <f t="shared" si="9"/>
        <v>2134922</v>
      </c>
      <c r="N37" s="291">
        <f t="shared" si="9"/>
        <v>1718512</v>
      </c>
      <c r="O37" s="291">
        <f t="shared" si="9"/>
        <v>2197616</v>
      </c>
      <c r="P37" s="291">
        <f t="shared" si="9"/>
        <v>1876120</v>
      </c>
      <c r="Q37" s="291">
        <f t="shared" si="9"/>
        <v>2018822</v>
      </c>
      <c r="R37" s="291">
        <f t="shared" si="9"/>
        <v>3891328</v>
      </c>
      <c r="S37" s="291">
        <f t="shared" si="9"/>
        <v>3446690</v>
      </c>
      <c r="T37" s="291">
        <f t="shared" si="9"/>
        <v>37705000</v>
      </c>
    </row>
    <row r="38" spans="1:20" ht="15.75">
      <c r="A38" s="121"/>
      <c r="E38" s="291"/>
      <c r="H38" s="291"/>
      <c r="I38" s="291"/>
      <c r="J38" s="291"/>
      <c r="K38" s="291"/>
      <c r="L38" s="291"/>
      <c r="M38" s="291"/>
      <c r="N38" s="291"/>
      <c r="O38" s="291"/>
      <c r="P38" s="291"/>
      <c r="Q38" s="291"/>
      <c r="R38" s="291"/>
      <c r="S38" s="291"/>
      <c r="T38" s="291"/>
    </row>
    <row r="39" spans="1:20" ht="15.75">
      <c r="A39" s="121" t="s">
        <v>235</v>
      </c>
      <c r="E39" s="291">
        <f>E28</f>
        <v>14937445</v>
      </c>
      <c r="F39">
        <v>882</v>
      </c>
      <c r="H39" s="291">
        <f t="shared" ref="H39:T39" si="10">H28</f>
        <v>1614180</v>
      </c>
      <c r="I39" s="291">
        <f t="shared" si="10"/>
        <v>1728322</v>
      </c>
      <c r="J39" s="291">
        <f t="shared" si="10"/>
        <v>1795720</v>
      </c>
      <c r="K39" s="291">
        <f t="shared" si="10"/>
        <v>1887905</v>
      </c>
      <c r="L39" s="291">
        <f t="shared" si="10"/>
        <v>1156633</v>
      </c>
      <c r="M39" s="291">
        <f t="shared" si="10"/>
        <v>854226</v>
      </c>
      <c r="N39" s="291">
        <f t="shared" si="10"/>
        <v>673836</v>
      </c>
      <c r="O39" s="291">
        <f t="shared" si="10"/>
        <v>802468</v>
      </c>
      <c r="P39" s="291">
        <f t="shared" si="10"/>
        <v>691210</v>
      </c>
      <c r="Q39" s="291">
        <f t="shared" si="10"/>
        <v>759166</v>
      </c>
      <c r="R39" s="291">
        <f t="shared" si="10"/>
        <v>1586854</v>
      </c>
      <c r="S39" s="291">
        <f t="shared" si="10"/>
        <v>1386925</v>
      </c>
      <c r="T39" s="291">
        <f t="shared" si="10"/>
        <v>14937445</v>
      </c>
    </row>
    <row r="40" spans="1:20" ht="15.75">
      <c r="A40" s="121" t="s">
        <v>236</v>
      </c>
      <c r="E40" s="291">
        <f>E32</f>
        <v>14937445</v>
      </c>
      <c r="F40">
        <v>882</v>
      </c>
      <c r="H40" s="291">
        <f t="shared" ref="H40:T40" si="11">H32</f>
        <v>1614180</v>
      </c>
      <c r="I40" s="291">
        <f t="shared" si="11"/>
        <v>1728322</v>
      </c>
      <c r="J40" s="291">
        <f t="shared" si="11"/>
        <v>1795720</v>
      </c>
      <c r="K40" s="291">
        <f t="shared" si="11"/>
        <v>1887905</v>
      </c>
      <c r="L40" s="291">
        <f t="shared" si="11"/>
        <v>1156633</v>
      </c>
      <c r="M40" s="291">
        <f t="shared" si="11"/>
        <v>854226</v>
      </c>
      <c r="N40" s="291">
        <f t="shared" si="11"/>
        <v>673836</v>
      </c>
      <c r="O40" s="291">
        <f t="shared" si="11"/>
        <v>802468</v>
      </c>
      <c r="P40" s="291">
        <f t="shared" si="11"/>
        <v>691210</v>
      </c>
      <c r="Q40" s="291">
        <f t="shared" si="11"/>
        <v>759166</v>
      </c>
      <c r="R40" s="291">
        <f t="shared" si="11"/>
        <v>1586854</v>
      </c>
      <c r="S40" s="291">
        <f t="shared" si="11"/>
        <v>1386925</v>
      </c>
      <c r="T40" s="291">
        <f t="shared" si="11"/>
        <v>14937445</v>
      </c>
    </row>
    <row r="43" spans="1:20">
      <c r="A43" s="282">
        <v>2017</v>
      </c>
    </row>
    <row r="44" spans="1:20" ht="31.5">
      <c r="A44" s="288" t="s">
        <v>196</v>
      </c>
      <c r="B44" s="289" t="s">
        <v>197</v>
      </c>
      <c r="C44" s="288" t="s">
        <v>198</v>
      </c>
      <c r="D44" s="288" t="s">
        <v>382</v>
      </c>
      <c r="F44" s="292" t="s">
        <v>278</v>
      </c>
    </row>
    <row r="45" spans="1:20" ht="36">
      <c r="A45" s="286" t="s">
        <v>237</v>
      </c>
      <c r="B45" s="287" t="s">
        <v>238</v>
      </c>
      <c r="C45" s="286" t="s">
        <v>379</v>
      </c>
      <c r="D45" s="286" t="s">
        <v>201</v>
      </c>
      <c r="E45" s="290">
        <v>1007410</v>
      </c>
    </row>
    <row r="46" spans="1:20" ht="36">
      <c r="A46" s="286" t="s">
        <v>237</v>
      </c>
      <c r="B46" s="287" t="s">
        <v>238</v>
      </c>
      <c r="C46" s="286" t="s">
        <v>379</v>
      </c>
      <c r="D46" s="286" t="s">
        <v>200</v>
      </c>
      <c r="E46" s="290">
        <v>50160</v>
      </c>
    </row>
    <row r="47" spans="1:20" ht="36">
      <c r="A47" s="286" t="s">
        <v>237</v>
      </c>
      <c r="B47" s="287" t="s">
        <v>238</v>
      </c>
      <c r="C47" s="286" t="s">
        <v>379</v>
      </c>
      <c r="D47" s="286" t="s">
        <v>239</v>
      </c>
      <c r="E47" s="290">
        <v>2530520</v>
      </c>
    </row>
    <row r="48" spans="1:20" ht="27">
      <c r="A48" s="286" t="s">
        <v>380</v>
      </c>
      <c r="B48" s="287" t="s">
        <v>240</v>
      </c>
      <c r="C48" s="286" t="s">
        <v>381</v>
      </c>
      <c r="D48" s="286" t="s">
        <v>200</v>
      </c>
      <c r="E48" s="290">
        <v>12924521</v>
      </c>
    </row>
    <row r="49" spans="1:6" ht="36">
      <c r="A49" s="286" t="s">
        <v>241</v>
      </c>
      <c r="B49" s="287" t="s">
        <v>242</v>
      </c>
      <c r="C49" s="286" t="s">
        <v>379</v>
      </c>
      <c r="D49" s="286" t="s">
        <v>201</v>
      </c>
      <c r="E49" s="290">
        <v>97320</v>
      </c>
    </row>
    <row r="50" spans="1:6" ht="36">
      <c r="A50" s="286" t="s">
        <v>241</v>
      </c>
      <c r="B50" s="287" t="s">
        <v>242</v>
      </c>
      <c r="C50" s="286" t="s">
        <v>379</v>
      </c>
      <c r="D50" s="286" t="s">
        <v>200</v>
      </c>
      <c r="E50" s="290">
        <v>90720</v>
      </c>
    </row>
    <row r="51" spans="1:6" ht="36">
      <c r="A51" s="286" t="s">
        <v>241</v>
      </c>
      <c r="B51" s="287" t="s">
        <v>242</v>
      </c>
      <c r="C51" s="286" t="s">
        <v>379</v>
      </c>
      <c r="D51" s="286" t="s">
        <v>239</v>
      </c>
      <c r="E51" s="290">
        <v>2530520</v>
      </c>
    </row>
    <row r="52" spans="1:6" ht="27">
      <c r="A52" s="286" t="s">
        <v>243</v>
      </c>
      <c r="B52" s="287" t="s">
        <v>244</v>
      </c>
      <c r="C52" s="286" t="s">
        <v>381</v>
      </c>
      <c r="D52" s="286" t="s">
        <v>200</v>
      </c>
      <c r="E52" s="290">
        <v>12924521</v>
      </c>
    </row>
    <row r="53" spans="1:6">
      <c r="E53" s="291">
        <f>SUM(E45:E52)</f>
        <v>32155692</v>
      </c>
    </row>
    <row r="55" spans="1:6" ht="15.75">
      <c r="A55" s="121" t="s">
        <v>202</v>
      </c>
      <c r="E55" s="291">
        <f>SUM(E45:E48)</f>
        <v>16512611</v>
      </c>
    </row>
    <row r="56" spans="1:6" ht="15.75">
      <c r="A56" s="121" t="s">
        <v>203</v>
      </c>
      <c r="E56" s="291">
        <f>SUM(E49:E52)</f>
        <v>15643081</v>
      </c>
    </row>
    <row r="57" spans="1:6" ht="15.75">
      <c r="A57" s="121" t="s">
        <v>76</v>
      </c>
      <c r="E57" s="291">
        <f>E55+E56</f>
        <v>32155692</v>
      </c>
    </row>
    <row r="59" spans="1:6" ht="15.75">
      <c r="A59" s="121" t="s">
        <v>235</v>
      </c>
      <c r="E59" s="291">
        <f>E48</f>
        <v>12924521</v>
      </c>
      <c r="F59">
        <v>888</v>
      </c>
    </row>
    <row r="60" spans="1:6" ht="15.75">
      <c r="A60" s="121" t="s">
        <v>236</v>
      </c>
      <c r="E60" s="291">
        <f>E52</f>
        <v>12924521</v>
      </c>
      <c r="F60">
        <v>888</v>
      </c>
    </row>
    <row r="63" spans="1:6">
      <c r="A63" s="282">
        <v>2016</v>
      </c>
    </row>
    <row r="64" spans="1:6" ht="31.5">
      <c r="A64" s="288" t="s">
        <v>196</v>
      </c>
      <c r="B64" s="289" t="s">
        <v>197</v>
      </c>
      <c r="C64" s="288" t="s">
        <v>198</v>
      </c>
      <c r="D64" s="288" t="s">
        <v>382</v>
      </c>
      <c r="F64" s="292" t="s">
        <v>278</v>
      </c>
    </row>
    <row r="65" spans="1:6" ht="36">
      <c r="A65" s="286" t="s">
        <v>237</v>
      </c>
      <c r="B65" s="287" t="s">
        <v>238</v>
      </c>
      <c r="C65" s="286" t="s">
        <v>379</v>
      </c>
      <c r="D65" s="286" t="s">
        <v>201</v>
      </c>
      <c r="E65" s="290">
        <v>896050</v>
      </c>
    </row>
    <row r="66" spans="1:6" ht="36">
      <c r="A66" s="286" t="s">
        <v>237</v>
      </c>
      <c r="B66" s="287" t="s">
        <v>238</v>
      </c>
      <c r="C66" s="286" t="s">
        <v>379</v>
      </c>
      <c r="D66" s="286" t="s">
        <v>200</v>
      </c>
      <c r="E66" s="290">
        <v>2570</v>
      </c>
    </row>
    <row r="67" spans="1:6" ht="36">
      <c r="A67" s="286" t="s">
        <v>237</v>
      </c>
      <c r="B67" s="287" t="s">
        <v>238</v>
      </c>
      <c r="C67" s="286" t="s">
        <v>379</v>
      </c>
      <c r="D67" s="286" t="s">
        <v>239</v>
      </c>
      <c r="E67" s="290">
        <v>2375160</v>
      </c>
    </row>
    <row r="68" spans="1:6" ht="27">
      <c r="A68" s="286" t="s">
        <v>380</v>
      </c>
      <c r="B68" s="287" t="s">
        <v>240</v>
      </c>
      <c r="C68" s="286" t="s">
        <v>381</v>
      </c>
      <c r="D68" s="286" t="s">
        <v>200</v>
      </c>
      <c r="E68" s="290">
        <v>13001852</v>
      </c>
    </row>
    <row r="69" spans="1:6" ht="36">
      <c r="A69" s="286" t="s">
        <v>241</v>
      </c>
      <c r="B69" s="287" t="s">
        <v>242</v>
      </c>
      <c r="C69" s="286" t="s">
        <v>379</v>
      </c>
      <c r="D69" s="286" t="s">
        <v>201</v>
      </c>
      <c r="E69" s="290">
        <v>68570</v>
      </c>
    </row>
    <row r="70" spans="1:6" ht="36">
      <c r="A70" s="286" t="s">
        <v>241</v>
      </c>
      <c r="B70" s="287" t="s">
        <v>242</v>
      </c>
      <c r="C70" s="286" t="s">
        <v>379</v>
      </c>
      <c r="D70" s="286" t="s">
        <v>200</v>
      </c>
      <c r="E70" s="290">
        <v>55990</v>
      </c>
    </row>
    <row r="71" spans="1:6" ht="36">
      <c r="A71" s="286" t="s">
        <v>241</v>
      </c>
      <c r="B71" s="287" t="s">
        <v>242</v>
      </c>
      <c r="C71" s="286" t="s">
        <v>379</v>
      </c>
      <c r="D71" s="286" t="s">
        <v>239</v>
      </c>
      <c r="E71" s="290">
        <v>2375160</v>
      </c>
    </row>
    <row r="72" spans="1:6" ht="27">
      <c r="A72" s="286" t="s">
        <v>243</v>
      </c>
      <c r="B72" s="287" t="s">
        <v>244</v>
      </c>
      <c r="C72" s="286" t="s">
        <v>381</v>
      </c>
      <c r="D72" s="286" t="s">
        <v>200</v>
      </c>
      <c r="E72" s="290">
        <v>13001852</v>
      </c>
    </row>
    <row r="73" spans="1:6">
      <c r="E73" s="291">
        <f>SUM(E65:E72)</f>
        <v>31777204</v>
      </c>
    </row>
    <row r="75" spans="1:6" ht="15.75">
      <c r="A75" s="121" t="s">
        <v>202</v>
      </c>
      <c r="E75" s="291">
        <f>SUM(E65:E68)</f>
        <v>16275632</v>
      </c>
    </row>
    <row r="76" spans="1:6" ht="15.75">
      <c r="A76" s="121" t="s">
        <v>203</v>
      </c>
      <c r="E76" s="291">
        <f>SUM(E69:E72)</f>
        <v>15501572</v>
      </c>
    </row>
    <row r="77" spans="1:6" ht="15.75">
      <c r="A77" s="121" t="s">
        <v>76</v>
      </c>
      <c r="E77" s="291">
        <f>E75+E76</f>
        <v>31777204</v>
      </c>
    </row>
    <row r="78" spans="1:6" ht="15.75">
      <c r="A78" s="121"/>
      <c r="E78" s="291"/>
    </row>
    <row r="79" spans="1:6" ht="15.75">
      <c r="A79" s="121" t="s">
        <v>235</v>
      </c>
      <c r="E79" s="291">
        <f>E68</f>
        <v>13001852</v>
      </c>
      <c r="F79">
        <v>883</v>
      </c>
    </row>
    <row r="80" spans="1:6" ht="15.75">
      <c r="A80" s="121" t="s">
        <v>236</v>
      </c>
      <c r="E80" s="291">
        <f>E72</f>
        <v>13001852</v>
      </c>
      <c r="F80">
        <v>883</v>
      </c>
    </row>
    <row r="83" spans="1:7">
      <c r="A83" s="282">
        <v>2015</v>
      </c>
    </row>
    <row r="84" spans="1:7" ht="31.5">
      <c r="A84" s="288" t="s">
        <v>196</v>
      </c>
      <c r="B84" s="289" t="s">
        <v>197</v>
      </c>
      <c r="C84" s="288" t="s">
        <v>198</v>
      </c>
      <c r="D84" s="288" t="s">
        <v>382</v>
      </c>
      <c r="F84" s="292" t="s">
        <v>278</v>
      </c>
      <c r="G84" t="s">
        <v>383</v>
      </c>
    </row>
    <row r="85" spans="1:7" ht="36">
      <c r="A85" s="286" t="s">
        <v>237</v>
      </c>
      <c r="B85" s="287" t="s">
        <v>238</v>
      </c>
      <c r="C85" s="286" t="s">
        <v>379</v>
      </c>
      <c r="D85" s="286" t="s">
        <v>201</v>
      </c>
      <c r="E85" s="290">
        <v>901540</v>
      </c>
    </row>
    <row r="86" spans="1:7" ht="36">
      <c r="A86" s="286" t="s">
        <v>237</v>
      </c>
      <c r="B86" s="287" t="s">
        <v>238</v>
      </c>
      <c r="C86" s="286" t="s">
        <v>379</v>
      </c>
      <c r="D86" s="286" t="s">
        <v>200</v>
      </c>
      <c r="E86" s="290">
        <v>1010</v>
      </c>
    </row>
    <row r="87" spans="1:7" ht="36">
      <c r="A87" s="286" t="s">
        <v>237</v>
      </c>
      <c r="B87" s="287" t="s">
        <v>238</v>
      </c>
      <c r="C87" s="286" t="s">
        <v>379</v>
      </c>
      <c r="D87" s="286" t="s">
        <v>239</v>
      </c>
      <c r="E87" s="290">
        <v>2726380</v>
      </c>
    </row>
    <row r="88" spans="1:7" ht="27">
      <c r="A88" s="286" t="s">
        <v>380</v>
      </c>
      <c r="B88" s="287" t="s">
        <v>240</v>
      </c>
      <c r="C88" s="286" t="s">
        <v>381</v>
      </c>
      <c r="D88" s="286" t="s">
        <v>200</v>
      </c>
      <c r="E88" s="290">
        <v>13571318</v>
      </c>
    </row>
    <row r="89" spans="1:7" ht="36">
      <c r="A89" s="286" t="s">
        <v>241</v>
      </c>
      <c r="B89" s="287" t="s">
        <v>242</v>
      </c>
      <c r="C89" s="286" t="s">
        <v>379</v>
      </c>
      <c r="D89" s="286" t="s">
        <v>201</v>
      </c>
      <c r="E89" s="290">
        <v>138530</v>
      </c>
    </row>
    <row r="90" spans="1:7" ht="36">
      <c r="A90" s="286" t="s">
        <v>241</v>
      </c>
      <c r="B90" s="287" t="s">
        <v>242</v>
      </c>
      <c r="C90" s="286" t="s">
        <v>379</v>
      </c>
      <c r="D90" s="286" t="s">
        <v>200</v>
      </c>
      <c r="E90" s="290">
        <v>120220</v>
      </c>
    </row>
    <row r="91" spans="1:7" ht="36">
      <c r="A91" s="286" t="s">
        <v>241</v>
      </c>
      <c r="B91" s="287" t="s">
        <v>242</v>
      </c>
      <c r="C91" s="286" t="s">
        <v>379</v>
      </c>
      <c r="D91" s="286" t="s">
        <v>239</v>
      </c>
      <c r="E91" s="290">
        <v>2726380</v>
      </c>
    </row>
    <row r="92" spans="1:7" ht="27">
      <c r="A92" s="286" t="s">
        <v>243</v>
      </c>
      <c r="B92" s="287" t="s">
        <v>244</v>
      </c>
      <c r="C92" s="286" t="s">
        <v>381</v>
      </c>
      <c r="D92" s="286" t="s">
        <v>200</v>
      </c>
      <c r="E92" s="290">
        <v>13571318</v>
      </c>
    </row>
    <row r="93" spans="1:7">
      <c r="E93" s="291">
        <f>SUM(E85:E92)</f>
        <v>33756696</v>
      </c>
    </row>
    <row r="95" spans="1:7" ht="15.75">
      <c r="A95" s="121" t="s">
        <v>202</v>
      </c>
      <c r="E95" s="291">
        <f>SUM(E85:E88)</f>
        <v>17200248</v>
      </c>
    </row>
    <row r="96" spans="1:7" ht="15.75">
      <c r="A96" s="121" t="s">
        <v>203</v>
      </c>
      <c r="E96" s="291">
        <f>SUM(E89:E92)</f>
        <v>16556448</v>
      </c>
    </row>
    <row r="97" spans="1:7" ht="15.75">
      <c r="A97" s="121" t="s">
        <v>76</v>
      </c>
      <c r="E97" s="291">
        <f>E95+E96</f>
        <v>33756696</v>
      </c>
    </row>
    <row r="99" spans="1:7" ht="15.75">
      <c r="A99" s="121" t="s">
        <v>235</v>
      </c>
      <c r="E99" s="291">
        <f>E88</f>
        <v>13571318</v>
      </c>
      <c r="F99">
        <v>893</v>
      </c>
      <c r="G99">
        <v>879</v>
      </c>
    </row>
    <row r="100" spans="1:7" ht="15.75">
      <c r="A100" s="121" t="s">
        <v>236</v>
      </c>
      <c r="E100" s="291">
        <f>E92</f>
        <v>13571318</v>
      </c>
      <c r="F100">
        <v>893</v>
      </c>
      <c r="G100">
        <v>879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22"/>
  <sheetViews>
    <sheetView workbookViewId="0">
      <selection activeCell="D9" sqref="D9"/>
    </sheetView>
  </sheetViews>
  <sheetFormatPr defaultRowHeight="12.75"/>
  <cols>
    <col min="1" max="1" width="17" customWidth="1"/>
    <col min="2" max="2" width="11" customWidth="1"/>
  </cols>
  <sheetData>
    <row r="1" spans="1:7">
      <c r="A1" s="282" t="s">
        <v>367</v>
      </c>
    </row>
    <row r="3" spans="1:7">
      <c r="A3" t="s">
        <v>303</v>
      </c>
    </row>
    <row r="4" spans="1:7">
      <c r="A4" s="139" t="s">
        <v>304</v>
      </c>
    </row>
    <row r="5" spans="1:7">
      <c r="A5" s="142" t="s">
        <v>372</v>
      </c>
      <c r="B5" s="143">
        <v>160650</v>
      </c>
      <c r="C5" s="142" t="s">
        <v>149</v>
      </c>
      <c r="F5" s="282" t="s">
        <v>373</v>
      </c>
      <c r="G5" s="140"/>
    </row>
    <row r="6" spans="1:7" ht="15">
      <c r="A6" s="142" t="s">
        <v>371</v>
      </c>
      <c r="B6" s="143">
        <v>99785</v>
      </c>
      <c r="C6" s="142" t="s">
        <v>149</v>
      </c>
      <c r="F6" s="141"/>
      <c r="G6" s="141"/>
    </row>
    <row r="7" spans="1:7" ht="15">
      <c r="A7" s="142"/>
      <c r="B7" s="143"/>
      <c r="C7" s="142"/>
      <c r="F7" s="141"/>
      <c r="G7" s="141"/>
    </row>
    <row r="8" spans="1:7" ht="15">
      <c r="A8" s="142" t="s">
        <v>258</v>
      </c>
      <c r="B8" s="143">
        <v>875</v>
      </c>
      <c r="C8" s="142"/>
      <c r="D8" t="s">
        <v>384</v>
      </c>
      <c r="F8" s="141"/>
      <c r="G8" s="141"/>
    </row>
    <row r="9" spans="1:7">
      <c r="A9" s="142" t="s">
        <v>259</v>
      </c>
      <c r="B9" s="143">
        <v>200</v>
      </c>
      <c r="F9" s="140"/>
      <c r="G9" s="140"/>
    </row>
    <row r="10" spans="1:7">
      <c r="F10" s="140"/>
      <c r="G10" s="140"/>
    </row>
    <row r="11" spans="1:7">
      <c r="A11" t="s">
        <v>368</v>
      </c>
      <c r="B11" s="282">
        <v>288000</v>
      </c>
      <c r="C11" t="s">
        <v>160</v>
      </c>
      <c r="D11" s="282" t="s">
        <v>369</v>
      </c>
      <c r="F11" s="140"/>
      <c r="G11" s="140"/>
    </row>
    <row r="12" spans="1:7">
      <c r="F12" s="140"/>
      <c r="G12" s="140"/>
    </row>
    <row r="13" spans="1:7">
      <c r="A13" s="139" t="s">
        <v>181</v>
      </c>
    </row>
    <row r="14" spans="1:7">
      <c r="A14" t="s">
        <v>309</v>
      </c>
      <c r="B14" s="282">
        <v>34000</v>
      </c>
      <c r="C14" t="s">
        <v>152</v>
      </c>
    </row>
    <row r="20" spans="1:6">
      <c r="A20" t="s">
        <v>305</v>
      </c>
      <c r="F20" t="s">
        <v>375</v>
      </c>
    </row>
    <row r="21" spans="1:6">
      <c r="A21" t="s">
        <v>306</v>
      </c>
      <c r="B21">
        <v>0.216</v>
      </c>
      <c r="C21" t="s">
        <v>376</v>
      </c>
    </row>
    <row r="22" spans="1:6">
      <c r="A22" t="s">
        <v>307</v>
      </c>
      <c r="B22">
        <v>0.216</v>
      </c>
      <c r="C22" t="s">
        <v>308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60"/>
  <sheetViews>
    <sheetView showGridLines="0" workbookViewId="0">
      <selection activeCell="A2" sqref="A2"/>
    </sheetView>
  </sheetViews>
  <sheetFormatPr defaultColWidth="10.7109375" defaultRowHeight="12"/>
  <cols>
    <col min="1" max="1" width="11.7109375" style="2" customWidth="1"/>
    <col min="2" max="2" width="2.7109375" style="2" customWidth="1"/>
    <col min="3" max="3" width="12.7109375" style="2" customWidth="1"/>
    <col min="4" max="4" width="2.7109375" style="2" customWidth="1"/>
    <col min="5" max="5" width="12.7109375" style="2" customWidth="1"/>
    <col min="6" max="6" width="2.7109375" style="2" customWidth="1"/>
    <col min="7" max="7" width="12.7109375" style="2" customWidth="1"/>
    <col min="8" max="8" width="2.7109375" style="2" customWidth="1"/>
    <col min="9" max="9" width="12.7109375" style="2" customWidth="1"/>
    <col min="10" max="10" width="2.7109375" style="2" customWidth="1"/>
    <col min="11" max="11" width="14.7109375" style="7" customWidth="1"/>
    <col min="12" max="12" width="2.7109375" style="2" customWidth="1"/>
    <col min="13" max="13" width="12.7109375" style="2" customWidth="1"/>
    <col min="14" max="193" width="8.7109375" style="2" customWidth="1"/>
    <col min="194" max="16384" width="10.7109375" style="2"/>
  </cols>
  <sheetData>
    <row r="1" spans="1:14" ht="12.75">
      <c r="A1" s="134" t="s">
        <v>78</v>
      </c>
      <c r="B1" s="67"/>
      <c r="C1" s="67"/>
      <c r="D1" s="67"/>
      <c r="E1" s="67"/>
      <c r="F1" s="67"/>
      <c r="G1" s="67"/>
      <c r="H1" s="67"/>
      <c r="I1" s="67"/>
      <c r="J1" s="134" t="s">
        <v>48</v>
      </c>
      <c r="K1" s="119"/>
      <c r="L1" s="67"/>
      <c r="M1" s="67"/>
      <c r="N1" s="25"/>
    </row>
    <row r="2" spans="1:14" ht="12.75">
      <c r="A2" s="134" t="s">
        <v>49</v>
      </c>
      <c r="B2" s="67"/>
      <c r="C2" s="67"/>
      <c r="D2" s="67"/>
      <c r="E2" s="67"/>
      <c r="F2" s="67"/>
      <c r="G2" s="67"/>
      <c r="H2" s="67"/>
      <c r="I2" s="67"/>
      <c r="J2" s="67"/>
      <c r="K2" s="119"/>
      <c r="L2" s="67"/>
      <c r="M2" s="67"/>
      <c r="N2" s="25"/>
    </row>
    <row r="3" spans="1:14" ht="12.75">
      <c r="A3" s="67"/>
      <c r="B3" s="67"/>
      <c r="C3" s="67"/>
      <c r="D3" s="67"/>
      <c r="E3" s="67"/>
      <c r="F3" s="67"/>
      <c r="G3" s="67"/>
      <c r="H3" s="67"/>
      <c r="I3" s="67"/>
      <c r="J3" s="134" t="s">
        <v>79</v>
      </c>
      <c r="K3" s="119"/>
      <c r="L3" s="67"/>
      <c r="M3" s="67"/>
      <c r="N3" s="25"/>
    </row>
    <row r="4" spans="1:14" ht="12.75">
      <c r="A4" s="134" t="str">
        <f>'F 1'!A4</f>
        <v xml:space="preserve">Company:  Utilities, Inc. of Florida - Labrador </v>
      </c>
      <c r="B4" s="67"/>
      <c r="C4" s="67"/>
      <c r="D4" s="67"/>
      <c r="E4" s="67"/>
      <c r="F4" s="67"/>
      <c r="G4" s="67"/>
      <c r="H4" s="67"/>
      <c r="I4" s="67"/>
      <c r="J4" s="134" t="s">
        <v>51</v>
      </c>
      <c r="K4" s="119"/>
      <c r="L4" s="67"/>
      <c r="M4" s="67"/>
      <c r="N4" s="25"/>
    </row>
    <row r="5" spans="1:14" ht="12.75">
      <c r="A5" s="134" t="str">
        <f>'F 1'!A5</f>
        <v>Docket No.: 20200139-WS</v>
      </c>
      <c r="B5" s="67"/>
      <c r="C5" s="67"/>
      <c r="D5" s="67"/>
      <c r="E5" s="67"/>
      <c r="F5" s="67"/>
      <c r="G5" s="67"/>
      <c r="H5" s="67"/>
      <c r="I5" s="67"/>
      <c r="J5" s="134" t="str">
        <f>'F 1'!J5</f>
        <v>Preparer:  Seidman, F.</v>
      </c>
      <c r="K5" s="119"/>
      <c r="L5" s="67"/>
      <c r="M5" s="67"/>
      <c r="N5" s="25"/>
    </row>
    <row r="6" spans="1:14" ht="12.75">
      <c r="A6" s="134" t="str">
        <f>'F 1'!A6</f>
        <v>Test Year Ended:  December 31, 2019</v>
      </c>
      <c r="B6" s="67"/>
      <c r="C6" s="58"/>
      <c r="D6" s="67"/>
      <c r="E6" s="67"/>
      <c r="F6" s="67"/>
      <c r="G6" s="67"/>
      <c r="H6" s="67"/>
      <c r="I6" s="67"/>
      <c r="J6" s="67"/>
      <c r="K6" s="119"/>
      <c r="L6" s="67"/>
      <c r="M6" s="67"/>
      <c r="N6" s="25"/>
    </row>
    <row r="7" spans="1:14" ht="12.75">
      <c r="A7" s="67"/>
      <c r="B7" s="67"/>
      <c r="C7" s="67"/>
      <c r="D7" s="67"/>
      <c r="E7" s="67"/>
      <c r="F7" s="67"/>
      <c r="G7" s="67"/>
      <c r="H7" s="67"/>
      <c r="I7" s="67"/>
      <c r="J7" s="67"/>
      <c r="K7" s="119"/>
      <c r="L7" s="67"/>
      <c r="M7" s="67"/>
      <c r="N7" s="25"/>
    </row>
    <row r="8" spans="1:14" ht="12.75">
      <c r="A8" s="134" t="s">
        <v>80</v>
      </c>
      <c r="B8" s="67"/>
      <c r="C8" s="67"/>
      <c r="D8" s="67"/>
      <c r="E8" s="67"/>
      <c r="F8" s="67"/>
      <c r="G8" s="67"/>
      <c r="H8" s="67"/>
      <c r="I8" s="67"/>
      <c r="J8" s="67"/>
      <c r="K8" s="119"/>
      <c r="L8" s="67"/>
      <c r="M8" s="67"/>
      <c r="N8" s="25"/>
    </row>
    <row r="9" spans="1:14" ht="12.75">
      <c r="A9" s="134" t="s">
        <v>119</v>
      </c>
      <c r="B9" s="67"/>
      <c r="C9" s="67"/>
      <c r="D9" s="67"/>
      <c r="E9" s="67"/>
      <c r="F9" s="67"/>
      <c r="G9" s="67"/>
      <c r="H9" s="67"/>
      <c r="I9" s="67"/>
      <c r="J9" s="67"/>
      <c r="K9" s="119"/>
      <c r="L9" s="67"/>
      <c r="M9" s="67"/>
      <c r="N9" s="25"/>
    </row>
    <row r="10" spans="1:14" ht="12.75">
      <c r="A10" s="115" t="s">
        <v>56</v>
      </c>
      <c r="B10" s="115" t="s">
        <v>56</v>
      </c>
      <c r="C10" s="115" t="s">
        <v>56</v>
      </c>
      <c r="D10" s="115" t="s">
        <v>56</v>
      </c>
      <c r="E10" s="115" t="s">
        <v>56</v>
      </c>
      <c r="F10" s="115" t="s">
        <v>56</v>
      </c>
      <c r="G10" s="115" t="s">
        <v>56</v>
      </c>
      <c r="H10" s="115" t="s">
        <v>56</v>
      </c>
      <c r="I10" s="115" t="s">
        <v>56</v>
      </c>
      <c r="J10" s="115" t="s">
        <v>56</v>
      </c>
      <c r="K10" s="118" t="s">
        <v>56</v>
      </c>
      <c r="L10" s="115" t="s">
        <v>56</v>
      </c>
      <c r="M10" s="115" t="s">
        <v>56</v>
      </c>
      <c r="N10" s="25"/>
    </row>
    <row r="11" spans="1:14" ht="12.75">
      <c r="A11" s="67"/>
      <c r="B11" s="67"/>
      <c r="C11" s="36" t="s">
        <v>57</v>
      </c>
      <c r="D11" s="67"/>
      <c r="E11" s="36" t="s">
        <v>58</v>
      </c>
      <c r="F11" s="67"/>
      <c r="G11" s="36" t="s">
        <v>59</v>
      </c>
      <c r="H11" s="67"/>
      <c r="I11" s="36" t="s">
        <v>60</v>
      </c>
      <c r="J11" s="67"/>
      <c r="K11" s="315" t="s">
        <v>61</v>
      </c>
      <c r="L11" s="67"/>
      <c r="M11" s="36" t="s">
        <v>62</v>
      </c>
      <c r="N11" s="25"/>
    </row>
    <row r="12" spans="1:14" ht="12.75">
      <c r="A12" s="67"/>
      <c r="B12" s="67"/>
      <c r="C12" s="67"/>
      <c r="D12" s="67"/>
      <c r="E12" s="166" t="s">
        <v>81</v>
      </c>
      <c r="F12" s="166"/>
      <c r="G12" s="166"/>
      <c r="H12" s="67"/>
      <c r="I12" s="67"/>
      <c r="J12" s="67"/>
      <c r="K12" s="119"/>
      <c r="L12" s="67"/>
      <c r="M12" s="36" t="s">
        <v>82</v>
      </c>
      <c r="N12" s="25"/>
    </row>
    <row r="13" spans="1:14" ht="12.75">
      <c r="A13" s="36" t="s">
        <v>65</v>
      </c>
      <c r="B13" s="67"/>
      <c r="C13" s="115" t="s">
        <v>56</v>
      </c>
      <c r="D13" s="115" t="s">
        <v>56</v>
      </c>
      <c r="E13" s="115" t="s">
        <v>56</v>
      </c>
      <c r="F13" s="115" t="s">
        <v>56</v>
      </c>
      <c r="G13" s="115" t="s">
        <v>56</v>
      </c>
      <c r="H13" s="115" t="s">
        <v>56</v>
      </c>
      <c r="I13" s="115" t="s">
        <v>56</v>
      </c>
      <c r="J13" s="67"/>
      <c r="K13" s="315" t="s">
        <v>83</v>
      </c>
      <c r="L13" s="67"/>
      <c r="M13" s="36" t="s">
        <v>84</v>
      </c>
      <c r="N13" s="25"/>
    </row>
    <row r="14" spans="1:14" ht="12.75">
      <c r="A14" s="36" t="s">
        <v>70</v>
      </c>
      <c r="B14" s="67"/>
      <c r="C14" s="36" t="s">
        <v>329</v>
      </c>
      <c r="D14" s="67"/>
      <c r="E14" s="36" t="s">
        <v>85</v>
      </c>
      <c r="F14" s="67"/>
      <c r="G14" s="36" t="s">
        <v>85</v>
      </c>
      <c r="H14" s="67"/>
      <c r="I14" s="36" t="s">
        <v>85</v>
      </c>
      <c r="J14" s="67"/>
      <c r="K14" s="315" t="s">
        <v>86</v>
      </c>
      <c r="L14" s="67"/>
      <c r="M14" s="36" t="s">
        <v>87</v>
      </c>
      <c r="N14" s="25"/>
    </row>
    <row r="15" spans="1:14" ht="12.75">
      <c r="A15" s="115" t="s">
        <v>56</v>
      </c>
      <c r="B15" s="67"/>
      <c r="C15" s="313" t="s">
        <v>330</v>
      </c>
      <c r="D15" s="67"/>
      <c r="E15" s="115" t="s">
        <v>56</v>
      </c>
      <c r="F15" s="67"/>
      <c r="G15" s="115" t="s">
        <v>56</v>
      </c>
      <c r="H15" s="67"/>
      <c r="I15" s="115" t="s">
        <v>56</v>
      </c>
      <c r="J15" s="67"/>
      <c r="K15" s="118" t="s">
        <v>56</v>
      </c>
      <c r="L15" s="67"/>
      <c r="M15" s="115" t="s">
        <v>56</v>
      </c>
      <c r="N15" s="25"/>
    </row>
    <row r="16" spans="1:14" ht="12.75">
      <c r="A16" s="110">
        <v>43466</v>
      </c>
      <c r="B16" s="67"/>
      <c r="C16" s="55">
        <f>'WW2019'!AH7</f>
        <v>2.1425000000000001</v>
      </c>
      <c r="D16" s="55"/>
      <c r="E16" s="55"/>
      <c r="F16" s="55"/>
      <c r="G16" s="55"/>
      <c r="H16" s="55"/>
      <c r="I16" s="55"/>
      <c r="J16" s="55"/>
      <c r="K16" s="55">
        <f t="shared" ref="K16:K27" si="0">C16+E16+G16+I16</f>
        <v>2.1425000000000001</v>
      </c>
      <c r="L16" s="55"/>
      <c r="M16" s="55">
        <v>0</v>
      </c>
      <c r="N16" s="25"/>
    </row>
    <row r="17" spans="1:14" ht="12.75">
      <c r="A17" s="110">
        <v>43497</v>
      </c>
      <c r="B17" s="67"/>
      <c r="C17" s="55">
        <f>'WW2019'!AH8</f>
        <v>2.6485000000000003</v>
      </c>
      <c r="D17" s="55"/>
      <c r="E17" s="55"/>
      <c r="F17" s="55"/>
      <c r="G17" s="55"/>
      <c r="H17" s="55"/>
      <c r="I17" s="55"/>
      <c r="J17" s="55"/>
      <c r="K17" s="55">
        <f t="shared" si="0"/>
        <v>2.6485000000000003</v>
      </c>
      <c r="L17" s="55"/>
      <c r="M17" s="55">
        <v>0</v>
      </c>
      <c r="N17" s="25"/>
    </row>
    <row r="18" spans="1:14" ht="12.75">
      <c r="A18" s="110">
        <v>43525</v>
      </c>
      <c r="B18" s="67"/>
      <c r="C18" s="55">
        <f>'WW2019'!AH9</f>
        <v>2.6858</v>
      </c>
      <c r="D18" s="55"/>
      <c r="E18" s="55"/>
      <c r="F18" s="55"/>
      <c r="G18" s="55"/>
      <c r="H18" s="55"/>
      <c r="I18" s="55"/>
      <c r="J18" s="55"/>
      <c r="K18" s="55">
        <f t="shared" si="0"/>
        <v>2.6858</v>
      </c>
      <c r="L18" s="55"/>
      <c r="M18" s="55">
        <v>0</v>
      </c>
      <c r="N18" s="25"/>
    </row>
    <row r="19" spans="1:14" ht="12.75">
      <c r="A19" s="110">
        <v>43556</v>
      </c>
      <c r="B19" s="67"/>
      <c r="C19" s="55">
        <f>'WW2019'!AH10</f>
        <v>1.8019000000000003</v>
      </c>
      <c r="D19" s="55"/>
      <c r="E19" s="55"/>
      <c r="F19" s="55"/>
      <c r="G19" s="55"/>
      <c r="H19" s="55"/>
      <c r="I19" s="55"/>
      <c r="J19" s="55"/>
      <c r="K19" s="55">
        <f t="shared" si="0"/>
        <v>1.8019000000000003</v>
      </c>
      <c r="L19" s="55"/>
      <c r="M19" s="55">
        <v>0</v>
      </c>
      <c r="N19" s="25"/>
    </row>
    <row r="20" spans="1:14" ht="12.75">
      <c r="A20" s="110">
        <v>43586</v>
      </c>
      <c r="B20" s="67"/>
      <c r="C20" s="55">
        <f>'WW2019'!AH11</f>
        <v>1.1362999999999999</v>
      </c>
      <c r="D20" s="55"/>
      <c r="E20" s="55"/>
      <c r="F20" s="55"/>
      <c r="G20" s="55"/>
      <c r="H20" s="55"/>
      <c r="I20" s="55"/>
      <c r="J20" s="55"/>
      <c r="K20" s="55">
        <f t="shared" si="0"/>
        <v>1.1362999999999999</v>
      </c>
      <c r="L20" s="55"/>
      <c r="M20" s="55">
        <v>0</v>
      </c>
      <c r="N20" s="25"/>
    </row>
    <row r="21" spans="1:14" ht="12.75">
      <c r="A21" s="110">
        <v>43617</v>
      </c>
      <c r="B21" s="67"/>
      <c r="C21" s="55">
        <f>'WW2019'!AH12</f>
        <v>1.2147000000000001</v>
      </c>
      <c r="D21" s="55"/>
      <c r="E21" s="55"/>
      <c r="F21" s="55"/>
      <c r="G21" s="55"/>
      <c r="H21" s="55"/>
      <c r="I21" s="55"/>
      <c r="J21" s="55"/>
      <c r="K21" s="55">
        <f t="shared" si="0"/>
        <v>1.2147000000000001</v>
      </c>
      <c r="L21" s="55"/>
      <c r="M21" s="55">
        <v>0</v>
      </c>
      <c r="N21" s="25"/>
    </row>
    <row r="22" spans="1:14" ht="12.75">
      <c r="A22" s="110">
        <v>43647</v>
      </c>
      <c r="B22" s="67"/>
      <c r="C22" s="55">
        <f>'WW2019'!AH13</f>
        <v>1.6937000000000002</v>
      </c>
      <c r="D22" s="55"/>
      <c r="E22" s="55"/>
      <c r="F22" s="55"/>
      <c r="G22" s="55"/>
      <c r="H22" s="55"/>
      <c r="I22" s="55"/>
      <c r="J22" s="55"/>
      <c r="K22" s="55">
        <f t="shared" si="0"/>
        <v>1.6937000000000002</v>
      </c>
      <c r="L22" s="55"/>
      <c r="M22" s="55">
        <v>0</v>
      </c>
      <c r="N22" s="25"/>
    </row>
    <row r="23" spans="1:14" ht="12.75">
      <c r="A23" s="110">
        <v>43678</v>
      </c>
      <c r="B23" s="67"/>
      <c r="C23" s="55">
        <f>'WW2019'!AH14</f>
        <v>2.5070999999999999</v>
      </c>
      <c r="D23" s="55"/>
      <c r="E23" s="55"/>
      <c r="F23" s="55"/>
      <c r="G23" s="55"/>
      <c r="H23" s="55"/>
      <c r="I23" s="55"/>
      <c r="J23" s="55"/>
      <c r="K23" s="55">
        <f t="shared" si="0"/>
        <v>2.5070999999999999</v>
      </c>
      <c r="L23" s="55"/>
      <c r="M23" s="55">
        <v>0</v>
      </c>
      <c r="N23" s="25"/>
    </row>
    <row r="24" spans="1:14" ht="12.75">
      <c r="A24" s="110">
        <v>43709</v>
      </c>
      <c r="B24" s="67"/>
      <c r="C24" s="55">
        <f>'WW2019'!AH15</f>
        <v>1.5511000000000004</v>
      </c>
      <c r="D24" s="55"/>
      <c r="E24" s="55"/>
      <c r="F24" s="55"/>
      <c r="G24" s="55"/>
      <c r="H24" s="55"/>
      <c r="I24" s="55"/>
      <c r="J24" s="55"/>
      <c r="K24" s="55">
        <f t="shared" si="0"/>
        <v>1.5511000000000004</v>
      </c>
      <c r="L24" s="55"/>
      <c r="M24" s="55">
        <v>0</v>
      </c>
      <c r="N24" s="25"/>
    </row>
    <row r="25" spans="1:14" ht="12.75">
      <c r="A25" s="110">
        <v>43739</v>
      </c>
      <c r="B25" s="67"/>
      <c r="C25" s="55">
        <f>'WW2019'!AH16</f>
        <v>1.8240000000000003</v>
      </c>
      <c r="D25" s="55"/>
      <c r="E25" s="55"/>
      <c r="F25" s="55"/>
      <c r="G25" s="55"/>
      <c r="H25" s="55"/>
      <c r="I25" s="55"/>
      <c r="J25" s="55"/>
      <c r="K25" s="55">
        <f t="shared" si="0"/>
        <v>1.8240000000000003</v>
      </c>
      <c r="L25" s="55"/>
      <c r="M25" s="55">
        <v>0</v>
      </c>
      <c r="N25" s="25"/>
    </row>
    <row r="26" spans="1:14" ht="12.75">
      <c r="A26" s="110">
        <v>43770</v>
      </c>
      <c r="B26" s="67"/>
      <c r="C26" s="55">
        <f>'WW2019'!AH17</f>
        <v>2.0463</v>
      </c>
      <c r="D26" s="55"/>
      <c r="E26" s="55"/>
      <c r="F26" s="55"/>
      <c r="G26" s="55"/>
      <c r="H26" s="55"/>
      <c r="I26" s="55"/>
      <c r="J26" s="55"/>
      <c r="K26" s="55">
        <f t="shared" si="0"/>
        <v>2.0463</v>
      </c>
      <c r="L26" s="55"/>
      <c r="M26" s="55">
        <v>0</v>
      </c>
      <c r="N26" s="25"/>
    </row>
    <row r="27" spans="1:14" ht="12.75">
      <c r="A27" s="110">
        <v>43800</v>
      </c>
      <c r="B27" s="67"/>
      <c r="C27" s="55">
        <f>'WW2019'!AH18</f>
        <v>1.9293000000000002</v>
      </c>
      <c r="D27" s="55"/>
      <c r="E27" s="55"/>
      <c r="F27" s="55"/>
      <c r="G27" s="55"/>
      <c r="H27" s="55"/>
      <c r="I27" s="55"/>
      <c r="J27" s="55"/>
      <c r="K27" s="55">
        <f t="shared" si="0"/>
        <v>1.9293000000000002</v>
      </c>
      <c r="L27" s="55"/>
      <c r="M27" s="55">
        <v>0</v>
      </c>
      <c r="N27" s="25"/>
    </row>
    <row r="28" spans="1:14" ht="12.75">
      <c r="A28" s="110"/>
      <c r="B28" s="67"/>
      <c r="C28" s="55"/>
      <c r="D28" s="55"/>
      <c r="E28" s="55"/>
      <c r="F28" s="55"/>
      <c r="G28" s="55"/>
      <c r="H28" s="55"/>
      <c r="I28" s="55"/>
      <c r="J28" s="55"/>
      <c r="K28" s="275"/>
      <c r="L28" s="55"/>
      <c r="M28" s="55"/>
      <c r="N28" s="25"/>
    </row>
    <row r="29" spans="1:14" ht="12.75">
      <c r="A29" s="67"/>
      <c r="B29" s="67"/>
      <c r="C29" s="116" t="s">
        <v>75</v>
      </c>
      <c r="D29" s="55"/>
      <c r="E29" s="116" t="s">
        <v>75</v>
      </c>
      <c r="F29" s="55"/>
      <c r="G29" s="116" t="s">
        <v>75</v>
      </c>
      <c r="H29" s="55"/>
      <c r="I29" s="116" t="s">
        <v>75</v>
      </c>
      <c r="J29" s="55"/>
      <c r="K29" s="116" t="s">
        <v>75</v>
      </c>
      <c r="L29" s="55"/>
      <c r="M29" s="116" t="s">
        <v>75</v>
      </c>
      <c r="N29" s="25"/>
    </row>
    <row r="30" spans="1:14" ht="12.75">
      <c r="A30" s="36" t="s">
        <v>76</v>
      </c>
      <c r="B30" s="67"/>
      <c r="C30" s="55">
        <f>SUM(C16:C29)</f>
        <v>23.181200000000004</v>
      </c>
      <c r="D30" s="55"/>
      <c r="E30" s="55"/>
      <c r="F30" s="55"/>
      <c r="G30" s="55"/>
      <c r="H30" s="55"/>
      <c r="I30" s="55"/>
      <c r="J30" s="55"/>
      <c r="K30" s="55">
        <f>SUM(K16:K29)</f>
        <v>23.181200000000004</v>
      </c>
      <c r="L30" s="55"/>
      <c r="M30" s="55">
        <f>SUM(M16:M29)</f>
        <v>0</v>
      </c>
      <c r="N30" s="25"/>
    </row>
    <row r="31" spans="1:14" ht="12.75">
      <c r="A31" s="67"/>
      <c r="B31" s="67"/>
      <c r="C31" s="118" t="s">
        <v>77</v>
      </c>
      <c r="D31" s="67"/>
      <c r="E31" s="115" t="s">
        <v>77</v>
      </c>
      <c r="F31" s="67"/>
      <c r="G31" s="115" t="s">
        <v>77</v>
      </c>
      <c r="H31" s="67"/>
      <c r="I31" s="115" t="s">
        <v>77</v>
      </c>
      <c r="J31" s="67"/>
      <c r="K31" s="118" t="s">
        <v>77</v>
      </c>
      <c r="L31" s="67"/>
      <c r="M31" s="115" t="s">
        <v>77</v>
      </c>
      <c r="N31" s="25"/>
    </row>
    <row r="32" spans="1:14" ht="12.75">
      <c r="A32" s="67"/>
      <c r="B32" s="67"/>
      <c r="C32" s="67"/>
      <c r="D32" s="67"/>
      <c r="E32" s="67"/>
      <c r="F32" s="67"/>
      <c r="G32" s="67"/>
      <c r="H32" s="67"/>
      <c r="I32" s="67"/>
      <c r="J32" s="67"/>
      <c r="K32" s="119"/>
      <c r="L32" s="67"/>
      <c r="M32" s="67"/>
      <c r="N32" s="25"/>
    </row>
    <row r="33" spans="1:14" ht="12.75">
      <c r="A33" s="67"/>
      <c r="B33" s="67"/>
      <c r="C33" s="67"/>
      <c r="D33" s="67"/>
      <c r="E33" s="67"/>
      <c r="F33" s="67"/>
      <c r="G33" s="67"/>
      <c r="H33" s="67"/>
      <c r="I33" s="67"/>
      <c r="J33" s="67"/>
      <c r="K33" s="119"/>
      <c r="L33" s="67"/>
      <c r="M33" s="67"/>
      <c r="N33" s="25"/>
    </row>
    <row r="34" spans="1:14" ht="12.75">
      <c r="A34" s="67"/>
      <c r="B34" s="67"/>
      <c r="C34" s="67"/>
      <c r="D34" s="67"/>
      <c r="E34" s="67"/>
      <c r="F34" s="67"/>
      <c r="G34" s="67"/>
      <c r="H34" s="67"/>
      <c r="I34" s="67"/>
      <c r="J34" s="67"/>
      <c r="K34" s="119"/>
      <c r="L34" s="67"/>
      <c r="M34" s="67"/>
      <c r="N34" s="25"/>
    </row>
    <row r="35" spans="1:14" ht="12.75">
      <c r="A35" s="67"/>
      <c r="B35" s="67"/>
      <c r="C35" s="67"/>
      <c r="D35" s="67"/>
      <c r="E35" s="67"/>
      <c r="F35" s="67"/>
      <c r="G35" s="67"/>
      <c r="H35" s="67"/>
      <c r="I35" s="67"/>
      <c r="J35" s="67"/>
      <c r="K35" s="119"/>
      <c r="L35" s="67"/>
      <c r="M35" s="67"/>
      <c r="N35" s="25"/>
    </row>
    <row r="36" spans="1:14" ht="12.75">
      <c r="A36" s="67"/>
      <c r="B36" s="67"/>
      <c r="C36" s="67"/>
      <c r="D36" s="67"/>
      <c r="E36" s="67"/>
      <c r="F36" s="67"/>
      <c r="G36" s="67"/>
      <c r="H36" s="67"/>
      <c r="I36" s="67"/>
      <c r="J36" s="67"/>
      <c r="K36" s="119"/>
      <c r="L36" s="67"/>
      <c r="M36" s="67"/>
      <c r="N36" s="25"/>
    </row>
    <row r="37" spans="1:14" ht="15">
      <c r="A37" s="5"/>
      <c r="B37" s="5"/>
      <c r="C37" s="5"/>
      <c r="D37" s="5"/>
      <c r="E37" s="5"/>
      <c r="F37" s="5"/>
      <c r="G37" s="5"/>
      <c r="H37" s="5"/>
      <c r="I37" s="5"/>
      <c r="J37" s="5"/>
      <c r="K37" s="31"/>
      <c r="L37" s="5"/>
      <c r="M37" s="5"/>
    </row>
    <row r="38" spans="1:14" ht="15">
      <c r="A38" s="5"/>
      <c r="B38" s="5"/>
      <c r="C38" s="5"/>
      <c r="D38" s="5"/>
      <c r="E38" s="5"/>
      <c r="F38" s="5"/>
      <c r="G38" s="5"/>
      <c r="H38" s="5"/>
      <c r="I38" s="5"/>
      <c r="J38" s="5"/>
      <c r="K38" s="31"/>
      <c r="L38" s="5"/>
      <c r="M38" s="5"/>
    </row>
    <row r="48" spans="1:14" ht="24">
      <c r="G48" s="22"/>
    </row>
    <row r="53" spans="1:11" ht="11.1" customHeight="1">
      <c r="A53" s="5"/>
      <c r="K53" s="2"/>
    </row>
    <row r="57" spans="1:11" ht="18.75">
      <c r="G57" s="6"/>
    </row>
    <row r="60" spans="1:11" s="8" customFormat="1" ht="18.75">
      <c r="A60" s="11"/>
      <c r="B60" s="12"/>
      <c r="C60" s="12"/>
      <c r="D60" s="12"/>
      <c r="E60" s="12"/>
      <c r="F60" s="12"/>
      <c r="H60" s="12"/>
      <c r="J60" s="12"/>
      <c r="K60" s="12"/>
    </row>
  </sheetData>
  <phoneticPr fontId="9" type="noConversion"/>
  <pageMargins left="0.75" right="0.5" top="1" bottom="1" header="0.5" footer="0.5"/>
  <pageSetup scale="8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59"/>
  <sheetViews>
    <sheetView showGridLines="0" workbookViewId="0">
      <selection activeCell="V26" sqref="V26"/>
    </sheetView>
  </sheetViews>
  <sheetFormatPr defaultColWidth="10.7109375" defaultRowHeight="12"/>
  <cols>
    <col min="1" max="1" width="3.42578125" style="8" customWidth="1"/>
    <col min="2" max="7" width="8.7109375" style="8" customWidth="1"/>
    <col min="8" max="8" width="22.140625" style="8" customWidth="1"/>
    <col min="9" max="9" width="6.7109375" style="8" customWidth="1"/>
    <col min="10" max="10" width="12.42578125" style="8" customWidth="1"/>
    <col min="11" max="11" width="2.28515625" style="8" customWidth="1"/>
    <col min="12" max="12" width="14.7109375" style="8" customWidth="1"/>
    <col min="13" max="13" width="10.7109375" style="8" customWidth="1"/>
    <col min="14" max="14" width="5.7109375" style="8" customWidth="1"/>
    <col min="15" max="195" width="8.7109375" style="8" customWidth="1"/>
    <col min="196" max="16384" width="10.7109375" style="8"/>
  </cols>
  <sheetData>
    <row r="1" spans="1:14" ht="12.75">
      <c r="A1" s="64" t="s">
        <v>88</v>
      </c>
      <c r="B1" s="133"/>
      <c r="C1" s="133"/>
      <c r="D1" s="133"/>
      <c r="E1" s="133"/>
      <c r="F1" s="133"/>
      <c r="G1" s="133"/>
      <c r="H1" s="64" t="s">
        <v>48</v>
      </c>
      <c r="I1" s="133"/>
      <c r="J1" s="133"/>
      <c r="K1" s="133"/>
      <c r="L1" s="133"/>
    </row>
    <row r="2" spans="1:14" ht="12.75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</row>
    <row r="3" spans="1:14" ht="12.75">
      <c r="A3" s="64" t="str">
        <f>'F 1'!A4</f>
        <v xml:space="preserve">Company:  Utilities, Inc. of Florida - Labrador </v>
      </c>
      <c r="B3" s="133"/>
      <c r="C3" s="133"/>
      <c r="D3" s="133"/>
      <c r="E3" s="133"/>
      <c r="F3" s="133"/>
      <c r="G3" s="133"/>
      <c r="H3" s="64" t="s">
        <v>89</v>
      </c>
      <c r="I3" s="133"/>
      <c r="J3" s="133"/>
      <c r="K3" s="133"/>
      <c r="L3" s="133"/>
    </row>
    <row r="4" spans="1:14" ht="12.75">
      <c r="A4" s="64" t="str">
        <f>'F 1'!A5</f>
        <v>Docket No.: 20200139-WS</v>
      </c>
      <c r="B4" s="133"/>
      <c r="C4" s="133"/>
      <c r="D4" s="133"/>
      <c r="E4" s="133"/>
      <c r="F4" s="133"/>
      <c r="G4" s="133"/>
      <c r="H4" s="64" t="s">
        <v>51</v>
      </c>
      <c r="I4" s="133"/>
      <c r="J4" s="133"/>
      <c r="K4" s="133"/>
      <c r="L4" s="133"/>
    </row>
    <row r="5" spans="1:14" ht="12.75">
      <c r="A5" s="64" t="str">
        <f>'F 1'!A6</f>
        <v>Test Year Ended:  December 31, 2019</v>
      </c>
      <c r="B5" s="133"/>
      <c r="C5" s="133"/>
      <c r="D5" s="133"/>
      <c r="E5" s="133"/>
      <c r="F5" s="133"/>
      <c r="G5" s="133"/>
      <c r="H5" s="64" t="str">
        <f>'F 1'!J5</f>
        <v>Preparer:  Seidman, F.</v>
      </c>
      <c r="I5" s="133"/>
      <c r="J5" s="133"/>
      <c r="K5" s="133"/>
      <c r="L5" s="157"/>
    </row>
    <row r="6" spans="1:14" ht="12.75">
      <c r="A6" s="133"/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</row>
    <row r="7" spans="1:14" ht="12.75">
      <c r="A7" s="64" t="s">
        <v>90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</row>
    <row r="8" spans="1:14" ht="12.75">
      <c r="A8" s="64" t="s">
        <v>91</v>
      </c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58"/>
    </row>
    <row r="9" spans="1:14" ht="12.75">
      <c r="A9" s="64" t="s">
        <v>125</v>
      </c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</row>
    <row r="10" spans="1:14" ht="12.75">
      <c r="A10" s="150" t="s">
        <v>56</v>
      </c>
      <c r="B10" s="150" t="s">
        <v>56</v>
      </c>
      <c r="C10" s="150" t="s">
        <v>56</v>
      </c>
      <c r="D10" s="150" t="s">
        <v>56</v>
      </c>
      <c r="E10" s="150" t="s">
        <v>56</v>
      </c>
      <c r="F10" s="150" t="s">
        <v>56</v>
      </c>
      <c r="G10" s="150" t="s">
        <v>56</v>
      </c>
      <c r="H10" s="150" t="s">
        <v>56</v>
      </c>
      <c r="I10" s="150" t="s">
        <v>56</v>
      </c>
      <c r="J10" s="150" t="s">
        <v>56</v>
      </c>
      <c r="K10" s="150"/>
      <c r="L10" s="150" t="s">
        <v>56</v>
      </c>
      <c r="M10"/>
      <c r="N10"/>
    </row>
    <row r="11" spans="1:14" s="9" customFormat="1" ht="12.75">
      <c r="A11" s="147"/>
      <c r="B11" s="147"/>
      <c r="C11" s="147"/>
      <c r="D11" s="147"/>
      <c r="E11" s="147"/>
      <c r="F11" s="147"/>
      <c r="G11" s="147"/>
      <c r="H11" s="147"/>
      <c r="I11" s="147"/>
      <c r="J11" s="157" t="s">
        <v>92</v>
      </c>
      <c r="K11" s="157"/>
      <c r="L11" s="157" t="s">
        <v>93</v>
      </c>
    </row>
    <row r="12" spans="1:14" s="9" customFormat="1" ht="12.75">
      <c r="A12" s="147">
        <v>1</v>
      </c>
      <c r="B12" s="64" t="s">
        <v>94</v>
      </c>
      <c r="C12" s="148"/>
      <c r="D12" s="147"/>
      <c r="E12" s="147"/>
      <c r="F12" s="147"/>
      <c r="G12" s="147"/>
      <c r="H12" s="147"/>
      <c r="I12" s="147"/>
      <c r="J12" s="133"/>
      <c r="K12" s="133"/>
      <c r="L12" s="133"/>
    </row>
    <row r="13" spans="1:14" s="9" customFormat="1" ht="12.75">
      <c r="A13" s="147"/>
      <c r="B13" s="64" t="s">
        <v>95</v>
      </c>
      <c r="C13" s="149"/>
      <c r="D13" s="149"/>
      <c r="E13" s="149"/>
      <c r="F13" s="149"/>
      <c r="G13" s="149"/>
      <c r="H13" s="147" t="s">
        <v>370</v>
      </c>
      <c r="I13" s="147"/>
      <c r="J13" s="150"/>
      <c r="K13" s="150"/>
      <c r="L13" s="295">
        <v>288000</v>
      </c>
    </row>
    <row r="14" spans="1:14" s="9" customFormat="1" ht="12.75">
      <c r="A14" s="147"/>
      <c r="B14" s="64" t="s">
        <v>120</v>
      </c>
      <c r="C14" s="147"/>
      <c r="D14" s="147"/>
      <c r="E14" s="147"/>
      <c r="F14" s="147"/>
      <c r="G14" s="147"/>
      <c r="H14" s="147" t="s">
        <v>374</v>
      </c>
      <c r="I14" s="147"/>
      <c r="J14" s="147"/>
      <c r="K14" s="147"/>
      <c r="L14" s="296">
        <v>99785</v>
      </c>
    </row>
    <row r="15" spans="1:14" s="9" customFormat="1" ht="12.75">
      <c r="A15" s="147"/>
      <c r="B15" s="147"/>
      <c r="C15" s="147"/>
      <c r="D15" s="147"/>
      <c r="E15" s="147"/>
      <c r="F15" s="147"/>
      <c r="G15" s="147"/>
      <c r="H15" s="147"/>
      <c r="I15" s="147"/>
      <c r="J15" s="147"/>
      <c r="K15" s="147"/>
      <c r="L15" s="147"/>
    </row>
    <row r="16" spans="1:14" s="9" customFormat="1" ht="12.75">
      <c r="A16" s="147">
        <v>2</v>
      </c>
      <c r="B16" s="64" t="s">
        <v>96</v>
      </c>
      <c r="C16" s="148"/>
      <c r="D16" s="147"/>
      <c r="E16" s="147"/>
      <c r="F16" s="147"/>
      <c r="G16" s="147"/>
      <c r="H16" s="147"/>
      <c r="I16" s="147"/>
      <c r="J16" s="147"/>
      <c r="K16" s="147"/>
      <c r="L16" s="147"/>
    </row>
    <row r="17" spans="1:12" s="9" customFormat="1" ht="12.75">
      <c r="A17" s="147"/>
      <c r="B17" s="64" t="s">
        <v>97</v>
      </c>
      <c r="C17" s="147"/>
      <c r="D17" s="147"/>
      <c r="E17" s="147"/>
      <c r="F17" s="147"/>
      <c r="G17" s="147"/>
      <c r="H17" s="147"/>
      <c r="I17" s="147"/>
      <c r="J17" s="151">
        <v>43724</v>
      </c>
      <c r="K17" s="151"/>
      <c r="L17" s="297">
        <f>FLOW2019!Q13*10^6</f>
        <v>135000</v>
      </c>
    </row>
    <row r="18" spans="1:12" s="9" customFormat="1" ht="12.75">
      <c r="A18" s="147"/>
      <c r="B18" s="64" t="s">
        <v>121</v>
      </c>
      <c r="C18" s="147"/>
      <c r="D18" s="147"/>
      <c r="E18" s="147"/>
      <c r="F18" s="147"/>
      <c r="G18" s="147"/>
      <c r="H18" s="147"/>
      <c r="I18" s="147"/>
      <c r="J18" s="64"/>
      <c r="K18" s="64"/>
      <c r="L18" s="147"/>
    </row>
    <row r="19" spans="1:12" s="9" customFormat="1" ht="12.75">
      <c r="A19" s="147"/>
      <c r="B19" s="64" t="s">
        <v>122</v>
      </c>
      <c r="C19" s="147"/>
      <c r="D19" s="147"/>
      <c r="E19" s="147"/>
      <c r="F19" s="147"/>
      <c r="G19" s="147"/>
      <c r="H19" s="147"/>
      <c r="I19" s="147"/>
      <c r="J19" s="147"/>
      <c r="K19" s="147"/>
      <c r="L19" s="147"/>
    </row>
    <row r="20" spans="1:12" s="9" customFormat="1" ht="12.75">
      <c r="A20" s="147"/>
      <c r="B20" s="64"/>
      <c r="C20" s="147"/>
      <c r="D20" s="147"/>
      <c r="E20" s="147"/>
      <c r="F20" s="147"/>
      <c r="G20" s="147"/>
      <c r="H20" s="147"/>
      <c r="I20" s="147"/>
      <c r="J20" s="147"/>
      <c r="K20" s="147"/>
      <c r="L20" s="147"/>
    </row>
    <row r="21" spans="1:12" s="9" customFormat="1" ht="12.75">
      <c r="A21" s="147"/>
      <c r="B21" s="147"/>
      <c r="C21" s="147"/>
      <c r="D21" s="147"/>
      <c r="E21" s="147"/>
      <c r="F21" s="147"/>
      <c r="G21" s="147"/>
      <c r="H21" s="147"/>
      <c r="I21" s="147"/>
      <c r="J21" s="147"/>
      <c r="K21" s="147"/>
      <c r="L21" s="147"/>
    </row>
    <row r="22" spans="1:12" s="9" customFormat="1" ht="12.75">
      <c r="A22" s="147">
        <v>3</v>
      </c>
      <c r="B22" s="64" t="s">
        <v>98</v>
      </c>
      <c r="C22" s="148"/>
      <c r="D22" s="147"/>
      <c r="E22" s="147"/>
      <c r="F22" s="147"/>
      <c r="G22" s="147"/>
      <c r="H22" s="147"/>
      <c r="I22" s="147"/>
      <c r="J22" s="147"/>
      <c r="K22" s="147"/>
      <c r="L22" s="147"/>
    </row>
    <row r="23" spans="1:12" s="9" customFormat="1" ht="12.75">
      <c r="A23" s="147"/>
      <c r="B23" s="64" t="s">
        <v>99</v>
      </c>
      <c r="C23" s="147"/>
      <c r="D23" s="147"/>
      <c r="E23" s="147"/>
      <c r="F23" s="147"/>
      <c r="G23" s="147"/>
      <c r="H23" s="147"/>
      <c r="I23" s="152" t="s">
        <v>57</v>
      </c>
      <c r="J23" s="151">
        <v>43546</v>
      </c>
      <c r="K23" s="151"/>
      <c r="L23" s="297">
        <f>FLOW2019!AB$25*10^6</f>
        <v>111000</v>
      </c>
    </row>
    <row r="24" spans="1:12" s="9" customFormat="1" ht="12.75">
      <c r="A24" s="147"/>
      <c r="B24" s="64" t="s">
        <v>21</v>
      </c>
      <c r="C24" s="147"/>
      <c r="D24" s="147"/>
      <c r="E24" s="147"/>
      <c r="F24" s="147"/>
      <c r="G24" s="147"/>
      <c r="H24" s="147"/>
      <c r="I24" s="152" t="s">
        <v>58</v>
      </c>
      <c r="J24" s="151">
        <v>43525</v>
      </c>
      <c r="K24" s="151"/>
      <c r="L24" s="297">
        <f>FLOW2019!AC$25*10^6</f>
        <v>120000</v>
      </c>
    </row>
    <row r="25" spans="1:12" s="9" customFormat="1" ht="12.75">
      <c r="A25" s="147"/>
      <c r="B25" s="64" t="s">
        <v>123</v>
      </c>
      <c r="C25" s="147"/>
      <c r="D25" s="147"/>
      <c r="E25" s="147"/>
      <c r="F25" s="147"/>
      <c r="G25" s="147"/>
      <c r="H25" s="147"/>
      <c r="I25" s="152" t="s">
        <v>59</v>
      </c>
      <c r="J25" s="151">
        <v>43553</v>
      </c>
      <c r="K25" s="151"/>
      <c r="L25" s="297">
        <f>FLOW2019!AD$25*10^6</f>
        <v>120000</v>
      </c>
    </row>
    <row r="26" spans="1:12" s="9" customFormat="1" ht="12.75">
      <c r="A26" s="147"/>
      <c r="B26" s="64" t="s">
        <v>22</v>
      </c>
      <c r="C26" s="147"/>
      <c r="D26" s="147"/>
      <c r="E26" s="147"/>
      <c r="F26" s="147"/>
      <c r="G26" s="147"/>
      <c r="H26" s="147"/>
      <c r="I26" s="152" t="s">
        <v>60</v>
      </c>
      <c r="J26" s="151">
        <v>43539</v>
      </c>
      <c r="K26" s="151"/>
      <c r="L26" s="297">
        <f>FLOW2019!AE$25*10^6</f>
        <v>122000</v>
      </c>
    </row>
    <row r="27" spans="1:12" s="9" customFormat="1" ht="12.75">
      <c r="A27" s="147"/>
      <c r="B27" s="147"/>
      <c r="C27" s="147"/>
      <c r="D27" s="147"/>
      <c r="E27" s="147"/>
      <c r="F27" s="147"/>
      <c r="G27" s="147"/>
      <c r="H27" s="147"/>
      <c r="I27" s="152" t="s">
        <v>61</v>
      </c>
      <c r="J27" s="151">
        <v>43532</v>
      </c>
      <c r="K27" s="151"/>
      <c r="L27" s="297">
        <f>FLOW2019!AF$25*10^6</f>
        <v>124000</v>
      </c>
    </row>
    <row r="28" spans="1:12" s="9" customFormat="1" ht="12.75">
      <c r="A28" s="147"/>
      <c r="B28" s="153"/>
      <c r="C28" s="64"/>
      <c r="D28" s="147"/>
      <c r="E28" s="147"/>
      <c r="F28" s="147"/>
      <c r="G28" s="147"/>
      <c r="H28" s="147"/>
      <c r="I28" s="152"/>
      <c r="J28" s="154"/>
      <c r="K28" s="154"/>
      <c r="L28" s="155"/>
    </row>
    <row r="29" spans="1:12" s="9" customFormat="1" ht="12.75">
      <c r="A29" s="147"/>
      <c r="B29" s="64"/>
      <c r="C29" s="147"/>
      <c r="D29" s="147"/>
      <c r="E29" s="147"/>
      <c r="F29" s="147"/>
      <c r="G29" s="147"/>
      <c r="H29" s="147"/>
      <c r="I29" s="147"/>
      <c r="J29" s="147" t="s">
        <v>23</v>
      </c>
      <c r="K29" s="147"/>
      <c r="L29" s="297">
        <f>AVERAGE(L23:L27)</f>
        <v>119400</v>
      </c>
    </row>
    <row r="30" spans="1:12" s="9" customFormat="1" ht="12.75">
      <c r="A30" s="147"/>
      <c r="B30" s="153"/>
      <c r="C30" s="147"/>
      <c r="D30" s="147"/>
      <c r="E30" s="147"/>
      <c r="F30" s="147"/>
      <c r="G30" s="147"/>
      <c r="H30" s="147"/>
      <c r="I30" s="147"/>
      <c r="J30" s="147"/>
      <c r="K30" s="147"/>
      <c r="L30" s="150"/>
    </row>
    <row r="31" spans="1:12" s="9" customFormat="1" ht="12.75">
      <c r="A31" s="147"/>
      <c r="B31" s="147"/>
      <c r="C31" s="147"/>
      <c r="D31" s="147"/>
      <c r="E31" s="147"/>
      <c r="F31" s="147"/>
      <c r="G31" s="147"/>
      <c r="H31" s="147"/>
      <c r="I31" s="147"/>
      <c r="J31" s="147"/>
      <c r="K31" s="147"/>
      <c r="L31" s="150"/>
    </row>
    <row r="32" spans="1:12" s="9" customFormat="1" ht="12.75">
      <c r="A32" s="147"/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50"/>
    </row>
    <row r="33" spans="1:12" s="9" customFormat="1" ht="12.75">
      <c r="A33" s="147"/>
      <c r="B33" s="147"/>
      <c r="C33" s="147"/>
      <c r="D33" s="147"/>
      <c r="E33" s="147"/>
      <c r="F33" s="147"/>
      <c r="G33" s="147"/>
      <c r="H33" s="147"/>
      <c r="I33" s="147"/>
      <c r="J33" s="147"/>
      <c r="K33" s="147"/>
      <c r="L33" s="150"/>
    </row>
    <row r="34" spans="1:12" s="9" customFormat="1" ht="12.75">
      <c r="A34" s="147"/>
      <c r="B34" s="147"/>
      <c r="C34" s="156"/>
      <c r="D34" s="156"/>
      <c r="E34" s="156"/>
      <c r="F34" s="147"/>
      <c r="G34" s="147"/>
      <c r="H34" s="147"/>
      <c r="I34" s="147"/>
      <c r="J34" s="157" t="s">
        <v>124</v>
      </c>
      <c r="K34" s="157"/>
      <c r="L34" s="297">
        <f>'F 1'!E21*10^6/31</f>
        <v>91326.354838709682</v>
      </c>
    </row>
    <row r="35" spans="1:12" s="9" customFormat="1" ht="12.75">
      <c r="A35" s="147">
        <v>4</v>
      </c>
      <c r="B35" s="156" t="s">
        <v>24</v>
      </c>
      <c r="C35" s="147"/>
      <c r="D35" s="147"/>
      <c r="E35" s="147"/>
      <c r="F35" s="147"/>
      <c r="G35" s="147"/>
      <c r="H35" s="147"/>
      <c r="I35" s="147"/>
      <c r="J35" s="151" t="s">
        <v>17</v>
      </c>
      <c r="K35" s="151"/>
      <c r="L35" s="297">
        <f>'F 1'!E33*10^6/365</f>
        <v>62060.52328767124</v>
      </c>
    </row>
    <row r="36" spans="1:12" s="9" customFormat="1" ht="12.75">
      <c r="A36" s="147"/>
      <c r="B36" s="147"/>
      <c r="C36" s="147"/>
      <c r="D36" s="147"/>
      <c r="E36" s="147"/>
      <c r="F36" s="147"/>
      <c r="G36" s="147"/>
      <c r="H36" s="147"/>
      <c r="I36" s="147"/>
      <c r="J36" s="147"/>
      <c r="K36" s="147"/>
      <c r="L36" s="147"/>
    </row>
    <row r="37" spans="1:12" s="9" customFormat="1" ht="12.75">
      <c r="A37" s="147">
        <v>5</v>
      </c>
      <c r="B37" s="64" t="s">
        <v>100</v>
      </c>
      <c r="C37" s="147"/>
      <c r="D37" s="147"/>
      <c r="E37" s="64"/>
      <c r="F37" s="64"/>
      <c r="G37" s="147"/>
      <c r="H37" s="147"/>
      <c r="I37" s="147"/>
      <c r="J37" s="153" t="s">
        <v>311</v>
      </c>
      <c r="K37" s="147"/>
      <c r="L37" s="67"/>
    </row>
    <row r="38" spans="1:12" s="9" customFormat="1" ht="12.75">
      <c r="A38" s="147"/>
      <c r="B38" s="64"/>
      <c r="C38" s="147"/>
      <c r="D38" s="147"/>
      <c r="E38" s="64"/>
      <c r="F38" s="147"/>
      <c r="G38" s="147"/>
      <c r="H38" s="147"/>
      <c r="I38" s="147"/>
      <c r="J38" s="147"/>
      <c r="K38" s="147"/>
      <c r="L38" s="67"/>
    </row>
    <row r="39" spans="1:12" s="9" customFormat="1" ht="12.75">
      <c r="A39" s="147"/>
      <c r="B39" s="147"/>
      <c r="C39" s="147"/>
      <c r="D39" s="147"/>
      <c r="E39" s="147"/>
      <c r="F39" s="147"/>
      <c r="G39" s="147"/>
      <c r="H39" s="147"/>
      <c r="I39" s="147"/>
      <c r="J39" s="147"/>
      <c r="K39" s="147"/>
      <c r="L39" s="147"/>
    </row>
    <row r="40" spans="1:12" s="9" customFormat="1" ht="12.75">
      <c r="A40" s="147"/>
      <c r="B40" s="64" t="s">
        <v>25</v>
      </c>
      <c r="C40" s="147"/>
      <c r="D40" s="147"/>
      <c r="E40" s="147"/>
      <c r="F40" s="147"/>
      <c r="G40" s="147"/>
      <c r="H40" s="147"/>
      <c r="I40" s="147"/>
      <c r="J40" s="147"/>
      <c r="K40" s="147"/>
      <c r="L40" s="147"/>
    </row>
    <row r="41" spans="1:12" s="9" customFormat="1" ht="12.75">
      <c r="A41" s="147"/>
      <c r="B41" s="64" t="s">
        <v>26</v>
      </c>
      <c r="C41" s="147"/>
      <c r="D41" s="147"/>
      <c r="E41" s="147"/>
      <c r="F41" s="147"/>
      <c r="G41" s="147"/>
      <c r="H41" s="147"/>
      <c r="I41" s="147"/>
      <c r="J41" s="147"/>
      <c r="K41" s="147"/>
      <c r="L41" s="147"/>
    </row>
    <row r="42" spans="1:12" s="9" customFormat="1" ht="12.75">
      <c r="A42" s="147"/>
      <c r="B42" s="64" t="s">
        <v>27</v>
      </c>
      <c r="C42" s="147"/>
      <c r="D42" s="147"/>
      <c r="E42" s="147"/>
      <c r="F42" s="147"/>
      <c r="G42" s="147"/>
      <c r="H42" s="147"/>
      <c r="I42" s="147"/>
      <c r="J42" s="147"/>
      <c r="K42" s="147"/>
      <c r="L42" s="147"/>
    </row>
    <row r="43" spans="1:12" s="9" customFormat="1" ht="12.75">
      <c r="A43" s="147"/>
      <c r="B43" s="147"/>
      <c r="C43" s="147"/>
      <c r="D43" s="147"/>
      <c r="E43" s="147"/>
      <c r="F43" s="147"/>
      <c r="G43" s="147"/>
      <c r="H43" s="147"/>
      <c r="I43" s="147"/>
      <c r="J43" s="147"/>
      <c r="K43" s="147"/>
      <c r="L43" s="147"/>
    </row>
    <row r="44" spans="1:12" s="9" customFormat="1" ht="12.75">
      <c r="A44" s="62"/>
      <c r="B44" s="60"/>
      <c r="C44" s="62"/>
      <c r="D44" s="62"/>
      <c r="E44" s="62"/>
      <c r="F44" s="62"/>
      <c r="G44" s="62"/>
      <c r="H44" s="62"/>
      <c r="I44" s="62"/>
      <c r="J44" s="62"/>
      <c r="K44" s="62"/>
      <c r="L44" s="62"/>
    </row>
    <row r="45" spans="1:12" s="9" customFormat="1" ht="12.75">
      <c r="A45" s="62"/>
      <c r="B45" s="60"/>
      <c r="C45" s="62"/>
      <c r="D45" s="62"/>
      <c r="E45" s="62"/>
      <c r="F45" s="62"/>
      <c r="G45" s="62"/>
      <c r="H45" s="62"/>
      <c r="I45" s="62"/>
      <c r="J45" s="62"/>
      <c r="K45" s="62"/>
      <c r="L45" s="62"/>
    </row>
    <row r="46" spans="1:12" s="9" customFormat="1" ht="12.75">
      <c r="A46" s="62"/>
      <c r="B46" s="63"/>
      <c r="C46" s="62"/>
      <c r="D46" s="62"/>
      <c r="E46" s="62"/>
      <c r="F46" s="62"/>
      <c r="G46" s="62"/>
      <c r="H46" s="62"/>
      <c r="I46" s="62"/>
      <c r="J46" s="62"/>
      <c r="K46" s="62"/>
      <c r="L46" s="62"/>
    </row>
    <row r="47" spans="1:12" s="9" customFormat="1" ht="15">
      <c r="A47" s="32"/>
      <c r="B47" s="32"/>
      <c r="C47" s="32"/>
      <c r="D47" s="32"/>
      <c r="E47" s="32"/>
      <c r="F47" s="32"/>
      <c r="G47" s="32"/>
      <c r="H47" s="32"/>
      <c r="I47" s="32"/>
      <c r="J47" s="33"/>
      <c r="K47" s="33"/>
      <c r="L47" s="32"/>
    </row>
    <row r="48" spans="1:12" s="9" customFormat="1" ht="12.75">
      <c r="J48" s="10"/>
      <c r="K48" s="10"/>
    </row>
    <row r="49" spans="1:14" s="9" customFormat="1" ht="12.75">
      <c r="J49" s="10"/>
      <c r="K49" s="10"/>
    </row>
    <row r="50" spans="1:14" s="9" customFormat="1" ht="12.75">
      <c r="J50" s="10"/>
      <c r="K50" s="10"/>
    </row>
    <row r="51" spans="1:14" s="9" customFormat="1" ht="12.75">
      <c r="J51" s="10"/>
      <c r="K51" s="10"/>
    </row>
    <row r="52" spans="1:14" s="9" customFormat="1" ht="12.75">
      <c r="J52" s="10"/>
      <c r="K52" s="10"/>
    </row>
    <row r="53" spans="1:14" s="9" customFormat="1" ht="12.75">
      <c r="J53" s="10"/>
      <c r="K53" s="10"/>
    </row>
    <row r="54" spans="1:14" s="9" customFormat="1" ht="12.75">
      <c r="J54" s="10"/>
      <c r="K54" s="10"/>
    </row>
    <row r="55" spans="1:14" s="9" customFormat="1" ht="12.75">
      <c r="J55" s="10"/>
      <c r="K55" s="10"/>
    </row>
    <row r="56" spans="1:14" s="9" customFormat="1" ht="12.75">
      <c r="J56" s="10"/>
      <c r="K56" s="10"/>
    </row>
    <row r="57" spans="1:14" s="9" customFormat="1" ht="12.75">
      <c r="J57" s="10"/>
      <c r="K57" s="10"/>
    </row>
    <row r="58" spans="1:14" ht="18.75">
      <c r="A58" s="11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</row>
    <row r="59" spans="1:14" ht="18.75">
      <c r="A59" s="13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2"/>
      <c r="N59" s="12"/>
    </row>
  </sheetData>
  <dataConsolidate/>
  <phoneticPr fontId="9" type="noConversion"/>
  <pageMargins left="0.75" right="0.5" top="1" bottom="1" header="0.5" footer="0.5"/>
  <pageSetup scale="8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45"/>
  <sheetViews>
    <sheetView showGridLines="0" workbookViewId="0">
      <selection activeCell="A2" sqref="A2"/>
    </sheetView>
  </sheetViews>
  <sheetFormatPr defaultColWidth="10.7109375" defaultRowHeight="12"/>
  <cols>
    <col min="1" max="2" width="3.85546875" style="2" customWidth="1"/>
    <col min="3" max="3" width="52.85546875" style="2" customWidth="1"/>
    <col min="4" max="4" width="10.85546875" style="2"/>
    <col min="5" max="5" width="15.85546875" style="2" customWidth="1"/>
    <col min="6" max="6" width="6.85546875" style="2" customWidth="1"/>
    <col min="7" max="7" width="15.85546875" style="2" customWidth="1"/>
    <col min="8" max="8" width="8.7109375" style="2" customWidth="1"/>
    <col min="9" max="9" width="6.7109375" style="2" customWidth="1"/>
    <col min="10" max="11" width="10.7109375" style="2" customWidth="1"/>
    <col min="12" max="12" width="11.28515625" style="15" customWidth="1"/>
    <col min="13" max="13" width="5.7109375" style="2" customWidth="1"/>
    <col min="14" max="197" width="8.7109375" style="2" customWidth="1"/>
    <col min="198" max="16384" width="10.7109375" style="2"/>
  </cols>
  <sheetData>
    <row r="1" spans="1:13" ht="12.75">
      <c r="A1" s="134" t="s">
        <v>101</v>
      </c>
      <c r="B1" s="67"/>
      <c r="C1" s="67"/>
      <c r="D1" s="67"/>
      <c r="E1" s="67"/>
      <c r="F1" s="67"/>
      <c r="G1" s="67"/>
      <c r="H1" s="67"/>
      <c r="I1" s="67"/>
      <c r="J1" s="134" t="s">
        <v>48</v>
      </c>
      <c r="K1" s="67"/>
      <c r="L1" s="316"/>
    </row>
    <row r="2" spans="1:13" ht="12.75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316"/>
    </row>
    <row r="3" spans="1:13" ht="12.75">
      <c r="A3" s="134" t="str">
        <f>'F 1'!A4</f>
        <v xml:space="preserve">Company:  Utilities, Inc. of Florida - Labrador </v>
      </c>
      <c r="B3" s="67"/>
      <c r="C3" s="67"/>
      <c r="D3" s="67"/>
      <c r="E3" s="67"/>
      <c r="F3" s="67"/>
      <c r="G3" s="67"/>
      <c r="H3" s="67"/>
      <c r="I3" s="67"/>
      <c r="J3" s="134" t="s">
        <v>102</v>
      </c>
      <c r="K3" s="67"/>
      <c r="L3" s="316"/>
    </row>
    <row r="4" spans="1:13" ht="12.75">
      <c r="A4" s="134" t="str">
        <f>'F 1'!A5</f>
        <v>Docket No.: 20200139-WS</v>
      </c>
      <c r="B4" s="67"/>
      <c r="C4" s="67"/>
      <c r="D4" s="67"/>
      <c r="E4" s="67"/>
      <c r="F4" s="67"/>
      <c r="G4" s="67"/>
      <c r="H4" s="67"/>
      <c r="I4" s="67"/>
      <c r="J4" s="134" t="s">
        <v>51</v>
      </c>
      <c r="K4" s="67"/>
      <c r="L4" s="316"/>
    </row>
    <row r="5" spans="1:13" ht="12.75">
      <c r="A5" s="134" t="str">
        <f>'F 1'!A6</f>
        <v>Test Year Ended:  December 31, 2019</v>
      </c>
      <c r="B5" s="67"/>
      <c r="C5" s="58"/>
      <c r="D5" s="67"/>
      <c r="E5" s="67"/>
      <c r="F5" s="67"/>
      <c r="G5" s="67"/>
      <c r="H5" s="67"/>
      <c r="I5" s="67"/>
      <c r="J5" s="134" t="str">
        <f>'F 1'!J5</f>
        <v>Preparer:  Seidman, F.</v>
      </c>
      <c r="K5" s="67"/>
      <c r="L5" s="316"/>
    </row>
    <row r="6" spans="1:13" ht="12.75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316"/>
    </row>
    <row r="7" spans="1:13" ht="12.75">
      <c r="A7" s="134" t="s">
        <v>103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316"/>
    </row>
    <row r="8" spans="1:13" ht="12.75">
      <c r="A8" s="134" t="s">
        <v>126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316"/>
    </row>
    <row r="9" spans="1:13" ht="12.75">
      <c r="A9" s="51" t="s">
        <v>56</v>
      </c>
      <c r="B9" s="51" t="s">
        <v>56</v>
      </c>
      <c r="C9" s="51" t="s">
        <v>56</v>
      </c>
      <c r="D9" s="51" t="s">
        <v>56</v>
      </c>
      <c r="E9" s="51" t="s">
        <v>56</v>
      </c>
      <c r="F9" s="51" t="s">
        <v>56</v>
      </c>
      <c r="G9" s="51" t="s">
        <v>56</v>
      </c>
      <c r="H9" s="51" t="s">
        <v>56</v>
      </c>
      <c r="I9" s="51" t="s">
        <v>56</v>
      </c>
      <c r="J9" s="51" t="s">
        <v>56</v>
      </c>
      <c r="K9" s="51" t="s">
        <v>56</v>
      </c>
      <c r="L9" s="65" t="s">
        <v>56</v>
      </c>
      <c r="M9" s="3" t="s">
        <v>56</v>
      </c>
    </row>
    <row r="10" spans="1:13" ht="15.75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34"/>
    </row>
    <row r="11" spans="1:13" ht="12.75">
      <c r="A11" s="67"/>
      <c r="B11" s="67"/>
      <c r="C11" s="25"/>
      <c r="D11" s="67"/>
      <c r="E11" s="165" t="s">
        <v>104</v>
      </c>
      <c r="F11" s="36"/>
      <c r="G11" s="165" t="s">
        <v>93</v>
      </c>
      <c r="H11" s="25"/>
      <c r="I11" s="25"/>
      <c r="J11" s="25"/>
      <c r="K11" s="25"/>
      <c r="L11" s="26"/>
    </row>
    <row r="12" spans="1:13" ht="12.75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6"/>
    </row>
    <row r="13" spans="1:13" ht="15">
      <c r="A13" s="166" t="s">
        <v>105</v>
      </c>
      <c r="B13" s="67" t="s">
        <v>324</v>
      </c>
      <c r="C13" s="67"/>
      <c r="D13" s="67"/>
      <c r="E13" s="25"/>
      <c r="F13" s="25"/>
      <c r="G13" s="298">
        <v>216000</v>
      </c>
    </row>
    <row r="14" spans="1:13" ht="15">
      <c r="A14" s="166"/>
      <c r="B14" s="319" t="s">
        <v>325</v>
      </c>
      <c r="C14" s="320"/>
      <c r="D14" s="320"/>
      <c r="E14" s="25"/>
      <c r="F14" s="25"/>
      <c r="G14" s="163"/>
    </row>
    <row r="15" spans="1:13" ht="15">
      <c r="A15" s="166"/>
      <c r="B15" s="320"/>
      <c r="C15" s="320"/>
      <c r="D15" s="320"/>
      <c r="E15" s="25"/>
      <c r="F15" s="25"/>
      <c r="G15" s="163"/>
    </row>
    <row r="16" spans="1:13" ht="15">
      <c r="A16" s="166"/>
      <c r="B16" s="320"/>
      <c r="C16" s="320"/>
      <c r="D16" s="320"/>
      <c r="E16" s="25"/>
      <c r="F16" s="25"/>
      <c r="G16" s="163"/>
    </row>
    <row r="17" spans="1:7" ht="15">
      <c r="A17" s="166"/>
      <c r="B17" s="67"/>
      <c r="C17" s="67"/>
      <c r="D17" s="67"/>
      <c r="E17" s="25"/>
      <c r="F17" s="25"/>
      <c r="G17" s="163"/>
    </row>
    <row r="18" spans="1:7" ht="15">
      <c r="A18" s="166" t="s">
        <v>106</v>
      </c>
      <c r="B18" s="67" t="s">
        <v>326</v>
      </c>
      <c r="C18" s="67"/>
      <c r="D18" s="67"/>
      <c r="E18" s="167" t="s">
        <v>386</v>
      </c>
      <c r="F18" s="25"/>
      <c r="G18" s="299">
        <f>'WW2019'!AL9*10^6</f>
        <v>83446.966205837176</v>
      </c>
    </row>
    <row r="19" spans="1:7" ht="15">
      <c r="A19" s="25"/>
      <c r="B19" s="25"/>
      <c r="C19" s="25"/>
      <c r="D19" s="25"/>
      <c r="E19" s="25"/>
      <c r="F19" s="25"/>
      <c r="G19" s="163"/>
    </row>
    <row r="20" spans="1:7" ht="15">
      <c r="A20" s="166">
        <v>3</v>
      </c>
      <c r="B20" s="131" t="s">
        <v>327</v>
      </c>
      <c r="C20" s="67"/>
      <c r="D20" s="67"/>
      <c r="E20" s="168"/>
      <c r="F20" s="25"/>
      <c r="G20" s="300">
        <f>'F 2'!C30*10^6/365</f>
        <v>63510.136986301382</v>
      </c>
    </row>
    <row r="21" spans="1:7" ht="12.75">
      <c r="A21" s="25"/>
      <c r="B21" s="25"/>
      <c r="C21" s="25"/>
      <c r="D21" s="25"/>
      <c r="E21" s="25"/>
      <c r="F21" s="25"/>
      <c r="G21" s="25"/>
    </row>
    <row r="22" spans="1:7" ht="12.75">
      <c r="A22" s="166"/>
      <c r="B22" s="319" t="s">
        <v>328</v>
      </c>
      <c r="C22" s="321"/>
      <c r="D22" s="321"/>
      <c r="E22" s="25"/>
      <c r="F22" s="25"/>
      <c r="G22" s="25"/>
    </row>
    <row r="23" spans="1:7" ht="12.75">
      <c r="A23" s="166"/>
      <c r="B23" s="321"/>
      <c r="C23" s="321"/>
      <c r="D23" s="321"/>
      <c r="E23" s="25"/>
      <c r="F23" s="25"/>
      <c r="G23" s="25"/>
    </row>
    <row r="24" spans="1:7" ht="12.75">
      <c r="A24" s="166"/>
      <c r="B24" s="321"/>
      <c r="C24" s="321"/>
      <c r="D24" s="321"/>
      <c r="E24" s="25"/>
      <c r="F24" s="25"/>
      <c r="G24" s="25"/>
    </row>
    <row r="25" spans="1:7" ht="12.75">
      <c r="A25" s="166"/>
      <c r="B25" s="321"/>
      <c r="C25" s="321"/>
      <c r="D25" s="321"/>
      <c r="E25" s="25"/>
      <c r="F25" s="25"/>
      <c r="G25" s="25"/>
    </row>
    <row r="26" spans="1:7" ht="12.75">
      <c r="A26" s="166"/>
      <c r="B26" s="67"/>
      <c r="C26" s="67"/>
      <c r="D26" s="67"/>
      <c r="E26" s="25"/>
      <c r="F26" s="25"/>
      <c r="G26" s="25"/>
    </row>
    <row r="33" spans="1:13" ht="24">
      <c r="F33" s="22"/>
    </row>
    <row r="37" spans="1:13" ht="18.75">
      <c r="A37" s="16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8"/>
      <c r="M37" s="17"/>
    </row>
    <row r="45" spans="1:13">
      <c r="F45" s="4"/>
    </row>
  </sheetData>
  <mergeCells count="2">
    <mergeCell ref="B14:D16"/>
    <mergeCell ref="B22:D25"/>
  </mergeCells>
  <phoneticPr fontId="9" type="noConversion"/>
  <pageMargins left="0.75" right="0.2" top="1" bottom="1" header="0.5" footer="0.5"/>
  <pageSetup scale="6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94"/>
  <sheetViews>
    <sheetView showGridLines="0" workbookViewId="0">
      <selection activeCell="H5" sqref="H5"/>
    </sheetView>
  </sheetViews>
  <sheetFormatPr defaultColWidth="10.7109375" defaultRowHeight="12"/>
  <cols>
    <col min="1" max="1" width="3.42578125" style="2" customWidth="1"/>
    <col min="2" max="6" width="8.7109375" style="2" customWidth="1"/>
    <col min="7" max="7" width="22.7109375" style="2" customWidth="1"/>
    <col min="8" max="8" width="10.7109375" style="2" customWidth="1"/>
    <col min="9" max="9" width="9.140625" style="2" customWidth="1"/>
    <col min="10" max="10" width="11.7109375" style="2" customWidth="1"/>
    <col min="11" max="194" width="8.7109375" style="2" customWidth="1"/>
    <col min="195" max="16384" width="10.7109375" style="2"/>
  </cols>
  <sheetData>
    <row r="1" spans="1:10" ht="12.75">
      <c r="A1" s="134" t="s">
        <v>107</v>
      </c>
      <c r="B1" s="67"/>
      <c r="C1" s="67"/>
      <c r="D1" s="67"/>
      <c r="E1" s="67"/>
      <c r="F1" s="125"/>
      <c r="G1" s="67"/>
      <c r="H1" s="134" t="s">
        <v>48</v>
      </c>
      <c r="I1" s="67"/>
      <c r="J1" s="125"/>
    </row>
    <row r="2" spans="1:10" ht="12.75">
      <c r="A2" s="134" t="s">
        <v>108</v>
      </c>
      <c r="B2" s="67"/>
      <c r="C2" s="67"/>
      <c r="D2" s="67"/>
      <c r="E2" s="67"/>
      <c r="F2" s="67"/>
      <c r="G2" s="67"/>
      <c r="H2" s="67"/>
      <c r="I2" s="67"/>
      <c r="J2" s="125"/>
    </row>
    <row r="3" spans="1:10" ht="12.75">
      <c r="A3" s="67"/>
      <c r="B3" s="67"/>
      <c r="C3" s="67"/>
      <c r="D3" s="67"/>
      <c r="E3" s="67"/>
      <c r="F3" s="67"/>
      <c r="G3" s="67"/>
      <c r="H3" s="67"/>
      <c r="I3" s="67"/>
      <c r="J3" s="125"/>
    </row>
    <row r="4" spans="1:10" ht="12.75">
      <c r="A4" s="134" t="str">
        <f>'F 1'!A4</f>
        <v xml:space="preserve">Company:  Utilities, Inc. of Florida - Labrador </v>
      </c>
      <c r="B4" s="67"/>
      <c r="C4" s="67"/>
      <c r="D4" s="67"/>
      <c r="E4" s="67"/>
      <c r="F4" s="67"/>
      <c r="G4" s="67"/>
      <c r="H4" s="134" t="s">
        <v>109</v>
      </c>
      <c r="I4" s="67"/>
      <c r="J4" s="125"/>
    </row>
    <row r="5" spans="1:10" ht="12.75">
      <c r="A5" s="134" t="str">
        <f>'F 1'!A5</f>
        <v>Docket No.: 20200139-WS</v>
      </c>
      <c r="B5" s="67"/>
      <c r="C5" s="67"/>
      <c r="D5" s="67"/>
      <c r="E5" s="67"/>
      <c r="F5" s="67"/>
      <c r="G5" s="67"/>
      <c r="H5" s="134" t="s">
        <v>51</v>
      </c>
      <c r="I5" s="67"/>
      <c r="J5" s="125"/>
    </row>
    <row r="6" spans="1:10" ht="12.75">
      <c r="A6" s="134" t="str">
        <f>'F 1'!A6</f>
        <v>Test Year Ended:  December 31, 2019</v>
      </c>
      <c r="B6" s="67"/>
      <c r="C6" s="67"/>
      <c r="D6" s="67"/>
      <c r="E6" s="67"/>
      <c r="F6" s="67"/>
      <c r="G6" s="67"/>
      <c r="H6" s="134" t="str">
        <f>'F 1'!J5</f>
        <v>Preparer:  Seidman, F.</v>
      </c>
      <c r="I6" s="67"/>
      <c r="J6" s="125"/>
    </row>
    <row r="7" spans="1:10" ht="12.75">
      <c r="A7" s="67"/>
      <c r="B7" s="67"/>
      <c r="C7" s="67"/>
      <c r="D7" s="67"/>
      <c r="E7" s="67"/>
      <c r="F7" s="67"/>
      <c r="G7" s="67"/>
      <c r="H7" s="67"/>
      <c r="I7" s="67"/>
      <c r="J7" s="125"/>
    </row>
    <row r="8" spans="1:10" ht="12.75">
      <c r="A8" s="134" t="s">
        <v>110</v>
      </c>
      <c r="B8" s="67"/>
      <c r="C8" s="67"/>
      <c r="D8" s="67"/>
      <c r="E8" s="67"/>
      <c r="F8" s="67"/>
      <c r="G8" s="67"/>
      <c r="H8" s="67"/>
      <c r="I8" s="67"/>
      <c r="J8" s="125"/>
    </row>
    <row r="9" spans="1:10" ht="12.75">
      <c r="A9" s="134" t="s">
        <v>111</v>
      </c>
      <c r="B9" s="67"/>
      <c r="C9" s="67"/>
      <c r="D9" s="67"/>
      <c r="E9" s="67"/>
      <c r="F9" s="67"/>
      <c r="G9" s="67"/>
      <c r="H9" s="67"/>
      <c r="I9" s="67"/>
      <c r="J9" s="125"/>
    </row>
    <row r="10" spans="1:10" ht="12.75">
      <c r="A10" s="134" t="s">
        <v>112</v>
      </c>
      <c r="B10" s="67"/>
      <c r="C10" s="67"/>
      <c r="D10" s="67"/>
      <c r="E10" s="67"/>
      <c r="F10" s="67"/>
      <c r="G10" s="67"/>
      <c r="H10" s="67"/>
      <c r="I10" s="67"/>
      <c r="J10" s="125"/>
    </row>
    <row r="11" spans="1:10" customFormat="1" ht="12.75">
      <c r="A11" s="159"/>
      <c r="B11" s="159"/>
      <c r="C11" s="159"/>
      <c r="D11" s="159"/>
      <c r="E11" s="159"/>
      <c r="F11" s="159"/>
      <c r="G11" s="159"/>
      <c r="H11" s="159"/>
      <c r="I11" s="159"/>
      <c r="J11" s="160"/>
    </row>
    <row r="12" spans="1:10" ht="12.75">
      <c r="A12" s="67"/>
      <c r="B12" s="67"/>
      <c r="C12" s="67"/>
      <c r="D12" s="67"/>
      <c r="E12" s="67"/>
      <c r="F12" s="67"/>
      <c r="G12" s="67"/>
      <c r="H12" s="67"/>
      <c r="I12" s="67"/>
      <c r="J12" s="125"/>
    </row>
    <row r="13" spans="1:10" ht="12.75">
      <c r="A13" s="134" t="s">
        <v>28</v>
      </c>
      <c r="B13" s="67"/>
      <c r="C13" s="67"/>
      <c r="D13" s="67"/>
      <c r="E13" s="67"/>
      <c r="F13" s="67"/>
      <c r="G13" s="67"/>
      <c r="H13" s="67"/>
      <c r="I13" s="67"/>
      <c r="J13" s="125"/>
    </row>
    <row r="14" spans="1:10" s="19" customFormat="1" ht="12.75">
      <c r="A14" s="24"/>
      <c r="B14" s="67"/>
      <c r="C14" s="25"/>
      <c r="D14" s="25"/>
      <c r="E14" s="25"/>
      <c r="F14" s="25"/>
      <c r="G14" s="25"/>
      <c r="H14" s="25"/>
      <c r="I14" s="25"/>
      <c r="J14" s="27"/>
    </row>
    <row r="15" spans="1:10" s="19" customFormat="1" ht="12.75">
      <c r="A15" s="24"/>
      <c r="B15" s="25"/>
      <c r="C15" s="25"/>
      <c r="D15" s="25"/>
      <c r="E15" s="25"/>
      <c r="F15" s="25"/>
      <c r="G15" s="25"/>
      <c r="H15" s="25"/>
      <c r="I15" s="25"/>
      <c r="J15" s="27"/>
    </row>
    <row r="16" spans="1:10" s="19" customFormat="1" ht="12.75">
      <c r="A16" s="24"/>
      <c r="B16" s="67" t="s">
        <v>147</v>
      </c>
      <c r="C16" s="67"/>
      <c r="D16" s="67"/>
      <c r="E16" s="67"/>
      <c r="F16" s="67"/>
      <c r="G16" s="67"/>
      <c r="H16" s="67"/>
      <c r="I16" s="67"/>
      <c r="J16" s="27"/>
    </row>
    <row r="17" spans="1:10" s="19" customFormat="1" ht="12.75">
      <c r="A17" s="24"/>
      <c r="B17" s="67"/>
      <c r="C17" s="67"/>
      <c r="D17" s="67"/>
      <c r="E17" s="69"/>
      <c r="F17" s="67"/>
      <c r="G17" s="67"/>
      <c r="H17" s="67"/>
      <c r="I17" s="67"/>
      <c r="J17" s="27"/>
    </row>
    <row r="18" spans="1:10" s="19" customFormat="1" ht="12.75">
      <c r="A18" s="24"/>
      <c r="B18" s="67" t="s">
        <v>148</v>
      </c>
      <c r="C18" s="67"/>
      <c r="D18" s="67"/>
      <c r="E18" s="69"/>
      <c r="F18" s="67"/>
      <c r="G18" s="67"/>
      <c r="H18" s="112">
        <f>875+200</f>
        <v>1075</v>
      </c>
      <c r="I18" s="67" t="s">
        <v>149</v>
      </c>
      <c r="J18" s="27"/>
    </row>
    <row r="19" spans="1:10" s="19" customFormat="1" ht="12.75">
      <c r="A19" s="24"/>
      <c r="B19" s="67" t="s">
        <v>150</v>
      </c>
      <c r="C19" s="67"/>
      <c r="D19" s="67"/>
      <c r="E19" s="69"/>
      <c r="F19" s="67"/>
      <c r="G19" s="67"/>
      <c r="H19" s="112">
        <v>200</v>
      </c>
      <c r="I19" s="69" t="s">
        <v>149</v>
      </c>
      <c r="J19" s="27"/>
    </row>
    <row r="20" spans="1:10" s="19" customFormat="1" ht="12.75">
      <c r="A20" s="24"/>
      <c r="B20" s="67"/>
      <c r="C20" s="67"/>
      <c r="D20" s="67"/>
      <c r="E20" s="67"/>
      <c r="F20" s="67"/>
      <c r="G20" s="67"/>
      <c r="H20" s="112"/>
      <c r="I20" s="67"/>
      <c r="J20" s="27"/>
    </row>
    <row r="21" spans="1:10" s="19" customFormat="1" ht="12.75">
      <c r="A21" s="24"/>
      <c r="B21" s="67" t="s">
        <v>151</v>
      </c>
      <c r="C21" s="67"/>
      <c r="D21" s="67"/>
      <c r="E21" s="67"/>
      <c r="F21" s="67"/>
      <c r="G21" s="67"/>
      <c r="H21" s="112">
        <v>34000</v>
      </c>
      <c r="I21" s="112" t="s">
        <v>152</v>
      </c>
      <c r="J21" s="27"/>
    </row>
    <row r="22" spans="1:10" s="19" customFormat="1" ht="12.75">
      <c r="A22" s="24"/>
      <c r="B22" s="67" t="s">
        <v>153</v>
      </c>
      <c r="C22" s="67"/>
      <c r="D22" s="67"/>
      <c r="E22" s="67"/>
      <c r="F22" s="67"/>
      <c r="G22" s="67"/>
      <c r="H22" s="112">
        <f>0.9*H21</f>
        <v>30600</v>
      </c>
      <c r="I22" s="112" t="s">
        <v>152</v>
      </c>
      <c r="J22" s="27"/>
    </row>
    <row r="23" spans="1:10" s="19" customFormat="1" ht="12.75">
      <c r="A23" s="24"/>
      <c r="B23" s="67" t="s">
        <v>154</v>
      </c>
      <c r="C23" s="67"/>
      <c r="D23" s="67"/>
      <c r="E23" s="67"/>
      <c r="F23" s="67"/>
      <c r="G23" s="67"/>
      <c r="H23" s="112">
        <v>0</v>
      </c>
      <c r="I23" s="112" t="s">
        <v>152</v>
      </c>
      <c r="J23" s="27"/>
    </row>
    <row r="24" spans="1:10" s="19" customFormat="1" ht="12.75">
      <c r="A24" s="24"/>
      <c r="B24" s="67" t="s">
        <v>155</v>
      </c>
      <c r="C24" s="67"/>
      <c r="D24" s="67"/>
      <c r="E24" s="67"/>
      <c r="F24" s="67"/>
      <c r="G24" s="67"/>
      <c r="H24" s="112">
        <f>H23*1</f>
        <v>0</v>
      </c>
      <c r="I24" s="112" t="s">
        <v>152</v>
      </c>
      <c r="J24" s="27"/>
    </row>
    <row r="25" spans="1:10" s="19" customFormat="1" ht="12.75">
      <c r="A25" s="24"/>
      <c r="B25" s="67" t="s">
        <v>156</v>
      </c>
      <c r="C25" s="67"/>
      <c r="D25" s="67"/>
      <c r="E25" s="67"/>
      <c r="F25" s="67"/>
      <c r="G25" s="67"/>
      <c r="H25" s="112">
        <v>0</v>
      </c>
      <c r="I25" s="112" t="s">
        <v>152</v>
      </c>
      <c r="J25" s="27"/>
    </row>
    <row r="26" spans="1:10" s="19" customFormat="1" ht="12.75">
      <c r="A26" s="24"/>
      <c r="B26" s="67" t="s">
        <v>157</v>
      </c>
      <c r="C26" s="67"/>
      <c r="D26" s="67"/>
      <c r="E26" s="67"/>
      <c r="F26" s="67"/>
      <c r="G26" s="67"/>
      <c r="H26" s="112">
        <f>+H25*0</f>
        <v>0</v>
      </c>
      <c r="I26" s="112" t="s">
        <v>152</v>
      </c>
      <c r="J26" s="27"/>
    </row>
    <row r="27" spans="1:10" s="19" customFormat="1" ht="12.75">
      <c r="A27" s="24"/>
      <c r="B27" s="67" t="s">
        <v>158</v>
      </c>
      <c r="C27" s="67"/>
      <c r="D27" s="67"/>
      <c r="E27" s="67"/>
      <c r="F27" s="67"/>
      <c r="G27" s="67"/>
      <c r="H27" s="112">
        <f>+H22+H24</f>
        <v>30600</v>
      </c>
      <c r="I27" s="112" t="s">
        <v>152</v>
      </c>
      <c r="J27" s="27"/>
    </row>
    <row r="28" spans="1:10" s="19" customFormat="1" ht="12.75">
      <c r="A28" s="24"/>
      <c r="B28" s="25"/>
      <c r="C28" s="25"/>
      <c r="D28" s="25"/>
      <c r="E28" s="25"/>
      <c r="F28" s="25"/>
      <c r="G28" s="25"/>
      <c r="H28" s="54"/>
      <c r="I28" s="25"/>
      <c r="J28" s="27"/>
    </row>
    <row r="29" spans="1:10" s="19" customFormat="1" ht="12.75">
      <c r="A29" s="24"/>
      <c r="B29" s="25"/>
      <c r="C29" s="25"/>
      <c r="D29" s="25"/>
      <c r="E29" s="25"/>
      <c r="F29" s="25"/>
      <c r="G29" s="25"/>
      <c r="H29" s="54"/>
      <c r="I29" s="25"/>
      <c r="J29" s="27"/>
    </row>
    <row r="30" spans="1:10" s="19" customFormat="1" ht="12.75">
      <c r="A30" s="134"/>
      <c r="B30" s="67" t="s">
        <v>159</v>
      </c>
      <c r="C30" s="67"/>
      <c r="D30" s="67"/>
      <c r="E30" s="67"/>
      <c r="F30" s="67"/>
      <c r="G30" s="67"/>
      <c r="H30" s="112">
        <f>'F 3'!L17</f>
        <v>135000</v>
      </c>
      <c r="I30" s="67" t="s">
        <v>160</v>
      </c>
      <c r="J30" s="27"/>
    </row>
    <row r="31" spans="1:10" s="19" customFormat="1" ht="12.75">
      <c r="A31" s="134"/>
      <c r="B31" s="67" t="s">
        <v>161</v>
      </c>
      <c r="C31" s="67"/>
      <c r="D31" s="67"/>
      <c r="E31" s="67"/>
      <c r="F31" s="67"/>
      <c r="G31" s="67"/>
      <c r="H31" s="112">
        <f>2*H30/1440</f>
        <v>187.5</v>
      </c>
      <c r="I31" s="67" t="s">
        <v>149</v>
      </c>
      <c r="J31" s="27"/>
    </row>
    <row r="32" spans="1:10" s="19" customFormat="1" ht="12.75">
      <c r="A32" s="24"/>
      <c r="B32" s="25"/>
      <c r="C32" s="25"/>
      <c r="D32" s="25"/>
      <c r="E32" s="25"/>
      <c r="F32" s="25"/>
      <c r="G32" s="25"/>
      <c r="H32" s="54"/>
      <c r="I32" s="25"/>
      <c r="J32" s="27"/>
    </row>
    <row r="33" spans="1:10" s="19" customFormat="1" ht="12.75">
      <c r="A33" s="24"/>
      <c r="B33" s="25"/>
      <c r="C33" s="25"/>
      <c r="D33" s="25"/>
      <c r="E33" s="25"/>
      <c r="F33" s="25"/>
      <c r="G33" s="25"/>
      <c r="H33" s="54"/>
      <c r="I33" s="25"/>
      <c r="J33" s="27"/>
    </row>
    <row r="34" spans="1:10" s="19" customFormat="1" ht="12.75">
      <c r="A34" s="24"/>
      <c r="B34" s="67" t="s">
        <v>162</v>
      </c>
      <c r="C34" s="67"/>
      <c r="D34" s="67"/>
      <c r="E34" s="67" t="s">
        <v>310</v>
      </c>
      <c r="F34" s="67"/>
      <c r="G34" s="67"/>
      <c r="H34" s="112">
        <f>500*60*2</f>
        <v>60000</v>
      </c>
      <c r="I34" s="67" t="s">
        <v>160</v>
      </c>
      <c r="J34" s="27"/>
    </row>
    <row r="35" spans="1:10" s="19" customFormat="1" ht="12.75">
      <c r="A35" s="24"/>
      <c r="B35" s="67"/>
      <c r="C35" s="67"/>
      <c r="D35" s="67"/>
      <c r="E35" s="67"/>
      <c r="F35" s="67"/>
      <c r="G35" s="67"/>
      <c r="H35" s="112"/>
      <c r="I35" s="67"/>
      <c r="J35" s="27"/>
    </row>
    <row r="36" spans="1:10" s="19" customFormat="1" ht="12.75">
      <c r="A36" s="24"/>
      <c r="B36" s="67" t="s">
        <v>163</v>
      </c>
      <c r="C36" s="67"/>
      <c r="D36" s="67"/>
      <c r="E36" s="69">
        <f>'F 1'!O33</f>
        <v>3.8193074537799035E-2</v>
      </c>
      <c r="F36" s="67" t="s">
        <v>164</v>
      </c>
      <c r="G36" s="67"/>
      <c r="H36" s="112">
        <f>'F 1'!M33/365*10^6</f>
        <v>2370.282191780841</v>
      </c>
      <c r="I36" s="67" t="s">
        <v>165</v>
      </c>
      <c r="J36" s="27"/>
    </row>
    <row r="37" spans="1:10" s="19" customFormat="1" ht="12.75">
      <c r="A37" s="24"/>
      <c r="B37" s="67" t="s">
        <v>166</v>
      </c>
      <c r="C37" s="67"/>
      <c r="D37" s="67"/>
      <c r="E37" s="69">
        <v>0.1</v>
      </c>
      <c r="F37" s="67"/>
      <c r="G37" s="67"/>
      <c r="H37" s="112">
        <f>'F 1'!E33/366*10^6*0.1</f>
        <v>6189.0959016393454</v>
      </c>
      <c r="I37" s="67" t="s">
        <v>165</v>
      </c>
      <c r="J37" s="27"/>
    </row>
    <row r="38" spans="1:10" s="19" customFormat="1" ht="12.75">
      <c r="A38" s="24"/>
      <c r="B38" s="67" t="s">
        <v>167</v>
      </c>
      <c r="C38" s="67"/>
      <c r="D38" s="67"/>
      <c r="E38" s="67"/>
      <c r="F38" s="67"/>
      <c r="G38" s="67"/>
      <c r="H38" s="112">
        <f>IF(H36-H37&lt;0.0001,0,H36-H37)</f>
        <v>0</v>
      </c>
      <c r="I38" s="67" t="s">
        <v>165</v>
      </c>
      <c r="J38" s="27"/>
    </row>
    <row r="39" spans="1:10" s="19" customFormat="1" ht="12.75">
      <c r="A39" s="24"/>
      <c r="B39" s="25"/>
      <c r="C39" s="25"/>
      <c r="D39" s="25"/>
      <c r="E39" s="25"/>
      <c r="F39" s="25"/>
      <c r="G39" s="25"/>
      <c r="H39" s="25"/>
      <c r="I39" s="25"/>
      <c r="J39" s="27"/>
    </row>
    <row r="40" spans="1:10" s="19" customFormat="1" ht="12.75">
      <c r="A40" s="24"/>
      <c r="B40" s="130" t="s">
        <v>168</v>
      </c>
      <c r="C40" s="68"/>
      <c r="D40" s="68"/>
      <c r="E40" s="25"/>
      <c r="F40" s="25"/>
      <c r="G40" s="25"/>
      <c r="H40" s="25"/>
      <c r="I40" s="25"/>
      <c r="J40" s="27"/>
    </row>
    <row r="41" spans="1:10" s="19" customFormat="1" ht="12.75">
      <c r="A41" s="24"/>
      <c r="B41" s="25"/>
      <c r="C41" s="25"/>
      <c r="D41" s="25"/>
      <c r="E41" s="25"/>
      <c r="F41" s="25"/>
      <c r="G41" s="25"/>
      <c r="H41" s="25"/>
      <c r="I41" s="25"/>
      <c r="J41" s="27"/>
    </row>
    <row r="42" spans="1:10" s="19" customFormat="1" ht="12.75">
      <c r="A42" s="24"/>
      <c r="B42" s="130" t="s">
        <v>183</v>
      </c>
      <c r="C42" s="130"/>
      <c r="D42" s="130"/>
      <c r="E42" s="67"/>
      <c r="F42" s="67"/>
      <c r="G42" s="67"/>
      <c r="H42" s="67"/>
      <c r="I42" s="67"/>
      <c r="J42" s="27"/>
    </row>
    <row r="43" spans="1:10" s="19" customFormat="1" ht="12.75">
      <c r="A43" s="24"/>
      <c r="B43" s="67" t="s">
        <v>169</v>
      </c>
      <c r="C43" s="67"/>
      <c r="D43" s="67"/>
      <c r="E43" s="67"/>
      <c r="F43" s="67"/>
      <c r="G43" s="67"/>
      <c r="H43" s="69">
        <f>IF((H46+H47+H48-H49)/H50&gt;1,1,(H46+H47+H48-H49)/H50)</f>
        <v>1</v>
      </c>
      <c r="I43" s="67"/>
      <c r="J43" s="27"/>
    </row>
    <row r="44" spans="1:10" s="19" customFormat="1" ht="12.75">
      <c r="A44" s="24"/>
      <c r="B44" s="67" t="s">
        <v>312</v>
      </c>
      <c r="C44" s="67"/>
      <c r="D44" s="67"/>
      <c r="E44" s="67"/>
      <c r="F44" s="67"/>
      <c r="G44" s="67"/>
      <c r="H44" s="69"/>
      <c r="I44" s="67"/>
      <c r="J44" s="27"/>
    </row>
    <row r="45" spans="1:10" ht="18" customHeight="1">
      <c r="A45" s="24"/>
      <c r="B45" s="67"/>
      <c r="C45" s="67"/>
      <c r="D45" s="67"/>
      <c r="E45" s="67"/>
      <c r="F45" s="67"/>
      <c r="G45" s="67"/>
      <c r="H45" s="69"/>
      <c r="I45" s="67"/>
    </row>
    <row r="46" spans="1:10" s="19" customFormat="1" ht="12.75">
      <c r="A46" s="24"/>
      <c r="B46" s="67" t="s">
        <v>170</v>
      </c>
      <c r="C46" s="67" t="s">
        <v>171</v>
      </c>
      <c r="D46" s="67"/>
      <c r="E46" s="67"/>
      <c r="F46" s="67"/>
      <c r="G46" s="67"/>
      <c r="H46" s="112">
        <f>H30</f>
        <v>135000</v>
      </c>
      <c r="I46" s="67" t="s">
        <v>160</v>
      </c>
      <c r="J46" s="27"/>
    </row>
    <row r="47" spans="1:10" s="19" customFormat="1" ht="12.75">
      <c r="A47" s="24"/>
      <c r="B47" s="67" t="s">
        <v>172</v>
      </c>
      <c r="C47" s="67" t="s">
        <v>173</v>
      </c>
      <c r="D47" s="67"/>
      <c r="E47" s="67"/>
      <c r="F47" s="67"/>
      <c r="G47" s="67"/>
      <c r="H47" s="67">
        <v>0</v>
      </c>
      <c r="I47" s="67" t="s">
        <v>160</v>
      </c>
      <c r="J47" s="27"/>
    </row>
    <row r="48" spans="1:10" s="19" customFormat="1" ht="12.75">
      <c r="A48" s="24"/>
      <c r="B48" s="67" t="s">
        <v>174</v>
      </c>
      <c r="C48" s="67" t="s">
        <v>175</v>
      </c>
      <c r="D48" s="67"/>
      <c r="E48" s="67"/>
      <c r="F48" s="67"/>
      <c r="G48" s="67"/>
      <c r="H48" s="112">
        <f>H34</f>
        <v>60000</v>
      </c>
      <c r="I48" s="67" t="s">
        <v>160</v>
      </c>
      <c r="J48" s="27"/>
    </row>
    <row r="49" spans="1:10" s="19" customFormat="1" ht="12.75">
      <c r="A49" s="24"/>
      <c r="B49" s="67" t="s">
        <v>176</v>
      </c>
      <c r="C49" s="67" t="s">
        <v>177</v>
      </c>
      <c r="D49" s="67"/>
      <c r="E49" s="67"/>
      <c r="F49" s="67"/>
      <c r="G49" s="67"/>
      <c r="H49" s="112">
        <f>H38</f>
        <v>0</v>
      </c>
      <c r="I49" s="67" t="s">
        <v>160</v>
      </c>
      <c r="J49" s="27"/>
    </row>
    <row r="50" spans="1:10" s="19" customFormat="1" ht="12.75">
      <c r="A50" s="24"/>
      <c r="B50" s="67" t="s">
        <v>178</v>
      </c>
      <c r="C50" s="67" t="s">
        <v>184</v>
      </c>
      <c r="D50" s="67"/>
      <c r="E50" s="67"/>
      <c r="F50" s="67"/>
      <c r="G50" s="67"/>
      <c r="H50" s="112">
        <f>+H19*60*16</f>
        <v>192000</v>
      </c>
      <c r="I50" s="67" t="s">
        <v>160</v>
      </c>
      <c r="J50" s="27"/>
    </row>
    <row r="51" spans="1:10" s="19" customFormat="1" ht="12.75">
      <c r="A51" s="24"/>
      <c r="B51" s="67"/>
      <c r="C51" s="67"/>
      <c r="D51" s="67"/>
      <c r="E51" s="67"/>
      <c r="F51" s="67"/>
      <c r="G51" s="67"/>
      <c r="H51" s="112"/>
      <c r="I51" s="67"/>
      <c r="J51" s="27"/>
    </row>
    <row r="52" spans="1:10" s="19" customFormat="1" ht="12.75">
      <c r="A52" s="24"/>
      <c r="B52" s="67"/>
      <c r="C52" s="67"/>
      <c r="D52" s="67"/>
      <c r="E52" s="67"/>
      <c r="F52" s="67"/>
      <c r="G52" s="67"/>
      <c r="H52" s="67"/>
      <c r="I52" s="67"/>
      <c r="J52" s="27"/>
    </row>
    <row r="53" spans="1:10" s="19" customFormat="1" ht="12.75">
      <c r="A53" s="24"/>
      <c r="B53" s="67" t="s">
        <v>185</v>
      </c>
      <c r="C53" s="67"/>
      <c r="D53" s="67"/>
      <c r="E53" s="67"/>
      <c r="F53" s="67"/>
      <c r="G53" s="67"/>
      <c r="H53" s="67"/>
      <c r="I53" s="67"/>
      <c r="J53" s="27"/>
    </row>
    <row r="54" spans="1:10" ht="12.75" hidden="1">
      <c r="A54" s="25"/>
      <c r="B54" s="67" t="s">
        <v>180</v>
      </c>
      <c r="C54" s="67"/>
      <c r="D54" s="67"/>
      <c r="E54" s="67"/>
      <c r="F54" s="67"/>
      <c r="G54" s="67"/>
      <c r="H54" s="67"/>
      <c r="I54" s="67"/>
    </row>
    <row r="55" spans="1:10" ht="12.75" hidden="1">
      <c r="A55" s="25"/>
      <c r="B55" s="67"/>
      <c r="C55" s="67"/>
      <c r="D55" s="67"/>
      <c r="E55" s="70"/>
      <c r="F55" s="67"/>
      <c r="G55" s="67"/>
      <c r="H55" s="67"/>
      <c r="I55" s="67"/>
    </row>
    <row r="56" spans="1:10" ht="12.75">
      <c r="A56" s="25"/>
      <c r="B56" s="130"/>
      <c r="C56" s="67"/>
      <c r="D56" s="67"/>
      <c r="E56" s="70"/>
      <c r="F56" s="67"/>
      <c r="G56" s="67"/>
      <c r="H56" s="67"/>
      <c r="I56" s="67"/>
    </row>
    <row r="57" spans="1:10" ht="12.75">
      <c r="A57" s="25"/>
      <c r="B57" s="67"/>
      <c r="C57" s="67"/>
      <c r="D57" s="67"/>
      <c r="E57" s="67"/>
      <c r="F57" s="67"/>
      <c r="G57" s="67"/>
      <c r="H57" s="67"/>
      <c r="I57" s="67"/>
    </row>
    <row r="58" spans="1:10" ht="12.75">
      <c r="A58" s="25"/>
      <c r="B58" s="130" t="s">
        <v>181</v>
      </c>
      <c r="C58" s="67"/>
      <c r="D58" s="67"/>
      <c r="E58" s="67"/>
      <c r="F58" s="67"/>
      <c r="G58" s="67"/>
      <c r="H58" s="67"/>
      <c r="I58" s="67"/>
    </row>
    <row r="59" spans="1:10" ht="12.75">
      <c r="A59" s="25"/>
      <c r="B59" s="67" t="s">
        <v>169</v>
      </c>
      <c r="C59" s="67"/>
      <c r="D59" s="67"/>
      <c r="E59" s="67"/>
      <c r="F59" s="67"/>
      <c r="G59" s="67"/>
      <c r="H59" s="69">
        <f>IF((H61+H62+H63-H64)/H65&gt;1,1,(H61+H62+H63-H64)/H65)</f>
        <v>1</v>
      </c>
      <c r="I59" s="67"/>
    </row>
    <row r="60" spans="1:10" ht="12.75">
      <c r="A60" s="25"/>
      <c r="B60" s="67"/>
      <c r="C60" s="67"/>
      <c r="D60" s="67"/>
      <c r="E60" s="67"/>
      <c r="F60" s="67"/>
      <c r="G60" s="67"/>
      <c r="H60" s="67"/>
      <c r="I60" s="67"/>
    </row>
    <row r="61" spans="1:10" ht="12.75">
      <c r="A61" s="25"/>
      <c r="B61" s="67" t="s">
        <v>170</v>
      </c>
      <c r="C61" s="67" t="s">
        <v>171</v>
      </c>
      <c r="D61" s="67"/>
      <c r="E61" s="67"/>
      <c r="F61" s="67"/>
      <c r="G61" s="67"/>
      <c r="H61" s="112">
        <f>H46</f>
        <v>135000</v>
      </c>
      <c r="I61" s="67" t="s">
        <v>152</v>
      </c>
    </row>
    <row r="62" spans="1:10" ht="12.75">
      <c r="A62" s="25"/>
      <c r="B62" s="67" t="s">
        <v>172</v>
      </c>
      <c r="C62" s="67" t="s">
        <v>173</v>
      </c>
      <c r="D62" s="67"/>
      <c r="E62" s="67"/>
      <c r="F62" s="67"/>
      <c r="G62" s="67"/>
      <c r="H62" s="112">
        <f>H47</f>
        <v>0</v>
      </c>
      <c r="I62" s="67" t="s">
        <v>152</v>
      </c>
    </row>
    <row r="63" spans="1:10" ht="12.75">
      <c r="A63" s="25"/>
      <c r="B63" s="67" t="s">
        <v>174</v>
      </c>
      <c r="C63" s="67" t="s">
        <v>175</v>
      </c>
      <c r="D63" s="67"/>
      <c r="E63" s="67"/>
      <c r="F63" s="67"/>
      <c r="G63" s="67"/>
      <c r="H63" s="112">
        <f>H48</f>
        <v>60000</v>
      </c>
      <c r="I63" s="67" t="s">
        <v>152</v>
      </c>
    </row>
    <row r="64" spans="1:10" ht="12.75">
      <c r="A64" s="25"/>
      <c r="B64" s="67" t="s">
        <v>176</v>
      </c>
      <c r="C64" s="67" t="s">
        <v>177</v>
      </c>
      <c r="D64" s="67"/>
      <c r="E64" s="67"/>
      <c r="F64" s="67"/>
      <c r="G64" s="67"/>
      <c r="H64" s="112">
        <f>H49</f>
        <v>0</v>
      </c>
      <c r="I64" s="67" t="s">
        <v>152</v>
      </c>
    </row>
    <row r="65" spans="1:10" ht="12.75">
      <c r="A65" s="25"/>
      <c r="B65" s="67" t="s">
        <v>178</v>
      </c>
      <c r="C65" s="67" t="s">
        <v>179</v>
      </c>
      <c r="D65" s="67"/>
      <c r="E65" s="67"/>
      <c r="F65" s="67"/>
      <c r="G65" s="67"/>
      <c r="H65" s="112">
        <f>H27</f>
        <v>30600</v>
      </c>
      <c r="I65" s="67" t="s">
        <v>152</v>
      </c>
    </row>
    <row r="66" spans="1:10" ht="12.75">
      <c r="A66" s="25"/>
      <c r="B66" s="67"/>
      <c r="C66" s="67"/>
      <c r="D66" s="67"/>
      <c r="E66" s="67"/>
      <c r="F66" s="67"/>
      <c r="G66" s="67"/>
      <c r="H66" s="67"/>
      <c r="I66" s="67"/>
    </row>
    <row r="67" spans="1:10" ht="12.75">
      <c r="A67" s="25"/>
      <c r="B67" s="67"/>
      <c r="C67" s="67" t="s">
        <v>182</v>
      </c>
      <c r="D67" s="67"/>
      <c r="E67" s="67"/>
      <c r="F67" s="67"/>
      <c r="G67" s="67"/>
      <c r="H67" s="67"/>
      <c r="I67" s="67"/>
    </row>
    <row r="68" spans="1:10" ht="15">
      <c r="A68" s="5"/>
      <c r="B68" s="30"/>
      <c r="C68" s="30"/>
      <c r="D68" s="30"/>
      <c r="E68" s="30"/>
      <c r="F68" s="30"/>
      <c r="G68" s="30"/>
      <c r="H68" s="30"/>
      <c r="I68" s="30"/>
      <c r="J68" s="5"/>
    </row>
    <row r="69" spans="1:10" ht="15">
      <c r="A69" s="5"/>
      <c r="B69" s="67" t="s">
        <v>387</v>
      </c>
      <c r="C69" s="5"/>
      <c r="D69" s="5"/>
      <c r="E69" s="5"/>
      <c r="F69" s="5"/>
      <c r="G69" s="5"/>
      <c r="H69" s="5"/>
      <c r="I69" s="5"/>
      <c r="J69" s="5"/>
    </row>
    <row r="70" spans="1:10" ht="12.75">
      <c r="B70" s="67" t="s">
        <v>334</v>
      </c>
    </row>
    <row r="71" spans="1:10" ht="12.75">
      <c r="B71" s="67" t="s">
        <v>335</v>
      </c>
    </row>
    <row r="94" spans="6:6">
      <c r="F94" s="4">
        <v>68</v>
      </c>
    </row>
  </sheetData>
  <phoneticPr fontId="9" type="noConversion"/>
  <pageMargins left="0.75" right="0.5" top="1" bottom="1" header="0.5" footer="0.5"/>
  <pageSetup scale="7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55"/>
  <sheetViews>
    <sheetView showGridLines="0" tabSelected="1" topLeftCell="A20" workbookViewId="0">
      <selection activeCell="F37" sqref="F37"/>
    </sheetView>
  </sheetViews>
  <sheetFormatPr defaultColWidth="10.7109375" defaultRowHeight="12"/>
  <cols>
    <col min="1" max="1" width="7.42578125" style="2" customWidth="1"/>
    <col min="2" max="2" width="5.140625" style="2" customWidth="1"/>
    <col min="3" max="3" width="20.85546875" style="2" customWidth="1"/>
    <col min="4" max="4" width="10.85546875" style="2"/>
    <col min="5" max="5" width="31.42578125" style="2" customWidth="1"/>
    <col min="6" max="7" width="17.85546875" style="2" customWidth="1"/>
    <col min="8" max="8" width="2.28515625" style="2" customWidth="1"/>
    <col min="9" max="9" width="12.42578125" style="2" customWidth="1"/>
    <col min="10" max="193" width="8.7109375" style="2" customWidth="1"/>
    <col min="194" max="16384" width="10.7109375" style="2"/>
  </cols>
  <sheetData>
    <row r="1" spans="1:10" ht="12.75">
      <c r="A1" s="134" t="s">
        <v>107</v>
      </c>
      <c r="B1" s="67"/>
      <c r="C1" s="67"/>
      <c r="D1" s="67"/>
      <c r="E1" s="67"/>
      <c r="F1" s="67"/>
      <c r="G1" s="134" t="s">
        <v>48</v>
      </c>
      <c r="H1" s="67"/>
      <c r="I1" s="67"/>
    </row>
    <row r="2" spans="1:10" ht="12.75">
      <c r="A2" s="134" t="s">
        <v>29</v>
      </c>
      <c r="B2" s="67"/>
      <c r="C2" s="67"/>
      <c r="D2" s="67"/>
      <c r="E2" s="67"/>
      <c r="F2" s="67"/>
      <c r="G2" s="67"/>
      <c r="H2" s="67"/>
      <c r="I2" s="67"/>
    </row>
    <row r="3" spans="1:10" ht="12.75">
      <c r="A3" s="67"/>
      <c r="B3" s="67"/>
      <c r="C3" s="67"/>
      <c r="D3" s="67"/>
      <c r="E3" s="67"/>
      <c r="F3" s="67"/>
      <c r="G3" s="67"/>
      <c r="H3" s="67"/>
      <c r="I3" s="67"/>
    </row>
    <row r="4" spans="1:10" ht="12.75">
      <c r="A4" s="134" t="str">
        <f>'F 1'!A4</f>
        <v xml:space="preserve">Company:  Utilities, Inc. of Florida - Labrador </v>
      </c>
      <c r="B4" s="67"/>
      <c r="C4" s="67"/>
      <c r="D4" s="67"/>
      <c r="E4" s="67"/>
      <c r="F4" s="67"/>
      <c r="G4" s="134" t="s">
        <v>30</v>
      </c>
      <c r="H4" s="67"/>
      <c r="I4" s="67"/>
    </row>
    <row r="5" spans="1:10" ht="12.75">
      <c r="A5" s="134" t="str">
        <f>'F 1'!A5</f>
        <v>Docket No.: 20200139-WS</v>
      </c>
      <c r="B5" s="67"/>
      <c r="C5" s="67"/>
      <c r="D5" s="67"/>
      <c r="E5" s="67"/>
      <c r="F5" s="67"/>
      <c r="G5" s="134" t="s">
        <v>224</v>
      </c>
      <c r="H5" s="67"/>
      <c r="I5" s="67"/>
    </row>
    <row r="6" spans="1:10" ht="12.75">
      <c r="A6" s="134" t="str">
        <f>'F 1'!A6</f>
        <v>Test Year Ended:  December 31, 2019</v>
      </c>
      <c r="B6" s="134"/>
      <c r="C6" s="58"/>
      <c r="D6" s="58"/>
      <c r="E6" s="67"/>
      <c r="F6" s="67"/>
      <c r="G6" s="134" t="str">
        <f>'F 1'!J5</f>
        <v>Preparer:  Seidman, F.</v>
      </c>
      <c r="H6" s="67"/>
      <c r="I6" s="67"/>
    </row>
    <row r="7" spans="1:10" ht="12.75">
      <c r="A7" s="67"/>
      <c r="B7" s="67"/>
      <c r="C7" s="67"/>
      <c r="D7" s="67"/>
      <c r="E7" s="67"/>
      <c r="F7" s="67"/>
      <c r="G7" s="67"/>
      <c r="H7" s="67"/>
      <c r="I7" s="67"/>
    </row>
    <row r="8" spans="1:10" ht="12.75">
      <c r="A8" s="134" t="s">
        <v>110</v>
      </c>
      <c r="B8" s="67"/>
      <c r="C8" s="67"/>
      <c r="D8" s="67"/>
      <c r="E8" s="67"/>
      <c r="F8" s="67"/>
      <c r="G8" s="67"/>
      <c r="H8" s="67"/>
      <c r="I8" s="67"/>
    </row>
    <row r="9" spans="1:10" ht="12.75">
      <c r="A9" s="134" t="s">
        <v>31</v>
      </c>
      <c r="B9" s="67"/>
      <c r="C9" s="67"/>
      <c r="D9" s="67"/>
      <c r="E9" s="67"/>
      <c r="F9" s="67"/>
      <c r="G9" s="67"/>
      <c r="H9" s="67"/>
      <c r="I9" s="67"/>
    </row>
    <row r="10" spans="1:10" ht="12.75">
      <c r="A10" s="134" t="s">
        <v>32</v>
      </c>
      <c r="B10" s="67"/>
      <c r="C10" s="67"/>
      <c r="D10" s="67"/>
      <c r="E10" s="67"/>
      <c r="F10" s="67"/>
      <c r="G10" s="67"/>
      <c r="H10" s="67"/>
      <c r="I10" s="67"/>
    </row>
    <row r="11" spans="1:10" ht="12.75">
      <c r="A11" s="159"/>
      <c r="B11" s="159"/>
      <c r="C11" s="159"/>
      <c r="D11" s="159"/>
      <c r="E11" s="159"/>
      <c r="F11" s="159"/>
      <c r="G11" s="159"/>
      <c r="H11" s="159"/>
      <c r="I11" s="159"/>
    </row>
    <row r="12" spans="1:10" ht="12.75">
      <c r="A12" s="25"/>
      <c r="B12" s="25"/>
      <c r="C12" s="25"/>
      <c r="D12" s="67"/>
      <c r="E12" s="25"/>
      <c r="F12" s="25"/>
      <c r="G12" s="25"/>
      <c r="H12" s="25"/>
      <c r="I12" s="25"/>
    </row>
    <row r="13" spans="1:10" ht="12.75">
      <c r="A13" s="36" t="s">
        <v>3</v>
      </c>
      <c r="B13" s="25"/>
      <c r="C13" s="25"/>
      <c r="D13" s="25"/>
      <c r="E13" s="25"/>
      <c r="F13" s="25"/>
      <c r="G13" s="25"/>
      <c r="H13" s="25"/>
      <c r="I13" s="25"/>
    </row>
    <row r="14" spans="1:10" customFormat="1" ht="15">
      <c r="A14" s="37" t="s">
        <v>4</v>
      </c>
      <c r="B14" s="25"/>
      <c r="C14" s="25"/>
      <c r="D14" s="25"/>
      <c r="E14" s="25"/>
      <c r="F14" s="25"/>
      <c r="G14" s="25"/>
      <c r="H14" s="25"/>
      <c r="I14" s="35"/>
      <c r="J14" s="27"/>
    </row>
    <row r="15" spans="1:10" customFormat="1" ht="12.75">
      <c r="A15" s="25"/>
      <c r="B15" s="25"/>
      <c r="C15" s="25"/>
      <c r="D15" s="25"/>
      <c r="E15" s="47"/>
      <c r="F15" s="25"/>
      <c r="G15" s="25"/>
      <c r="H15" s="25"/>
      <c r="I15" s="25"/>
      <c r="J15" s="27"/>
    </row>
    <row r="16" spans="1:10" customFormat="1" ht="12.75">
      <c r="A16" s="25"/>
      <c r="B16" s="133" t="s">
        <v>313</v>
      </c>
      <c r="C16" s="61"/>
      <c r="D16" s="61"/>
      <c r="E16" s="47"/>
      <c r="F16" s="25"/>
      <c r="G16" s="25"/>
      <c r="H16" s="25"/>
      <c r="I16" s="25"/>
      <c r="J16" s="27"/>
    </row>
    <row r="17" spans="1:13" customFormat="1" ht="15">
      <c r="A17" s="25"/>
      <c r="B17" s="25"/>
      <c r="C17" s="25"/>
      <c r="D17" s="25"/>
      <c r="E17" s="47"/>
      <c r="F17" s="25"/>
      <c r="G17" s="25"/>
      <c r="H17" s="39"/>
      <c r="I17" s="25"/>
      <c r="J17" s="27"/>
    </row>
    <row r="18" spans="1:13" customFormat="1" ht="15">
      <c r="A18" s="36">
        <v>1</v>
      </c>
      <c r="B18" s="131" t="s">
        <v>225</v>
      </c>
      <c r="C18" s="67" t="s">
        <v>314</v>
      </c>
      <c r="D18" s="67"/>
      <c r="E18" s="67"/>
      <c r="F18" s="67"/>
      <c r="G18" s="67"/>
      <c r="H18" s="40"/>
      <c r="I18" s="25"/>
      <c r="J18" s="27"/>
    </row>
    <row r="19" spans="1:13" customFormat="1" ht="15">
      <c r="A19" s="36">
        <v>2</v>
      </c>
      <c r="B19" s="67"/>
      <c r="C19" s="161" t="s">
        <v>377</v>
      </c>
      <c r="D19" s="67"/>
      <c r="E19" s="67"/>
      <c r="F19" s="67"/>
      <c r="G19" s="301">
        <f>'F 4'!G18</f>
        <v>83446.966205837176</v>
      </c>
      <c r="H19" s="41"/>
      <c r="I19" s="25"/>
      <c r="J19" s="27"/>
    </row>
    <row r="20" spans="1:13" customFormat="1" ht="12.75">
      <c r="A20" s="36"/>
      <c r="B20" s="67"/>
      <c r="C20" s="67"/>
      <c r="D20" s="67"/>
      <c r="E20" s="67"/>
      <c r="F20" s="67"/>
      <c r="G20" s="162"/>
      <c r="H20" s="42"/>
      <c r="I20" s="25"/>
      <c r="J20" s="27"/>
    </row>
    <row r="21" spans="1:13" customFormat="1" ht="15">
      <c r="A21" s="36">
        <v>3</v>
      </c>
      <c r="B21" s="117" t="s">
        <v>226</v>
      </c>
      <c r="C21" s="67" t="s">
        <v>315</v>
      </c>
      <c r="D21" s="67"/>
      <c r="E21" s="67"/>
      <c r="F21" s="67"/>
      <c r="G21" s="163">
        <f>'F 8'!F37</f>
        <v>3354.1712334843546</v>
      </c>
      <c r="H21" s="43"/>
      <c r="I21" s="25"/>
      <c r="J21" s="27"/>
    </row>
    <row r="22" spans="1:13" customFormat="1" ht="12.75">
      <c r="A22" s="36"/>
      <c r="B22" s="67"/>
      <c r="C22" s="67"/>
      <c r="D22" s="67"/>
      <c r="E22" s="67"/>
      <c r="F22" s="67"/>
      <c r="G22" s="162"/>
      <c r="H22" s="42"/>
      <c r="I22" s="25"/>
      <c r="J22" s="27"/>
    </row>
    <row r="23" spans="1:13" customFormat="1" ht="15">
      <c r="A23" s="36">
        <v>4</v>
      </c>
      <c r="B23" s="131" t="s">
        <v>227</v>
      </c>
      <c r="C23" s="67" t="s">
        <v>316</v>
      </c>
      <c r="D23" s="67"/>
      <c r="E23" s="67"/>
      <c r="F23" s="67"/>
      <c r="G23" s="301">
        <f>'F 4'!G13</f>
        <v>216000</v>
      </c>
      <c r="H23" s="39"/>
      <c r="I23" s="44"/>
      <c r="J23" s="27"/>
    </row>
    <row r="24" spans="1:13" customFormat="1" ht="12.75">
      <c r="A24" s="36"/>
      <c r="B24" s="67"/>
      <c r="C24" s="67"/>
      <c r="D24" s="67"/>
      <c r="E24" s="67"/>
      <c r="F24" s="67"/>
      <c r="G24" s="162"/>
      <c r="H24" s="42"/>
      <c r="I24" s="25"/>
      <c r="J24" s="27"/>
    </row>
    <row r="25" spans="1:13" customFormat="1" ht="15">
      <c r="A25" s="36">
        <v>5</v>
      </c>
      <c r="B25" s="131" t="s">
        <v>317</v>
      </c>
      <c r="C25" s="67" t="s">
        <v>229</v>
      </c>
      <c r="D25" s="67"/>
      <c r="E25" s="67"/>
      <c r="F25" s="67"/>
      <c r="G25" s="164">
        <f>(G19+G21)/G23</f>
        <v>0.40185711777463673</v>
      </c>
      <c r="H25" s="45"/>
      <c r="I25" s="38"/>
      <c r="J25" s="27"/>
    </row>
    <row r="26" spans="1:13" customFormat="1" ht="15">
      <c r="A26" s="36"/>
      <c r="B26" s="67"/>
      <c r="C26" s="67"/>
      <c r="D26" s="67"/>
      <c r="E26" s="67"/>
      <c r="F26" s="303"/>
      <c r="G26" s="304"/>
      <c r="H26" s="46"/>
      <c r="I26" s="25"/>
      <c r="J26" s="27"/>
    </row>
    <row r="27" spans="1:13" customFormat="1" ht="15">
      <c r="A27" s="36">
        <v>6</v>
      </c>
      <c r="B27" s="131" t="s">
        <v>228</v>
      </c>
      <c r="C27" s="67" t="s">
        <v>230</v>
      </c>
      <c r="D27" s="67"/>
      <c r="E27" s="67"/>
      <c r="F27" s="67"/>
      <c r="G27" s="164">
        <f>1-G25</f>
        <v>0.59814288222536327</v>
      </c>
      <c r="H27" s="46"/>
      <c r="I27" s="25"/>
      <c r="J27" s="27"/>
    </row>
    <row r="28" spans="1:13" customFormat="1" ht="15">
      <c r="A28" s="25"/>
      <c r="B28" s="67"/>
      <c r="C28" s="67"/>
      <c r="D28" s="67"/>
      <c r="E28" s="67"/>
      <c r="F28" s="67"/>
      <c r="G28" s="67"/>
      <c r="H28" s="45"/>
      <c r="I28" s="38"/>
      <c r="J28" s="27"/>
    </row>
    <row r="29" spans="1:13" customFormat="1" ht="15">
      <c r="A29" s="36">
        <v>7</v>
      </c>
      <c r="B29" s="67" t="s">
        <v>318</v>
      </c>
      <c r="C29" s="67" t="s">
        <v>319</v>
      </c>
      <c r="D29" s="67"/>
      <c r="E29" s="67"/>
      <c r="F29" s="302" t="s">
        <v>389</v>
      </c>
      <c r="G29" s="305">
        <v>1</v>
      </c>
      <c r="H29" s="46"/>
      <c r="I29" s="25"/>
      <c r="J29" s="27"/>
    </row>
    <row r="30" spans="1:13" customFormat="1" ht="12.75">
      <c r="A30" s="25"/>
      <c r="B30" s="67"/>
      <c r="C30" s="67"/>
      <c r="D30" s="67"/>
      <c r="E30" s="67"/>
      <c r="F30" s="67"/>
      <c r="G30" s="67"/>
      <c r="H30" s="25"/>
      <c r="I30" s="25"/>
      <c r="J30" s="27"/>
    </row>
    <row r="31" spans="1:13" customFormat="1" ht="12.75">
      <c r="A31" s="67"/>
      <c r="B31" s="49"/>
      <c r="C31" s="67"/>
      <c r="D31" s="67"/>
      <c r="E31" s="67"/>
      <c r="F31" s="67"/>
      <c r="G31" s="67"/>
      <c r="H31" s="25"/>
      <c r="I31" s="35"/>
      <c r="J31" s="27"/>
    </row>
    <row r="32" spans="1:13" customFormat="1" ht="12.75">
      <c r="A32" s="49"/>
      <c r="B32" s="67" t="s">
        <v>391</v>
      </c>
      <c r="C32" s="67"/>
      <c r="D32" s="67"/>
      <c r="E32" s="67"/>
      <c r="F32" s="67"/>
      <c r="G32" s="67"/>
      <c r="H32" s="25"/>
      <c r="I32" s="25"/>
      <c r="J32" s="27"/>
      <c r="K32" s="25">
        <f>894*280</f>
        <v>250320</v>
      </c>
      <c r="L32" s="49"/>
      <c r="M32" s="49" t="s">
        <v>405</v>
      </c>
    </row>
    <row r="33" spans="1:13" customFormat="1" ht="12.75">
      <c r="A33" s="49"/>
      <c r="B33" s="67" t="s">
        <v>320</v>
      </c>
      <c r="C33" s="67"/>
      <c r="D33" s="67"/>
      <c r="E33" s="67"/>
      <c r="F33" s="67"/>
      <c r="G33" s="67"/>
      <c r="H33" s="25"/>
      <c r="I33" s="25"/>
      <c r="J33" s="27"/>
      <c r="K33" s="25">
        <f>G19/((894+274)*0.95)</f>
        <v>75.204547770220969</v>
      </c>
      <c r="L33" s="49"/>
      <c r="M33" s="49" t="s">
        <v>406</v>
      </c>
    </row>
    <row r="34" spans="1:13" customFormat="1" ht="12.75">
      <c r="A34" s="49"/>
      <c r="B34" s="67" t="s">
        <v>392</v>
      </c>
      <c r="C34" s="67"/>
      <c r="D34" s="67"/>
      <c r="E34" s="67"/>
      <c r="F34" s="67"/>
      <c r="G34" s="67"/>
      <c r="H34" s="25"/>
      <c r="I34" s="25"/>
      <c r="J34" s="27"/>
      <c r="K34" s="49"/>
      <c r="L34" s="49"/>
      <c r="M34" s="49"/>
    </row>
    <row r="35" spans="1:13" customFormat="1" ht="12.75">
      <c r="A35" s="49"/>
      <c r="B35" s="67" t="s">
        <v>393</v>
      </c>
      <c r="C35" s="67"/>
      <c r="D35" s="67"/>
      <c r="E35" s="67"/>
      <c r="F35" s="67"/>
      <c r="G35" s="67"/>
      <c r="H35" s="25"/>
      <c r="I35" s="25"/>
      <c r="J35" s="27"/>
      <c r="K35" s="170">
        <f>(894-11)/894</f>
        <v>0.98769574944071592</v>
      </c>
      <c r="L35" s="49" t="s">
        <v>332</v>
      </c>
      <c r="M35" s="49"/>
    </row>
    <row r="36" spans="1:13" customFormat="1" ht="12.75">
      <c r="A36" s="49"/>
      <c r="B36" s="67" t="s">
        <v>399</v>
      </c>
      <c r="C36" s="67"/>
      <c r="D36" s="67"/>
      <c r="E36" s="67"/>
      <c r="F36" s="67"/>
      <c r="G36" s="67"/>
      <c r="H36" s="25"/>
      <c r="I36" s="25"/>
      <c r="J36" s="27"/>
    </row>
    <row r="37" spans="1:13" customFormat="1" ht="12.75">
      <c r="A37" s="49"/>
      <c r="B37" s="67" t="s">
        <v>400</v>
      </c>
      <c r="C37" s="67"/>
      <c r="D37" s="67"/>
      <c r="E37" s="67"/>
      <c r="F37" s="67"/>
      <c r="G37" s="67"/>
      <c r="H37" s="25"/>
      <c r="I37" s="25"/>
      <c r="J37" s="27"/>
      <c r="K37" s="25">
        <f>(894+36)*280</f>
        <v>260400</v>
      </c>
      <c r="M37" s="49" t="s">
        <v>407</v>
      </c>
    </row>
    <row r="38" spans="1:13" customFormat="1" ht="12.75">
      <c r="A38" s="67"/>
      <c r="B38" s="67" t="s">
        <v>401</v>
      </c>
      <c r="C38" s="67"/>
      <c r="D38" s="67"/>
      <c r="E38" s="67"/>
      <c r="F38" s="67"/>
      <c r="G38" s="67"/>
      <c r="H38" s="25"/>
      <c r="I38" s="25"/>
      <c r="J38" s="27"/>
    </row>
    <row r="39" spans="1:13" customFormat="1" ht="12.75">
      <c r="A39" s="67"/>
      <c r="B39" s="67" t="s">
        <v>402</v>
      </c>
      <c r="C39" s="67"/>
      <c r="D39" s="67"/>
      <c r="E39" s="67"/>
      <c r="F39" s="67"/>
      <c r="G39" s="67"/>
      <c r="H39" s="25"/>
      <c r="I39" s="25"/>
      <c r="J39" s="27"/>
    </row>
    <row r="40" spans="1:13" customFormat="1" ht="12.75">
      <c r="A40" s="67"/>
      <c r="B40" s="67" t="s">
        <v>403</v>
      </c>
      <c r="C40" s="67"/>
      <c r="D40" s="67"/>
      <c r="E40" s="67"/>
      <c r="F40" s="67"/>
      <c r="G40" s="67"/>
      <c r="H40" s="48"/>
      <c r="I40" s="25"/>
      <c r="J40" s="27"/>
    </row>
    <row r="41" spans="1:13" customFormat="1" ht="12.75">
      <c r="A41" s="67"/>
      <c r="B41" s="67" t="s">
        <v>404</v>
      </c>
      <c r="C41" s="67"/>
      <c r="D41" s="67"/>
      <c r="E41" s="67"/>
      <c r="F41" s="67"/>
      <c r="G41" s="67"/>
      <c r="H41" s="49"/>
      <c r="I41" s="49"/>
    </row>
    <row r="42" spans="1:13" customFormat="1" ht="12.75">
      <c r="A42" s="67"/>
      <c r="B42" s="67"/>
      <c r="C42" s="67"/>
      <c r="D42" s="67"/>
      <c r="E42" s="67"/>
      <c r="F42" s="67"/>
      <c r="G42" s="67"/>
      <c r="H42" s="49"/>
      <c r="I42" s="49"/>
    </row>
    <row r="43" spans="1:13" customFormat="1" ht="12.75">
      <c r="A43" s="67"/>
      <c r="B43" s="67" t="s">
        <v>321</v>
      </c>
      <c r="C43" s="67"/>
      <c r="D43" s="67"/>
      <c r="E43" s="67"/>
      <c r="F43" s="67"/>
      <c r="G43" s="67"/>
      <c r="H43" s="49"/>
      <c r="I43" s="49"/>
    </row>
    <row r="44" spans="1:13" customFormat="1" ht="12.75">
      <c r="A44" s="67"/>
      <c r="B44" s="67" t="s">
        <v>322</v>
      </c>
      <c r="C44" s="67"/>
      <c r="D44" s="67"/>
      <c r="E44" s="67"/>
      <c r="F44" s="67"/>
      <c r="G44" s="67"/>
      <c r="H44" s="49"/>
      <c r="I44" s="49"/>
    </row>
    <row r="45" spans="1:13" ht="18" customHeight="1">
      <c r="A45" s="67"/>
      <c r="B45" s="49"/>
      <c r="C45" s="67"/>
      <c r="D45" s="67"/>
      <c r="E45" s="67"/>
      <c r="F45" s="67"/>
      <c r="G45" s="67"/>
      <c r="H45" s="49"/>
      <c r="I45" s="49"/>
    </row>
    <row r="46" spans="1:13" customFormat="1" ht="12.75">
      <c r="A46" s="67"/>
      <c r="B46" s="49"/>
      <c r="C46" s="67"/>
      <c r="D46" s="67"/>
      <c r="E46" s="67"/>
      <c r="F46" s="67"/>
      <c r="G46" s="67"/>
      <c r="H46" s="49"/>
      <c r="I46" s="49"/>
    </row>
    <row r="47" spans="1:13" ht="12.75">
      <c r="A47" s="67"/>
      <c r="B47" s="49"/>
      <c r="C47" s="67"/>
      <c r="D47" s="67"/>
      <c r="E47" s="67"/>
      <c r="F47" s="67"/>
      <c r="G47" s="67"/>
      <c r="H47" s="49"/>
      <c r="I47" s="49"/>
    </row>
    <row r="48" spans="1:13" ht="12.75">
      <c r="A48" s="67"/>
      <c r="B48" s="49"/>
      <c r="C48" s="67"/>
      <c r="D48" s="67"/>
      <c r="E48" s="67"/>
      <c r="F48" s="67"/>
      <c r="G48" s="67"/>
      <c r="H48" s="49"/>
      <c r="I48" s="49"/>
    </row>
    <row r="49" spans="1:9" ht="18" customHeight="1">
      <c r="A49" s="49"/>
      <c r="B49" s="49"/>
      <c r="C49" s="67"/>
      <c r="D49" s="67"/>
      <c r="E49" s="67"/>
      <c r="F49" s="67"/>
      <c r="G49" s="67"/>
      <c r="H49" s="49"/>
      <c r="I49" s="49"/>
    </row>
    <row r="50" spans="1:9" ht="12.75">
      <c r="A50" s="49"/>
      <c r="B50" s="49"/>
      <c r="C50" s="67"/>
      <c r="D50" s="67"/>
      <c r="E50" s="67"/>
      <c r="F50" s="67"/>
      <c r="G50" s="67"/>
      <c r="H50" s="49"/>
      <c r="I50" s="49"/>
    </row>
    <row r="51" spans="1:9" ht="12.75">
      <c r="A51" s="25"/>
      <c r="B51" s="25"/>
      <c r="C51" s="25"/>
      <c r="D51" s="25"/>
      <c r="E51" s="25"/>
      <c r="F51" s="25"/>
      <c r="G51" s="25"/>
      <c r="H51" s="49"/>
      <c r="I51" s="49"/>
    </row>
    <row r="52" spans="1:9" ht="12.75">
      <c r="A52" s="25"/>
      <c r="B52" s="25"/>
      <c r="C52" s="25"/>
      <c r="D52" s="25"/>
      <c r="E52" s="25"/>
      <c r="F52" s="25"/>
      <c r="G52" s="25"/>
      <c r="H52" s="49"/>
      <c r="I52" s="49"/>
    </row>
    <row r="53" spans="1:9" ht="12.75">
      <c r="A53" s="67" t="s">
        <v>323</v>
      </c>
      <c r="B53" s="25"/>
      <c r="C53" s="25"/>
      <c r="D53" s="25"/>
      <c r="E53" s="25"/>
      <c r="F53" s="25"/>
      <c r="G53" s="25"/>
      <c r="H53" s="49"/>
      <c r="I53" s="49"/>
    </row>
    <row r="54" spans="1:9" ht="12.75">
      <c r="A54" s="49"/>
      <c r="B54" s="49"/>
      <c r="C54" s="49"/>
      <c r="D54" s="49"/>
      <c r="E54" s="49"/>
      <c r="F54" s="49"/>
      <c r="G54" s="49"/>
      <c r="H54" s="49"/>
      <c r="I54" s="49"/>
    </row>
    <row r="55" spans="1:9" ht="12.75">
      <c r="A55" s="50"/>
      <c r="B55" s="50"/>
      <c r="C55" s="50"/>
      <c r="D55" s="50"/>
      <c r="E55" s="50"/>
      <c r="F55" s="50"/>
      <c r="G55" s="50"/>
      <c r="H55" s="50"/>
      <c r="I55" s="49"/>
    </row>
  </sheetData>
  <phoneticPr fontId="9" type="noConversion"/>
  <pageMargins left="0.75" right="0.5" top="1" bottom="1" header="0.5" footer="0.5"/>
  <pageSetup scale="7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42"/>
  <sheetViews>
    <sheetView workbookViewId="0">
      <selection activeCell="A2" sqref="A2"/>
    </sheetView>
  </sheetViews>
  <sheetFormatPr defaultRowHeight="12.75"/>
  <cols>
    <col min="3" max="3" width="23.28515625" customWidth="1"/>
    <col min="4" max="4" width="14.5703125" customWidth="1"/>
    <col min="5" max="5" width="10.7109375" customWidth="1"/>
    <col min="6" max="6" width="14.42578125" customWidth="1"/>
    <col min="7" max="7" width="15.7109375" customWidth="1"/>
  </cols>
  <sheetData>
    <row r="1" spans="1:9">
      <c r="A1" s="67" t="s">
        <v>107</v>
      </c>
      <c r="B1" s="67"/>
      <c r="C1" s="67"/>
      <c r="D1" s="67"/>
      <c r="E1" s="67"/>
      <c r="F1" s="67"/>
      <c r="G1" s="67" t="s">
        <v>48</v>
      </c>
      <c r="H1" s="67"/>
      <c r="I1" s="67"/>
    </row>
    <row r="2" spans="1:9">
      <c r="A2" s="67" t="s">
        <v>29</v>
      </c>
      <c r="B2" s="67"/>
      <c r="C2" s="67"/>
      <c r="D2" s="67"/>
      <c r="E2" s="67"/>
      <c r="F2" s="67"/>
      <c r="G2" s="67"/>
      <c r="H2" s="67"/>
      <c r="I2" s="67"/>
    </row>
    <row r="3" spans="1:9">
      <c r="A3" s="67"/>
      <c r="B3" s="67"/>
      <c r="C3" s="67"/>
      <c r="D3" s="67"/>
      <c r="E3" s="67"/>
      <c r="F3" s="67"/>
      <c r="G3" s="67"/>
      <c r="H3" s="67"/>
      <c r="I3" s="67"/>
    </row>
    <row r="4" spans="1:9">
      <c r="A4" s="134" t="str">
        <f>'F 1'!A4</f>
        <v xml:space="preserve">Company:  Utilities, Inc. of Florida - Labrador </v>
      </c>
      <c r="B4" s="67"/>
      <c r="C4" s="67"/>
      <c r="D4" s="67"/>
      <c r="E4" s="67"/>
      <c r="F4" s="67"/>
      <c r="G4" s="67" t="s">
        <v>30</v>
      </c>
      <c r="H4" s="67"/>
      <c r="I4" s="67"/>
    </row>
    <row r="5" spans="1:9">
      <c r="A5" s="134" t="str">
        <f>'F 1'!A5</f>
        <v>Docket No.: 20200139-WS</v>
      </c>
      <c r="B5" s="67"/>
      <c r="C5" s="67"/>
      <c r="D5" s="67"/>
      <c r="E5" s="67"/>
      <c r="F5" s="67"/>
      <c r="G5" s="67" t="s">
        <v>204</v>
      </c>
      <c r="H5" s="67"/>
      <c r="I5" s="67"/>
    </row>
    <row r="6" spans="1:9">
      <c r="A6" s="134" t="str">
        <f>'F 1'!A6</f>
        <v>Test Year Ended:  December 31, 2019</v>
      </c>
      <c r="B6" s="67"/>
      <c r="C6" s="58"/>
      <c r="D6" s="58"/>
      <c r="E6" s="67"/>
      <c r="F6" s="67"/>
      <c r="G6" s="67" t="str">
        <f>'F 2'!J5</f>
        <v>Preparer:  Seidman, F.</v>
      </c>
      <c r="H6" s="67"/>
      <c r="I6" s="67"/>
    </row>
    <row r="7" spans="1:9">
      <c r="A7" s="25"/>
      <c r="B7" s="25"/>
      <c r="C7" s="25"/>
      <c r="D7" s="25"/>
      <c r="E7" s="25"/>
      <c r="F7" s="25"/>
      <c r="G7" s="25"/>
      <c r="H7" s="25"/>
      <c r="I7" s="25"/>
    </row>
    <row r="8" spans="1:9">
      <c r="A8" s="25"/>
      <c r="B8" s="67"/>
      <c r="C8" s="25"/>
      <c r="D8" s="25"/>
      <c r="E8" s="25"/>
      <c r="F8" s="25"/>
      <c r="G8" s="25"/>
      <c r="H8" s="25"/>
      <c r="I8" s="25"/>
    </row>
    <row r="9" spans="1:9">
      <c r="A9" s="25"/>
      <c r="B9" s="25"/>
      <c r="C9" s="25"/>
      <c r="D9" s="25"/>
      <c r="E9" s="25"/>
      <c r="F9" s="25"/>
      <c r="G9" s="25"/>
      <c r="H9" s="25"/>
      <c r="I9" s="25"/>
    </row>
    <row r="10" spans="1:9">
      <c r="A10" s="67"/>
      <c r="B10" s="67" t="s">
        <v>205</v>
      </c>
      <c r="C10" s="67"/>
      <c r="D10" s="67"/>
      <c r="E10" s="67"/>
      <c r="F10" s="112"/>
      <c r="G10" s="25"/>
      <c r="H10" s="25"/>
      <c r="I10" s="25"/>
    </row>
    <row r="11" spans="1:9">
      <c r="A11" s="67"/>
      <c r="B11" s="67"/>
      <c r="C11" s="67"/>
      <c r="D11" s="67"/>
      <c r="E11" s="67"/>
      <c r="F11" s="67"/>
      <c r="G11" s="25"/>
      <c r="H11" s="25"/>
      <c r="I11" s="25"/>
    </row>
    <row r="12" spans="1:9">
      <c r="A12" s="67"/>
      <c r="B12" s="67"/>
      <c r="C12" s="67"/>
      <c r="D12" s="67"/>
      <c r="E12" s="67"/>
      <c r="F12" s="67"/>
      <c r="G12" s="25"/>
      <c r="H12" s="25"/>
      <c r="I12" s="25"/>
    </row>
    <row r="13" spans="1:9">
      <c r="A13" s="67"/>
      <c r="B13" s="67"/>
      <c r="C13" s="67"/>
      <c r="D13" s="67"/>
      <c r="E13" s="67" t="s">
        <v>206</v>
      </c>
      <c r="F13" s="112"/>
      <c r="G13" s="25"/>
      <c r="H13" s="25"/>
      <c r="I13" s="25"/>
    </row>
    <row r="14" spans="1:9">
      <c r="A14" s="67"/>
      <c r="B14" s="67" t="s">
        <v>207</v>
      </c>
      <c r="C14" s="67" t="s">
        <v>208</v>
      </c>
      <c r="D14" s="67"/>
      <c r="E14" s="67" t="s">
        <v>209</v>
      </c>
      <c r="F14" s="112"/>
      <c r="G14" s="25"/>
      <c r="H14" s="25"/>
      <c r="I14" s="25"/>
    </row>
    <row r="15" spans="1:9">
      <c r="A15" s="67"/>
      <c r="B15" s="67" t="s">
        <v>210</v>
      </c>
      <c r="C15" s="67" t="s">
        <v>211</v>
      </c>
      <c r="D15" s="67" t="s">
        <v>212</v>
      </c>
      <c r="E15" s="67" t="s">
        <v>160</v>
      </c>
      <c r="F15" s="112" t="s">
        <v>213</v>
      </c>
      <c r="G15" s="25"/>
      <c r="H15" s="25"/>
      <c r="I15" s="25"/>
    </row>
    <row r="16" spans="1:9">
      <c r="A16" s="67"/>
      <c r="B16" s="67">
        <v>4</v>
      </c>
      <c r="C16" s="67">
        <v>0</v>
      </c>
      <c r="D16" s="55">
        <f>C16/5280</f>
        <v>0</v>
      </c>
      <c r="E16" s="112">
        <f>500*B16*D16</f>
        <v>0</v>
      </c>
      <c r="F16" s="112"/>
      <c r="G16" s="25"/>
      <c r="H16" s="25"/>
      <c r="I16" s="25"/>
    </row>
    <row r="17" spans="1:9">
      <c r="A17" s="36">
        <v>1</v>
      </c>
      <c r="B17" s="67">
        <v>6</v>
      </c>
      <c r="C17" s="112">
        <v>0</v>
      </c>
      <c r="D17" s="55">
        <f>C17/5280</f>
        <v>0</v>
      </c>
      <c r="E17" s="112">
        <f>500*B17*D17</f>
        <v>0</v>
      </c>
      <c r="F17" s="112"/>
      <c r="G17" s="25"/>
      <c r="H17" s="25"/>
      <c r="I17" s="25"/>
    </row>
    <row r="18" spans="1:9">
      <c r="A18" s="36">
        <v>2</v>
      </c>
      <c r="B18" s="67">
        <v>8</v>
      </c>
      <c r="C18" s="112">
        <v>33989</v>
      </c>
      <c r="D18" s="55">
        <f>C18/5280</f>
        <v>6.4373106060606062</v>
      </c>
      <c r="E18" s="112">
        <f>500*B18*D18</f>
        <v>25749.242424242424</v>
      </c>
      <c r="F18" s="112"/>
      <c r="G18" s="25"/>
      <c r="H18" s="25"/>
      <c r="I18" s="25"/>
    </row>
    <row r="19" spans="1:9">
      <c r="A19" s="36">
        <v>3</v>
      </c>
      <c r="B19" s="67">
        <v>10</v>
      </c>
      <c r="C19" s="112">
        <v>0</v>
      </c>
      <c r="D19" s="55">
        <f>C19/5280</f>
        <v>0</v>
      </c>
      <c r="E19" s="112">
        <f>500*B19*D19</f>
        <v>0</v>
      </c>
      <c r="F19" s="112"/>
      <c r="G19" s="25"/>
      <c r="H19" s="25"/>
      <c r="I19" s="25"/>
    </row>
    <row r="20" spans="1:9">
      <c r="A20" s="36">
        <v>4</v>
      </c>
      <c r="B20" s="67" t="s">
        <v>76</v>
      </c>
      <c r="C20" s="112">
        <f>SUM(C16:C19)</f>
        <v>33989</v>
      </c>
      <c r="D20" s="171">
        <f>SUM(D16:D19)</f>
        <v>6.4373106060606062</v>
      </c>
      <c r="E20" s="112">
        <f>SUM(E16:E19)</f>
        <v>25749.242424242424</v>
      </c>
      <c r="F20" s="112">
        <f>E20*365</f>
        <v>9398473.4848484844</v>
      </c>
      <c r="G20" s="25"/>
      <c r="H20" s="25"/>
      <c r="I20" s="25"/>
    </row>
    <row r="21" spans="1:9">
      <c r="A21" s="36">
        <v>5</v>
      </c>
      <c r="B21" s="67" t="s">
        <v>231</v>
      </c>
      <c r="C21" s="67"/>
      <c r="D21" s="67"/>
      <c r="E21" s="67"/>
      <c r="F21" s="112">
        <f>0.1*D32</f>
        <v>2017241.8</v>
      </c>
      <c r="G21" s="25"/>
      <c r="H21" s="25"/>
      <c r="I21" s="25"/>
    </row>
    <row r="22" spans="1:9">
      <c r="A22" s="36">
        <v>6</v>
      </c>
      <c r="B22" s="67" t="s">
        <v>214</v>
      </c>
      <c r="C22" s="67"/>
      <c r="D22" s="67"/>
      <c r="E22" s="67"/>
      <c r="F22" s="112">
        <f>F20+F21</f>
        <v>11415715.284848485</v>
      </c>
      <c r="G22" s="25"/>
      <c r="H22" s="25"/>
      <c r="I22" s="25"/>
    </row>
    <row r="23" spans="1:9">
      <c r="A23" s="52"/>
      <c r="B23" s="25"/>
      <c r="C23" s="25"/>
      <c r="D23" s="25"/>
      <c r="E23" s="25"/>
      <c r="F23" s="54"/>
      <c r="G23" s="25"/>
      <c r="H23" s="25"/>
      <c r="I23" s="25"/>
    </row>
    <row r="24" spans="1:9">
      <c r="A24" s="36"/>
      <c r="B24" s="67" t="s">
        <v>215</v>
      </c>
      <c r="C24" s="67"/>
      <c r="D24" s="67"/>
      <c r="E24" s="67"/>
      <c r="F24" s="112"/>
      <c r="G24" s="25"/>
      <c r="H24" s="25"/>
      <c r="I24" s="25"/>
    </row>
    <row r="25" spans="1:9">
      <c r="A25" s="36">
        <v>7</v>
      </c>
      <c r="B25" s="67" t="s">
        <v>216</v>
      </c>
      <c r="C25" s="67"/>
      <c r="D25" s="67"/>
      <c r="E25" s="67"/>
      <c r="F25" s="112">
        <f>'F 2'!K30*10^6</f>
        <v>23181200.000000004</v>
      </c>
      <c r="G25" s="25"/>
      <c r="H25" s="25"/>
      <c r="I25" s="25"/>
    </row>
    <row r="26" spans="1:9">
      <c r="A26" s="52"/>
      <c r="B26" s="25"/>
      <c r="C26" s="25"/>
      <c r="D26" s="25"/>
      <c r="E26" s="25"/>
      <c r="F26" s="54"/>
      <c r="G26" s="25"/>
      <c r="H26" s="25"/>
      <c r="I26" s="25"/>
    </row>
    <row r="27" spans="1:9">
      <c r="A27" s="52"/>
      <c r="B27" s="25"/>
      <c r="C27" s="25"/>
      <c r="D27" s="25"/>
      <c r="E27" s="25"/>
      <c r="F27" s="54"/>
      <c r="G27" s="25"/>
      <c r="H27" s="25"/>
      <c r="I27" s="25"/>
    </row>
    <row r="28" spans="1:9">
      <c r="A28" s="36"/>
      <c r="B28" s="67"/>
      <c r="C28" s="67"/>
      <c r="D28" s="67"/>
      <c r="E28" s="67" t="s">
        <v>217</v>
      </c>
      <c r="F28" s="112"/>
      <c r="G28" s="25"/>
      <c r="H28" s="25"/>
      <c r="I28" s="25"/>
    </row>
    <row r="29" spans="1:9">
      <c r="A29" s="36"/>
      <c r="B29" s="67" t="s">
        <v>218</v>
      </c>
      <c r="C29" s="67"/>
      <c r="D29" s="67"/>
      <c r="E29" s="67" t="s">
        <v>219</v>
      </c>
      <c r="F29" s="112"/>
      <c r="G29" s="25"/>
      <c r="H29" s="25"/>
      <c r="I29" s="25"/>
    </row>
    <row r="30" spans="1:9">
      <c r="A30" s="36">
        <v>8</v>
      </c>
      <c r="B30" s="67" t="s">
        <v>220</v>
      </c>
      <c r="C30" s="67"/>
      <c r="D30" s="112">
        <f>'F 10'!K25</f>
        <v>16542478</v>
      </c>
      <c r="E30" s="172">
        <v>0.8</v>
      </c>
      <c r="F30" s="112">
        <f>D30*E30</f>
        <v>13233982.4</v>
      </c>
      <c r="G30" s="25"/>
      <c r="H30" s="25"/>
      <c r="I30" s="25"/>
    </row>
    <row r="31" spans="1:9">
      <c r="A31" s="36">
        <v>9</v>
      </c>
      <c r="B31" s="67" t="s">
        <v>221</v>
      </c>
      <c r="C31" s="67"/>
      <c r="D31" s="112">
        <f>D32-D30</f>
        <v>3629940</v>
      </c>
      <c r="E31" s="172">
        <v>0.9</v>
      </c>
      <c r="F31" s="112">
        <f>D31*E31</f>
        <v>3266946</v>
      </c>
      <c r="G31" s="25"/>
      <c r="H31" s="25"/>
      <c r="I31" s="25"/>
    </row>
    <row r="32" spans="1:9">
      <c r="A32" s="36">
        <v>10</v>
      </c>
      <c r="B32" s="67" t="s">
        <v>222</v>
      </c>
      <c r="C32" s="67"/>
      <c r="D32" s="112">
        <f>'F 10'!O25</f>
        <v>20172418</v>
      </c>
      <c r="E32" s="67"/>
      <c r="F32" s="112">
        <f>SUM(F30:F31)</f>
        <v>16500928.4</v>
      </c>
      <c r="G32" s="25"/>
      <c r="H32" s="25"/>
      <c r="I32" s="25"/>
    </row>
    <row r="33" spans="1:9">
      <c r="A33" s="36"/>
      <c r="B33" s="67"/>
      <c r="C33" s="67"/>
      <c r="D33" s="67"/>
      <c r="E33" s="67"/>
      <c r="F33" s="112"/>
      <c r="G33" s="25"/>
      <c r="H33" s="25"/>
      <c r="I33" s="25"/>
    </row>
    <row r="34" spans="1:9">
      <c r="A34" s="36"/>
      <c r="B34" s="67"/>
      <c r="C34" s="67"/>
      <c r="D34" s="67"/>
      <c r="E34" s="67"/>
      <c r="F34" s="112"/>
      <c r="G34" s="25"/>
      <c r="H34" s="25"/>
      <c r="I34" s="25"/>
    </row>
    <row r="35" spans="1:9">
      <c r="A35" s="36"/>
      <c r="B35" s="67"/>
      <c r="C35" s="67"/>
      <c r="D35" s="67"/>
      <c r="E35" s="67"/>
      <c r="F35" s="112"/>
      <c r="G35" s="25"/>
      <c r="H35" s="25"/>
      <c r="I35" s="25"/>
    </row>
    <row r="36" spans="1:9">
      <c r="A36" s="36"/>
      <c r="B36" s="67"/>
      <c r="C36" s="67"/>
      <c r="D36" s="67"/>
      <c r="E36" s="67"/>
      <c r="F36" s="112"/>
      <c r="G36" s="25"/>
      <c r="H36" s="25"/>
      <c r="I36" s="25"/>
    </row>
    <row r="37" spans="1:9">
      <c r="A37" s="36"/>
      <c r="B37" s="67"/>
      <c r="C37" s="67"/>
      <c r="D37" s="67"/>
      <c r="E37" s="67"/>
      <c r="F37" s="112"/>
      <c r="G37" s="25"/>
      <c r="H37" s="25"/>
      <c r="I37" s="25"/>
    </row>
    <row r="38" spans="1:9">
      <c r="A38" s="36">
        <v>11</v>
      </c>
      <c r="B38" s="67" t="s">
        <v>232</v>
      </c>
      <c r="C38" s="67"/>
      <c r="D38" s="67"/>
      <c r="E38" s="67"/>
      <c r="F38" s="112">
        <f>F25-F32</f>
        <v>6680271.6000000034</v>
      </c>
      <c r="G38" s="25"/>
      <c r="H38" s="25"/>
      <c r="I38" s="25"/>
    </row>
    <row r="39" spans="1:9">
      <c r="A39" s="36">
        <v>12</v>
      </c>
      <c r="B39" s="67" t="s">
        <v>234</v>
      </c>
      <c r="C39" s="67"/>
      <c r="D39" s="67"/>
      <c r="E39" s="67"/>
      <c r="F39" s="112">
        <f>F38-F22</f>
        <v>-4735443.6848484818</v>
      </c>
      <c r="G39" s="25"/>
      <c r="H39" s="25"/>
      <c r="I39" s="25"/>
    </row>
    <row r="40" spans="1:9">
      <c r="A40" s="36">
        <v>13</v>
      </c>
      <c r="B40" s="67" t="s">
        <v>233</v>
      </c>
      <c r="C40" s="67"/>
      <c r="D40" s="67"/>
      <c r="E40" s="67"/>
      <c r="F40" s="112">
        <f>IF(F38&gt;F22,F39,0)</f>
        <v>0</v>
      </c>
      <c r="G40" s="25"/>
      <c r="H40" s="25"/>
      <c r="I40" s="25"/>
    </row>
    <row r="41" spans="1:9">
      <c r="A41" s="36">
        <v>14</v>
      </c>
      <c r="B41" s="67" t="s">
        <v>223</v>
      </c>
      <c r="C41" s="67"/>
      <c r="D41" s="67"/>
      <c r="E41" s="67"/>
      <c r="F41" s="69">
        <f>F40/F25</f>
        <v>0</v>
      </c>
      <c r="G41" s="25"/>
      <c r="H41" s="25"/>
      <c r="I41" s="25"/>
    </row>
    <row r="42" spans="1:9">
      <c r="A42" s="27"/>
      <c r="B42" s="27"/>
      <c r="C42" s="27"/>
      <c r="D42" s="27"/>
      <c r="E42" s="27"/>
      <c r="F42" s="27"/>
      <c r="G42" s="27"/>
      <c r="H42" s="27"/>
      <c r="I42" s="27"/>
    </row>
  </sheetData>
  <pageMargins left="0.7" right="0.7" top="0.75" bottom="0.75" header="0.3" footer="0.3"/>
  <pageSetup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46"/>
  <sheetViews>
    <sheetView showGridLines="0" workbookViewId="0">
      <selection activeCell="A2" sqref="A2"/>
    </sheetView>
  </sheetViews>
  <sheetFormatPr defaultColWidth="8.7109375" defaultRowHeight="12"/>
  <cols>
    <col min="1" max="1" width="4.7109375" style="2" customWidth="1"/>
    <col min="2" max="5" width="8.7109375" style="2" customWidth="1"/>
    <col min="6" max="6" width="24.7109375" style="2" customWidth="1"/>
    <col min="7" max="7" width="13.7109375" style="2" customWidth="1"/>
    <col min="8" max="8" width="3.7109375" style="2" customWidth="1"/>
    <col min="9" max="9" width="15.42578125" style="2" customWidth="1"/>
    <col min="10" max="16384" width="8.7109375" style="2"/>
  </cols>
  <sheetData>
    <row r="1" spans="1:10" ht="12.75">
      <c r="A1" s="134" t="s">
        <v>107</v>
      </c>
      <c r="B1" s="67"/>
      <c r="C1" s="67"/>
      <c r="D1" s="67"/>
      <c r="E1" s="67"/>
      <c r="F1" s="67"/>
      <c r="G1" s="134" t="s">
        <v>48</v>
      </c>
      <c r="H1" s="67"/>
      <c r="I1" s="25"/>
      <c r="J1" s="25"/>
    </row>
    <row r="2" spans="1:10" ht="12.75">
      <c r="A2" s="134" t="s">
        <v>33</v>
      </c>
      <c r="B2" s="67"/>
      <c r="C2" s="67"/>
      <c r="D2" s="67"/>
      <c r="E2" s="67"/>
      <c r="F2" s="67"/>
      <c r="G2" s="67"/>
      <c r="H2" s="67"/>
      <c r="I2" s="25"/>
      <c r="J2" s="25"/>
    </row>
    <row r="3" spans="1:10" ht="12.75">
      <c r="A3" s="67"/>
      <c r="B3" s="67"/>
      <c r="C3" s="67"/>
      <c r="D3" s="67"/>
      <c r="E3" s="67"/>
      <c r="F3" s="67"/>
      <c r="G3" s="67"/>
      <c r="H3" s="67"/>
      <c r="I3" s="25"/>
      <c r="J3" s="25"/>
    </row>
    <row r="4" spans="1:10" ht="12.75">
      <c r="A4" s="134" t="str">
        <f>'F 1'!A4</f>
        <v xml:space="preserve">Company:  Utilities, Inc. of Florida - Labrador </v>
      </c>
      <c r="B4" s="67"/>
      <c r="C4" s="67"/>
      <c r="D4" s="67"/>
      <c r="E4" s="67"/>
      <c r="F4" s="67"/>
      <c r="G4" s="134" t="s">
        <v>34</v>
      </c>
      <c r="H4" s="67"/>
      <c r="I4" s="25"/>
      <c r="J4" s="25"/>
    </row>
    <row r="5" spans="1:10" ht="12.75">
      <c r="A5" s="134" t="str">
        <f>'F 1'!A5</f>
        <v>Docket No.: 20200139-WS</v>
      </c>
      <c r="B5" s="67"/>
      <c r="C5" s="67"/>
      <c r="D5" s="67"/>
      <c r="E5" s="67"/>
      <c r="F5" s="67"/>
      <c r="G5" s="134" t="s">
        <v>51</v>
      </c>
      <c r="H5" s="67"/>
      <c r="I5" s="25"/>
      <c r="J5" s="25"/>
    </row>
    <row r="6" spans="1:10" ht="12.75">
      <c r="A6" s="134" t="str">
        <f>'F 1'!A6</f>
        <v>Test Year Ended:  December 31, 2019</v>
      </c>
      <c r="B6" s="67"/>
      <c r="C6" s="58"/>
      <c r="D6" s="67"/>
      <c r="E6" s="67"/>
      <c r="F6" s="67"/>
      <c r="G6" s="134" t="str">
        <f>'F 1'!J5</f>
        <v>Preparer:  Seidman, F.</v>
      </c>
      <c r="H6" s="67"/>
      <c r="I6" s="25"/>
      <c r="J6" s="25"/>
    </row>
    <row r="7" spans="1:10" ht="12.75">
      <c r="A7" s="67"/>
      <c r="B7" s="67"/>
      <c r="C7" s="67"/>
      <c r="D7" s="67"/>
      <c r="E7" s="67"/>
      <c r="F7" s="67"/>
      <c r="G7" s="67"/>
      <c r="H7" s="67"/>
      <c r="I7" s="25"/>
      <c r="J7" s="25"/>
    </row>
    <row r="8" spans="1:10" ht="12.75">
      <c r="A8" s="134" t="s">
        <v>35</v>
      </c>
      <c r="B8" s="67"/>
      <c r="C8" s="67"/>
      <c r="D8" s="67"/>
      <c r="E8" s="67"/>
      <c r="F8" s="67"/>
      <c r="G8" s="67"/>
      <c r="H8" s="67"/>
      <c r="I8" s="25"/>
      <c r="J8" s="25"/>
    </row>
    <row r="9" spans="1:10" ht="12.75">
      <c r="A9" s="134" t="s">
        <v>36</v>
      </c>
      <c r="B9" s="67"/>
      <c r="C9" s="67"/>
      <c r="D9" s="67"/>
      <c r="E9" s="67"/>
      <c r="F9" s="67"/>
      <c r="G9" s="67"/>
      <c r="H9" s="67"/>
      <c r="I9" s="25"/>
      <c r="J9" s="25"/>
    </row>
    <row r="10" spans="1:10" ht="12.75">
      <c r="A10" s="134" t="s">
        <v>37</v>
      </c>
      <c r="B10" s="67"/>
      <c r="C10" s="67"/>
      <c r="D10" s="67"/>
      <c r="E10" s="67"/>
      <c r="F10" s="67"/>
      <c r="G10" s="67"/>
      <c r="H10" s="67"/>
      <c r="I10" s="25"/>
      <c r="J10" s="25"/>
    </row>
    <row r="11" spans="1:10" ht="12.75">
      <c r="A11" s="134" t="s">
        <v>38</v>
      </c>
      <c r="B11" s="67"/>
      <c r="C11" s="67"/>
      <c r="D11" s="67"/>
      <c r="E11" s="67"/>
      <c r="F11" s="67"/>
      <c r="G11" s="67"/>
      <c r="H11" s="67"/>
      <c r="I11" s="25"/>
      <c r="J11" s="25"/>
    </row>
    <row r="12" spans="1:10" ht="12.75">
      <c r="A12" s="134" t="s">
        <v>39</v>
      </c>
      <c r="B12" s="67"/>
      <c r="C12" s="67"/>
      <c r="D12" s="67"/>
      <c r="E12" s="67"/>
      <c r="F12" s="67"/>
      <c r="G12" s="67"/>
      <c r="H12" s="67"/>
      <c r="I12" s="25"/>
      <c r="J12" s="25"/>
    </row>
    <row r="13" spans="1:10" ht="12.75">
      <c r="A13" s="134" t="s">
        <v>40</v>
      </c>
      <c r="B13" s="67"/>
      <c r="C13" s="67"/>
      <c r="D13" s="67"/>
      <c r="E13" s="67"/>
      <c r="F13" s="67"/>
      <c r="G13" s="67"/>
      <c r="H13" s="67"/>
      <c r="I13" s="25"/>
      <c r="J13" s="25"/>
    </row>
    <row r="14" spans="1:10" ht="12.75">
      <c r="A14" s="134" t="s">
        <v>41</v>
      </c>
      <c r="B14" s="67"/>
      <c r="C14" s="67"/>
      <c r="D14" s="67"/>
      <c r="E14" s="67"/>
      <c r="F14" s="67"/>
      <c r="G14" s="67"/>
      <c r="H14" s="67"/>
      <c r="I14" s="25"/>
      <c r="J14" s="25"/>
    </row>
    <row r="15" spans="1:10" ht="12.75">
      <c r="A15" s="115" t="s">
        <v>56</v>
      </c>
      <c r="B15" s="115" t="s">
        <v>56</v>
      </c>
      <c r="C15" s="115" t="s">
        <v>56</v>
      </c>
      <c r="D15" s="115" t="s">
        <v>56</v>
      </c>
      <c r="E15" s="115" t="s">
        <v>56</v>
      </c>
      <c r="F15" s="115" t="s">
        <v>56</v>
      </c>
      <c r="G15" s="115" t="s">
        <v>56</v>
      </c>
      <c r="H15" s="115" t="s">
        <v>56</v>
      </c>
      <c r="I15" s="51" t="s">
        <v>56</v>
      </c>
      <c r="J15" s="51" t="s">
        <v>56</v>
      </c>
    </row>
    <row r="16" spans="1:10" ht="12.75">
      <c r="A16" s="67"/>
      <c r="B16" s="67"/>
      <c r="C16" s="67"/>
      <c r="D16" s="67"/>
      <c r="E16" s="67"/>
      <c r="F16" s="67"/>
      <c r="G16" s="67"/>
      <c r="H16" s="67"/>
      <c r="I16" s="25"/>
      <c r="J16" s="25"/>
    </row>
    <row r="17" spans="1:10" ht="12.75">
      <c r="A17" s="134" t="s">
        <v>42</v>
      </c>
      <c r="B17" s="67"/>
      <c r="C17" s="67"/>
      <c r="D17" s="67"/>
      <c r="E17" s="67"/>
      <c r="F17" s="67"/>
      <c r="G17" s="314"/>
      <c r="H17" s="314"/>
      <c r="I17" s="25"/>
      <c r="J17" s="25"/>
    </row>
    <row r="18" spans="1:10" ht="12.75">
      <c r="A18" s="25"/>
      <c r="B18" s="25"/>
      <c r="C18" s="25"/>
      <c r="D18" s="25"/>
      <c r="E18" s="25"/>
      <c r="F18" s="25"/>
      <c r="G18" s="25"/>
      <c r="H18" s="25"/>
      <c r="I18" s="25"/>
      <c r="J18" s="25"/>
    </row>
    <row r="19" spans="1:10" customFormat="1" ht="12.75">
      <c r="A19" s="25"/>
      <c r="B19" s="25"/>
      <c r="C19" s="25"/>
      <c r="D19" s="25"/>
      <c r="E19" s="25"/>
      <c r="F19" s="25"/>
      <c r="G19" s="25"/>
      <c r="H19" s="25"/>
      <c r="I19" s="25"/>
      <c r="J19" s="25"/>
    </row>
    <row r="20" spans="1:10" customFormat="1" ht="12.75">
      <c r="A20" s="25"/>
      <c r="B20" s="25"/>
      <c r="C20" s="25"/>
      <c r="D20" s="25"/>
      <c r="E20" s="25"/>
      <c r="F20" s="25"/>
      <c r="G20" s="25"/>
      <c r="H20" s="25"/>
      <c r="I20" s="25"/>
      <c r="J20" s="25"/>
    </row>
    <row r="21" spans="1:10" customFormat="1" ht="12.75">
      <c r="A21" s="25"/>
      <c r="B21" s="130" t="s">
        <v>279</v>
      </c>
      <c r="C21" s="25"/>
      <c r="D21" s="25"/>
      <c r="E21" s="25"/>
      <c r="F21" s="25"/>
      <c r="G21" s="25"/>
      <c r="H21" s="25"/>
      <c r="I21" s="25"/>
      <c r="J21" s="25"/>
    </row>
    <row r="22" spans="1:10" customFormat="1" ht="12.75">
      <c r="A22" s="25"/>
      <c r="B22" s="67"/>
      <c r="C22" s="25"/>
      <c r="D22" s="25"/>
      <c r="E22" s="25"/>
      <c r="F22" s="25"/>
      <c r="G22" s="25"/>
      <c r="H22" s="25"/>
      <c r="I22" s="25"/>
      <c r="J22" s="25"/>
    </row>
    <row r="23" spans="1:10" customFormat="1" ht="12.75">
      <c r="B23" s="67" t="s">
        <v>390</v>
      </c>
      <c r="C23" s="25"/>
      <c r="D23" s="25"/>
      <c r="E23" s="25"/>
      <c r="F23" s="25"/>
      <c r="G23" s="25"/>
    </row>
    <row r="24" spans="1:10" customFormat="1" ht="12.75">
      <c r="B24" s="67" t="s">
        <v>336</v>
      </c>
      <c r="C24" s="25"/>
      <c r="D24" s="25"/>
      <c r="E24" s="25"/>
      <c r="F24" s="25"/>
      <c r="G24" s="25"/>
    </row>
    <row r="25" spans="1:10" customFormat="1" ht="12.75"/>
    <row r="26" spans="1:10" customFormat="1" ht="12.75"/>
    <row r="27" spans="1:10" customFormat="1" ht="12.75"/>
    <row r="28" spans="1:10" customFormat="1" ht="12.75"/>
    <row r="29" spans="1:10" customFormat="1" ht="12.75"/>
    <row r="30" spans="1:10" customFormat="1" ht="12.75"/>
    <row r="31" spans="1:10" customFormat="1" ht="12.75"/>
    <row r="32" spans="1:10" customFormat="1" ht="12.75"/>
    <row r="33" spans="5:6" customFormat="1" ht="12.75"/>
    <row r="34" spans="5:6" customFormat="1" ht="12.75"/>
    <row r="35" spans="5:6" customFormat="1" ht="12.75"/>
    <row r="36" spans="5:6" customFormat="1" ht="12.75"/>
    <row r="37" spans="5:6" customFormat="1" ht="12.75"/>
    <row r="38" spans="5:6" customFormat="1" ht="24">
      <c r="F38" s="23"/>
    </row>
    <row r="39" spans="5:6" customFormat="1" ht="12.75"/>
    <row r="40" spans="5:6" customFormat="1" ht="12.75"/>
    <row r="41" spans="5:6" customFormat="1" ht="12.75"/>
    <row r="42" spans="5:6" customFormat="1" ht="12.75"/>
    <row r="43" spans="5:6" customFormat="1" ht="12.75"/>
    <row r="44" spans="5:6" customFormat="1" ht="12.75"/>
    <row r="45" spans="5:6" customFormat="1" ht="12.75"/>
    <row r="46" spans="5:6" ht="18.75">
      <c r="E46" s="4"/>
      <c r="F46" s="20"/>
    </row>
  </sheetData>
  <phoneticPr fontId="9" type="noConversion"/>
  <pageMargins left="0.8" right="0.5" top="1" bottom="1" header="0.5" footer="0.5"/>
  <pageSetup scale="8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54"/>
  <sheetViews>
    <sheetView showGridLines="0" topLeftCell="A16" workbookViewId="0">
      <selection activeCell="F35" sqref="F35"/>
    </sheetView>
  </sheetViews>
  <sheetFormatPr defaultColWidth="10.7109375" defaultRowHeight="12"/>
  <cols>
    <col min="1" max="1" width="7.42578125" style="2" customWidth="1"/>
    <col min="2" max="2" width="10.85546875" style="2" customWidth="1"/>
    <col min="3" max="4" width="10.85546875" style="2"/>
    <col min="5" max="5" width="22.7109375" style="2" customWidth="1"/>
    <col min="6" max="6" width="12.28515625" style="2" customWidth="1"/>
    <col min="7" max="7" width="10.140625" style="2" customWidth="1"/>
    <col min="8" max="8" width="14.42578125" style="2" customWidth="1"/>
    <col min="9" max="9" width="10.7109375" style="2" customWidth="1"/>
    <col min="10" max="10" width="8.7109375" style="2" customWidth="1"/>
    <col min="11" max="11" width="13.5703125" style="2" customWidth="1"/>
    <col min="12" max="12" width="8.7109375" style="2" customWidth="1"/>
    <col min="13" max="13" width="3.7109375" style="2" customWidth="1"/>
    <col min="14" max="14" width="1.7109375" style="2" customWidth="1"/>
    <col min="15" max="15" width="8.7109375" style="2" customWidth="1"/>
    <col min="16" max="16" width="1.7109375" style="2" customWidth="1"/>
    <col min="17" max="17" width="8.7109375" style="2" customWidth="1"/>
    <col min="18" max="18" width="1.7109375" style="2" customWidth="1"/>
    <col min="19" max="19" width="8.7109375" style="2" customWidth="1"/>
    <col min="20" max="20" width="1.7109375" style="2" customWidth="1"/>
    <col min="21" max="21" width="8.7109375" style="2" customWidth="1"/>
    <col min="22" max="22" width="1.7109375" style="2" customWidth="1"/>
    <col min="23" max="23" width="11.7109375" style="2" customWidth="1"/>
    <col min="24" max="24" width="1.7109375" style="2" customWidth="1"/>
    <col min="25" max="25" width="8.7109375" style="2" customWidth="1"/>
    <col min="26" max="26" width="1.7109375" style="2" customWidth="1"/>
    <col min="27" max="27" width="11.7109375" style="2" customWidth="1"/>
    <col min="28" max="28" width="1.7109375" style="2" customWidth="1"/>
    <col min="29" max="29" width="8.7109375" style="2" customWidth="1"/>
    <col min="30" max="30" width="1.7109375" style="2" customWidth="1"/>
    <col min="31" max="217" width="8.7109375" style="2" customWidth="1"/>
    <col min="218" max="16384" width="10.7109375" style="2"/>
  </cols>
  <sheetData>
    <row r="1" spans="1:12" ht="12.75">
      <c r="A1" s="134" t="s">
        <v>43</v>
      </c>
      <c r="B1" s="67"/>
      <c r="C1" s="67"/>
      <c r="D1" s="67"/>
      <c r="E1" s="67"/>
      <c r="F1" s="67"/>
      <c r="G1" s="67"/>
      <c r="H1" s="134" t="s">
        <v>48</v>
      </c>
      <c r="I1" s="67"/>
      <c r="J1" s="25"/>
      <c r="K1" s="25"/>
      <c r="L1" s="25"/>
    </row>
    <row r="2" spans="1:12" ht="12.75">
      <c r="A2" s="67"/>
      <c r="B2" s="67"/>
      <c r="C2" s="67"/>
      <c r="D2" s="67"/>
      <c r="E2" s="67"/>
      <c r="F2" s="67"/>
      <c r="G2" s="67"/>
      <c r="H2" s="67"/>
      <c r="I2" s="67"/>
      <c r="J2" s="25"/>
      <c r="K2" s="25"/>
      <c r="L2" s="25"/>
    </row>
    <row r="3" spans="1:12" ht="12.75">
      <c r="A3" s="134" t="str">
        <f>'F 1'!A4</f>
        <v xml:space="preserve">Company:  Utilities, Inc. of Florida - Labrador </v>
      </c>
      <c r="B3" s="67"/>
      <c r="C3" s="67"/>
      <c r="D3" s="67"/>
      <c r="E3" s="67"/>
      <c r="F3" s="67"/>
      <c r="G3" s="67"/>
      <c r="H3" s="134" t="s">
        <v>44</v>
      </c>
      <c r="I3" s="67"/>
      <c r="J3" s="25"/>
      <c r="K3" s="25"/>
      <c r="L3" s="25"/>
    </row>
    <row r="4" spans="1:12" ht="12.75">
      <c r="A4" s="134" t="str">
        <f>'F 1'!A5</f>
        <v>Docket No.: 20200139-WS</v>
      </c>
      <c r="B4" s="67"/>
      <c r="C4" s="67"/>
      <c r="D4" s="67"/>
      <c r="E4" s="67"/>
      <c r="F4" s="67"/>
      <c r="G4" s="67"/>
      <c r="H4" s="134" t="s">
        <v>51</v>
      </c>
      <c r="I4" s="67"/>
      <c r="J4" s="25"/>
      <c r="K4" s="25"/>
      <c r="L4" s="25"/>
    </row>
    <row r="5" spans="1:12" ht="12.75">
      <c r="A5" s="134" t="str">
        <f>'F 1'!A6</f>
        <v>Test Year Ended:  December 31, 2019</v>
      </c>
      <c r="B5" s="67"/>
      <c r="C5" s="58"/>
      <c r="D5" s="67"/>
      <c r="E5" s="67"/>
      <c r="F5" s="67"/>
      <c r="G5" s="67"/>
      <c r="H5" s="134" t="str">
        <f>'F 1'!J5</f>
        <v>Preparer:  Seidman, F.</v>
      </c>
      <c r="I5" s="67"/>
      <c r="J5" s="25"/>
      <c r="K5" s="25"/>
      <c r="L5" s="25"/>
    </row>
    <row r="6" spans="1:12" ht="12.75">
      <c r="A6" s="67"/>
      <c r="B6" s="67"/>
      <c r="C6" s="67"/>
      <c r="D6" s="67"/>
      <c r="E6" s="67"/>
      <c r="F6" s="67"/>
      <c r="G6" s="67"/>
      <c r="H6" s="67"/>
      <c r="I6" s="67"/>
      <c r="J6" s="25"/>
      <c r="K6" s="25"/>
      <c r="L6" s="25"/>
    </row>
    <row r="7" spans="1:12" ht="12.75">
      <c r="A7" s="134" t="s">
        <v>45</v>
      </c>
      <c r="B7" s="67"/>
      <c r="C7" s="67"/>
      <c r="D7" s="67"/>
      <c r="E7" s="67"/>
      <c r="F7" s="67"/>
      <c r="G7" s="67"/>
      <c r="H7" s="67"/>
      <c r="I7" s="67"/>
      <c r="J7" s="25"/>
      <c r="K7" s="25"/>
      <c r="L7" s="25"/>
    </row>
    <row r="8" spans="1:12" ht="12.75">
      <c r="A8" s="134" t="s">
        <v>46</v>
      </c>
      <c r="B8" s="67"/>
      <c r="C8" s="67"/>
      <c r="D8" s="67"/>
      <c r="E8" s="67"/>
      <c r="F8" s="67"/>
      <c r="G8" s="67"/>
      <c r="H8" s="67"/>
      <c r="I8" s="67"/>
      <c r="J8" s="25"/>
      <c r="K8" s="25"/>
      <c r="L8" s="25"/>
    </row>
    <row r="9" spans="1:12" customFormat="1" ht="12.75">
      <c r="A9" s="66"/>
      <c r="B9" s="66"/>
      <c r="C9" s="66"/>
      <c r="D9" s="66"/>
      <c r="E9" s="66"/>
      <c r="F9" s="66"/>
      <c r="G9" s="66"/>
      <c r="H9" s="66"/>
      <c r="I9" s="66"/>
      <c r="J9" s="66"/>
      <c r="K9" s="66"/>
      <c r="L9" s="25"/>
    </row>
    <row r="10" spans="1:12" ht="12.75">
      <c r="A10" s="25"/>
      <c r="B10" s="25"/>
      <c r="C10" s="67"/>
      <c r="D10" s="25"/>
      <c r="E10" s="25"/>
      <c r="F10" s="25"/>
      <c r="G10" s="25"/>
      <c r="H10" s="25"/>
      <c r="I10" s="25"/>
      <c r="J10" s="25"/>
      <c r="K10" s="25"/>
      <c r="L10" s="25"/>
    </row>
    <row r="11" spans="1:12" ht="12.75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</row>
    <row r="12" spans="1:12" ht="12.75">
      <c r="A12" s="24"/>
      <c r="B12" s="25"/>
      <c r="C12" s="25"/>
      <c r="D12" s="25"/>
      <c r="E12" s="25"/>
      <c r="F12" s="25"/>
      <c r="G12" s="25"/>
      <c r="H12" s="25"/>
      <c r="I12" s="71"/>
      <c r="J12" s="25"/>
      <c r="K12" s="25"/>
      <c r="L12" s="25"/>
    </row>
    <row r="13" spans="1:12" ht="15">
      <c r="A13" s="132" t="s">
        <v>280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</row>
    <row r="14" spans="1:12" ht="12.75">
      <c r="A14" s="25"/>
      <c r="B14" s="25"/>
      <c r="C14" s="25"/>
      <c r="D14" s="25"/>
      <c r="E14" s="47"/>
      <c r="F14" s="25"/>
      <c r="G14" s="25"/>
      <c r="H14" s="25"/>
      <c r="I14" s="25"/>
      <c r="J14" s="25"/>
      <c r="K14" s="25"/>
      <c r="L14" s="25"/>
    </row>
    <row r="15" spans="1:12" customFormat="1" ht="12.75">
      <c r="A15" s="36"/>
      <c r="B15" s="130" t="s">
        <v>281</v>
      </c>
      <c r="C15" s="67"/>
      <c r="D15" s="67"/>
      <c r="E15" s="67"/>
      <c r="F15" s="67"/>
      <c r="G15" s="67"/>
      <c r="H15" s="67"/>
      <c r="I15" s="25"/>
      <c r="J15" s="25"/>
      <c r="K15" s="25"/>
      <c r="L15" s="25"/>
    </row>
    <row r="16" spans="1:12" customFormat="1" ht="12.75">
      <c r="A16" s="25"/>
      <c r="B16" s="67"/>
      <c r="C16" s="67"/>
      <c r="D16" s="67"/>
      <c r="E16" s="67"/>
      <c r="F16" s="67"/>
      <c r="G16" s="67"/>
      <c r="H16" s="67"/>
      <c r="I16" s="25"/>
      <c r="J16" s="25"/>
      <c r="K16" s="25"/>
      <c r="L16" s="25"/>
    </row>
    <row r="17" spans="1:12" customFormat="1" ht="12.75">
      <c r="A17" s="25"/>
      <c r="B17" s="67" t="s">
        <v>282</v>
      </c>
      <c r="C17" s="67"/>
      <c r="D17" s="67"/>
      <c r="E17" s="67"/>
      <c r="F17" s="67"/>
      <c r="G17" s="67"/>
      <c r="H17" s="67"/>
      <c r="I17" s="25"/>
      <c r="J17" s="25"/>
      <c r="K17" s="25"/>
      <c r="L17" s="25"/>
    </row>
    <row r="18" spans="1:12" customFormat="1" ht="12.75">
      <c r="A18" s="25"/>
      <c r="B18" s="67"/>
      <c r="C18" s="67"/>
      <c r="D18" s="67"/>
      <c r="E18" s="67"/>
      <c r="F18" s="67"/>
      <c r="G18" s="67"/>
      <c r="H18" s="67"/>
    </row>
    <row r="19" spans="1:12" customFormat="1" ht="12.75">
      <c r="A19" s="25"/>
      <c r="B19" s="67" t="s">
        <v>283</v>
      </c>
      <c r="C19" s="67"/>
      <c r="D19" s="67"/>
      <c r="E19" s="67"/>
      <c r="F19" s="67"/>
      <c r="G19" s="67"/>
      <c r="H19" s="67"/>
    </row>
    <row r="20" spans="1:12" customFormat="1" ht="12.75">
      <c r="A20" s="25"/>
      <c r="B20" s="67" t="s">
        <v>284</v>
      </c>
      <c r="C20" s="67" t="s">
        <v>285</v>
      </c>
      <c r="D20" s="67"/>
      <c r="E20" s="67"/>
      <c r="F20" s="308">
        <f>'F 9'!Q43</f>
        <v>1.3855600886658859</v>
      </c>
      <c r="G20" s="67" t="s">
        <v>286</v>
      </c>
      <c r="H20" s="117"/>
    </row>
    <row r="21" spans="1:12" customFormat="1" ht="12.75">
      <c r="A21" s="25"/>
      <c r="B21" s="67" t="s">
        <v>287</v>
      </c>
      <c r="C21" s="67" t="s">
        <v>288</v>
      </c>
      <c r="D21" s="67"/>
      <c r="E21" s="67"/>
      <c r="F21" s="67">
        <v>5</v>
      </c>
      <c r="G21" s="67" t="s">
        <v>289</v>
      </c>
      <c r="H21" s="67"/>
    </row>
    <row r="22" spans="1:12" customFormat="1" ht="12.75">
      <c r="A22" s="25"/>
      <c r="B22" s="67" t="s">
        <v>290</v>
      </c>
      <c r="C22" s="67" t="s">
        <v>291</v>
      </c>
      <c r="D22" s="67"/>
      <c r="E22" s="67"/>
      <c r="F22" s="112">
        <f>'F 5'!H30/'F 9'!Q25</f>
        <v>119.67512379426854</v>
      </c>
      <c r="G22" s="67" t="s">
        <v>292</v>
      </c>
      <c r="H22" s="117" t="s">
        <v>293</v>
      </c>
    </row>
    <row r="23" spans="1:12" customFormat="1" ht="12.75">
      <c r="A23" s="25"/>
      <c r="B23" s="67" t="s">
        <v>294</v>
      </c>
      <c r="C23" s="67" t="s">
        <v>295</v>
      </c>
      <c r="D23" s="67"/>
      <c r="E23" s="67"/>
      <c r="F23" s="123">
        <f>F20*F21*F22</f>
        <v>829.08537567743804</v>
      </c>
      <c r="G23" s="67" t="s">
        <v>160</v>
      </c>
      <c r="H23" s="67"/>
    </row>
    <row r="24" spans="1:12" customFormat="1" ht="12.75">
      <c r="A24" s="25"/>
      <c r="B24" s="67"/>
      <c r="C24" s="67"/>
      <c r="D24" s="67"/>
      <c r="E24" s="67" t="s">
        <v>333</v>
      </c>
      <c r="F24" s="67">
        <v>0</v>
      </c>
      <c r="G24" s="67" t="s">
        <v>160</v>
      </c>
      <c r="H24" s="67"/>
    </row>
    <row r="25" spans="1:12" customFormat="1" ht="12.75">
      <c r="A25" s="25"/>
      <c r="B25" s="117"/>
      <c r="C25" s="67"/>
      <c r="D25" s="67"/>
      <c r="E25" s="67"/>
      <c r="F25" s="67"/>
      <c r="G25" s="67"/>
      <c r="H25" s="67"/>
    </row>
    <row r="26" spans="1:12" customFormat="1" ht="12.75">
      <c r="A26" s="25"/>
      <c r="B26" s="117" t="s">
        <v>296</v>
      </c>
      <c r="C26" s="67"/>
      <c r="D26" s="67"/>
      <c r="E26" s="67"/>
      <c r="F26" s="67"/>
      <c r="G26" s="67"/>
      <c r="H26" s="67"/>
    </row>
    <row r="27" spans="1:12" customFormat="1" ht="12.75">
      <c r="A27" s="25"/>
      <c r="B27" s="67"/>
      <c r="C27" s="67"/>
      <c r="D27" s="67"/>
      <c r="E27" s="67"/>
      <c r="F27" s="67"/>
      <c r="G27" s="67"/>
      <c r="H27" s="67"/>
    </row>
    <row r="28" spans="1:12" customFormat="1" ht="12.75">
      <c r="A28" s="25"/>
      <c r="B28" s="67"/>
      <c r="C28" s="67"/>
      <c r="D28" s="67"/>
      <c r="E28" s="67"/>
      <c r="F28" s="67"/>
      <c r="G28" s="67"/>
      <c r="H28" s="67"/>
    </row>
    <row r="29" spans="1:12" customFormat="1" ht="12.75">
      <c r="A29" s="25"/>
      <c r="B29" s="130" t="s">
        <v>297</v>
      </c>
      <c r="C29" s="67"/>
      <c r="D29" s="67"/>
      <c r="E29" s="67"/>
      <c r="F29" s="67"/>
      <c r="G29" s="67"/>
      <c r="H29" s="67"/>
    </row>
    <row r="30" spans="1:12" customFormat="1" ht="12.75">
      <c r="A30" s="25"/>
      <c r="B30" s="67"/>
      <c r="C30" s="67"/>
      <c r="D30" s="67"/>
      <c r="E30" s="67"/>
      <c r="F30" s="67"/>
      <c r="G30" s="67"/>
      <c r="H30" s="67"/>
    </row>
    <row r="31" spans="1:12" customFormat="1" ht="12.75">
      <c r="A31" s="25"/>
      <c r="B31" s="67" t="s">
        <v>282</v>
      </c>
      <c r="C31" s="67"/>
      <c r="D31" s="67"/>
      <c r="E31" s="67"/>
      <c r="F31" s="67"/>
      <c r="G31" s="67"/>
      <c r="H31" s="67"/>
    </row>
    <row r="32" spans="1:12" customFormat="1" ht="12.75">
      <c r="A32" s="25"/>
      <c r="B32" s="67"/>
      <c r="C32" s="67"/>
      <c r="D32" s="67"/>
      <c r="E32" s="67"/>
      <c r="F32" s="67"/>
      <c r="G32" s="67"/>
      <c r="H32" s="67"/>
    </row>
    <row r="33" spans="1:8" customFormat="1" ht="12.75">
      <c r="A33" s="25"/>
      <c r="B33" s="67" t="s">
        <v>283</v>
      </c>
      <c r="C33" s="67"/>
      <c r="D33" s="67"/>
      <c r="E33" s="67"/>
      <c r="F33" s="67"/>
      <c r="G33" s="67"/>
      <c r="H33" s="67"/>
    </row>
    <row r="34" spans="1:8" customFormat="1" ht="12.75">
      <c r="A34" s="25"/>
      <c r="B34" s="67" t="s">
        <v>284</v>
      </c>
      <c r="C34" s="67" t="s">
        <v>298</v>
      </c>
      <c r="D34" s="67"/>
      <c r="E34" s="133"/>
      <c r="F34" s="308">
        <f>'F 10'!Q43+36/5</f>
        <v>8.7345346207300167</v>
      </c>
      <c r="G34" s="67" t="s">
        <v>286</v>
      </c>
      <c r="H34" s="67" t="s">
        <v>299</v>
      </c>
    </row>
    <row r="35" spans="1:8" customFormat="1" ht="12.75">
      <c r="A35" s="25"/>
      <c r="B35" s="67" t="s">
        <v>287</v>
      </c>
      <c r="C35" s="133" t="s">
        <v>288</v>
      </c>
      <c r="D35" s="67"/>
      <c r="E35" s="67"/>
      <c r="F35" s="67">
        <v>5</v>
      </c>
      <c r="G35" s="67" t="s">
        <v>289</v>
      </c>
      <c r="H35" s="67"/>
    </row>
    <row r="36" spans="1:8" customFormat="1" ht="12.75">
      <c r="A36" s="25"/>
      <c r="B36" s="67" t="s">
        <v>290</v>
      </c>
      <c r="C36" s="67" t="s">
        <v>291</v>
      </c>
      <c r="D36" s="67"/>
      <c r="E36" s="67"/>
      <c r="F36" s="112">
        <f>'F 6'!G19/'F 10'!Q25</f>
        <v>76.802517343597614</v>
      </c>
      <c r="G36" s="67" t="s">
        <v>292</v>
      </c>
      <c r="H36" s="117" t="s">
        <v>293</v>
      </c>
    </row>
    <row r="37" spans="1:8" customFormat="1" ht="12.75">
      <c r="A37" s="25"/>
      <c r="B37" s="67" t="s">
        <v>294</v>
      </c>
      <c r="C37" s="67" t="s">
        <v>295</v>
      </c>
      <c r="D37" s="67"/>
      <c r="E37" s="67"/>
      <c r="F37" s="123">
        <f>F34*F35*F36</f>
        <v>3354.1712334843546</v>
      </c>
      <c r="G37" s="67" t="s">
        <v>160</v>
      </c>
      <c r="H37" s="67"/>
    </row>
    <row r="38" spans="1:8" customFormat="1" ht="12.75">
      <c r="A38" s="25"/>
      <c r="B38" s="67"/>
      <c r="C38" s="67"/>
      <c r="D38" s="67"/>
      <c r="E38" s="67"/>
      <c r="F38" s="67"/>
      <c r="G38" s="67"/>
      <c r="H38" s="67"/>
    </row>
    <row r="39" spans="1:8" customFormat="1" ht="12.75">
      <c r="A39" s="25"/>
      <c r="B39" s="117"/>
      <c r="C39" s="67"/>
      <c r="D39" s="67"/>
      <c r="E39" s="67"/>
      <c r="F39" s="67"/>
      <c r="G39" s="67"/>
      <c r="H39" s="67"/>
    </row>
    <row r="40" spans="1:8" customFormat="1" ht="12.75">
      <c r="A40" s="25"/>
      <c r="B40" s="117" t="s">
        <v>394</v>
      </c>
      <c r="C40" s="49"/>
      <c r="D40" s="49"/>
      <c r="E40" s="49"/>
      <c r="F40" s="49"/>
      <c r="G40" s="67"/>
      <c r="H40" s="67"/>
    </row>
    <row r="41" spans="1:8" customFormat="1" ht="12.75">
      <c r="A41" s="25"/>
      <c r="B41" s="67"/>
      <c r="C41" s="67"/>
      <c r="D41" s="67"/>
      <c r="E41" s="67"/>
      <c r="F41" s="67"/>
      <c r="G41" s="67"/>
      <c r="H41" s="67"/>
    </row>
    <row r="42" spans="1:8" customFormat="1" ht="12.75">
      <c r="A42" s="25"/>
      <c r="B42" s="67"/>
      <c r="C42" s="67"/>
      <c r="D42" s="67"/>
      <c r="E42" s="67"/>
      <c r="F42" s="67"/>
      <c r="G42" s="67"/>
      <c r="H42" s="67"/>
    </row>
    <row r="43" spans="1:8" customFormat="1" ht="12.75">
      <c r="A43" s="25"/>
      <c r="B43" s="130" t="s">
        <v>279</v>
      </c>
      <c r="C43" s="67"/>
      <c r="D43" s="67"/>
      <c r="E43" s="67"/>
      <c r="F43" s="67"/>
      <c r="G43" s="67"/>
      <c r="H43" s="67"/>
    </row>
    <row r="44" spans="1:8" customFormat="1" ht="12.75">
      <c r="A44" s="25"/>
      <c r="B44" s="67"/>
      <c r="C44" s="67"/>
      <c r="D44" s="67"/>
      <c r="E44" s="67"/>
      <c r="F44" s="67"/>
      <c r="G44" s="67"/>
      <c r="H44" s="67"/>
    </row>
    <row r="45" spans="1:8" customFormat="1" ht="12.75">
      <c r="A45" s="25"/>
      <c r="B45" s="67" t="s">
        <v>300</v>
      </c>
      <c r="C45" s="67"/>
      <c r="D45" s="67"/>
      <c r="E45" s="67"/>
      <c r="F45" s="67"/>
      <c r="G45" s="67"/>
      <c r="H45" s="67"/>
    </row>
    <row r="46" spans="1:8" customFormat="1" ht="12.75">
      <c r="A46" s="25"/>
      <c r="B46" s="67"/>
      <c r="C46" s="67"/>
      <c r="D46" s="67"/>
      <c r="E46" s="67"/>
      <c r="F46" s="67"/>
      <c r="G46" s="67"/>
      <c r="H46" s="67"/>
    </row>
    <row r="47" spans="1:8" customFormat="1" ht="12.75"/>
    <row r="48" spans="1:8" customFormat="1" ht="24">
      <c r="F48" s="23"/>
    </row>
    <row r="54" spans="5:6" ht="18.75">
      <c r="E54" s="4"/>
      <c r="F54" s="20"/>
    </row>
  </sheetData>
  <phoneticPr fontId="9" type="noConversion"/>
  <pageMargins left="0.8" right="0.5" top="1" bottom="1" header="0.5" footer="0.5"/>
  <pageSetup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45</vt:i4>
      </vt:variant>
    </vt:vector>
  </HeadingPairs>
  <TitlesOfParts>
    <vt:vector size="61" baseType="lpstr">
      <vt:lpstr>F 1</vt:lpstr>
      <vt:lpstr>F 2</vt:lpstr>
      <vt:lpstr>F 3</vt:lpstr>
      <vt:lpstr>F 4</vt:lpstr>
      <vt:lpstr>F 5</vt:lpstr>
      <vt:lpstr>F 6</vt:lpstr>
      <vt:lpstr>F 6 (2)</vt:lpstr>
      <vt:lpstr>F 7</vt:lpstr>
      <vt:lpstr>F 8</vt:lpstr>
      <vt:lpstr>F 9</vt:lpstr>
      <vt:lpstr>F 10</vt:lpstr>
      <vt:lpstr>W2019</vt:lpstr>
      <vt:lpstr>FLOW2019</vt:lpstr>
      <vt:lpstr>WW2019</vt:lpstr>
      <vt:lpstr>Sales2019</vt:lpstr>
      <vt:lpstr>Plant</vt:lpstr>
      <vt:lpstr>_pri0061</vt:lpstr>
      <vt:lpstr>'F 2'!_pri0062</vt:lpstr>
      <vt:lpstr>'F 5'!_pri0065</vt:lpstr>
      <vt:lpstr>'F 6'!_pri0066</vt:lpstr>
      <vt:lpstr>'F 5'!_pri0067</vt:lpstr>
      <vt:lpstr>'F 8'!_pri0067</vt:lpstr>
      <vt:lpstr>'F 5'!_pri0068</vt:lpstr>
      <vt:lpstr>'F 8'!_pri0068</vt:lpstr>
      <vt:lpstr>'F 6'!ERC_S</vt:lpstr>
      <vt:lpstr>'F 10'!ERC_W</vt:lpstr>
      <vt:lpstr>'F 9'!ERC_W</vt:lpstr>
      <vt:lpstr>F_1</vt:lpstr>
      <vt:lpstr>F_2</vt:lpstr>
      <vt:lpstr>F_3</vt:lpstr>
      <vt:lpstr>F_4</vt:lpstr>
      <vt:lpstr>F_5</vt:lpstr>
      <vt:lpstr>F_6</vt:lpstr>
      <vt:lpstr>F_7</vt:lpstr>
      <vt:lpstr>F_8</vt:lpstr>
      <vt:lpstr>'F 10'!F_9</vt:lpstr>
      <vt:lpstr>F_9</vt:lpstr>
      <vt:lpstr>'F 5'!MARGIN</vt:lpstr>
      <vt:lpstr>'F 6'!MARGIN</vt:lpstr>
      <vt:lpstr>'F 1'!Print_Area</vt:lpstr>
      <vt:lpstr>'F 10'!Print_Area</vt:lpstr>
      <vt:lpstr>'F 2'!Print_Area</vt:lpstr>
      <vt:lpstr>'F 3'!Print_Area</vt:lpstr>
      <vt:lpstr>'F 4'!Print_Area</vt:lpstr>
      <vt:lpstr>'F 5'!Print_Area</vt:lpstr>
      <vt:lpstr>'F 6'!Print_Area</vt:lpstr>
      <vt:lpstr>'F 6 (2)'!Print_Area</vt:lpstr>
      <vt:lpstr>'F 7'!Print_Area</vt:lpstr>
      <vt:lpstr>'F 8'!Print_Area</vt:lpstr>
      <vt:lpstr>'F 9'!Print_Area</vt:lpstr>
      <vt:lpstr>FLOW2019!Print_Area</vt:lpstr>
      <vt:lpstr>Plant!Print_Area</vt:lpstr>
      <vt:lpstr>'WW2019'!Print_Area</vt:lpstr>
      <vt:lpstr>PUMPED</vt:lpstr>
      <vt:lpstr>'F 4'!S_STATS</vt:lpstr>
      <vt:lpstr>'F 2'!TREATED</vt:lpstr>
      <vt:lpstr>TREATED</vt:lpstr>
      <vt:lpstr>'F 5'!U_U_MAINS</vt:lpstr>
      <vt:lpstr>'F 5'!U_U_SEWER</vt:lpstr>
      <vt:lpstr>'F 5'!U_U_WATER</vt:lpstr>
      <vt:lpstr>'F 3'!W_STATS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Frank Radigan</cp:lastModifiedBy>
  <cp:lastPrinted>2020-06-15T16:49:40Z</cp:lastPrinted>
  <dcterms:created xsi:type="dcterms:W3CDTF">2002-03-03T13:31:45Z</dcterms:created>
  <dcterms:modified xsi:type="dcterms:W3CDTF">2020-10-31T17:17:59Z</dcterms:modified>
</cp:coreProperties>
</file>