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22500" yWindow="2370" windowWidth="28425" windowHeight="15375" tabRatio="781" firstSheet="1" activeTab="3"/>
  </bookViews>
  <sheets>
    <sheet name="Summary" sheetId="12" state="hidden" r:id="rId1"/>
    <sheet name="Input" sheetId="14" r:id="rId2"/>
    <sheet name="Fees Summary" sheetId="13" r:id="rId3"/>
    <sheet name="Page 1 TOER" sheetId="11" r:id="rId4"/>
    <sheet name="Page 2 TOEC" sheetId="5" r:id="rId5"/>
    <sheet name="Page 3 RCNP Res" sheetId="3" r:id="rId6"/>
    <sheet name="Page 4 RCNP Com" sheetId="6" r:id="rId7"/>
    <sheet name="Page 5 DISC" sheetId="7" r:id="rId8"/>
    <sheet name="Page 6 MRIO" sheetId="8" r:id="rId9"/>
    <sheet name="Page 7 DTAG" sheetId="9" r:id="rId10"/>
    <sheet name="Page 8 Failed Trip" sheetId="10" r:id="rId11"/>
    <sheet name="9 of 10" sheetId="15" r:id="rId12"/>
    <sheet name="10 of 10" sheetId="16" r:id="rId13"/>
  </sheets>
  <definedNames>
    <definedName name="_xlnm.Print_Area" localSheetId="12">'10 of 10'!$A$2:$J$39</definedName>
    <definedName name="_xlnm.Print_Area" localSheetId="11">'9 of 10'!$A$2:$J$47</definedName>
    <definedName name="_xlnm.Print_Area" localSheetId="2">'Fees Summary'!$D$4:$W$41</definedName>
    <definedName name="_xlnm.Print_Area" localSheetId="3">'Page 1 TOER'!$A$2:$M$100</definedName>
    <definedName name="_xlnm.Print_Area" localSheetId="4">'Page 2 TOEC'!$A$2:$L$86</definedName>
    <definedName name="_xlnm.Print_Area" localSheetId="5">'Page 3 RCNP Res'!$A$2:$L$94</definedName>
    <definedName name="_xlnm.Print_Area" localSheetId="6">'Page 4 RCNP Com'!$A$2:$L$93</definedName>
    <definedName name="_xlnm.Print_Area" localSheetId="7">'Page 5 DISC'!$A$2:$L$84</definedName>
    <definedName name="_xlnm.Print_Area" localSheetId="8">'Page 6 MRIO'!$A$2:$L$49</definedName>
    <definedName name="_xlnm.Print_Area" localSheetId="9">'Page 7 DTAG'!$A$2:$M$52</definedName>
    <definedName name="_xlnm.Print_Area" localSheetId="10">'Page 8 Failed Trip'!$A$2:$K$56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8" i="6" l="1"/>
  <c r="A50" i="3"/>
  <c r="A8" i="15" l="1"/>
  <c r="A46" i="6" l="1"/>
  <c r="A46" i="7"/>
  <c r="D44" i="7" l="1"/>
  <c r="D46" i="6"/>
  <c r="D44" i="3"/>
  <c r="A45" i="5" l="1"/>
  <c r="H18" i="16"/>
  <c r="H19" i="16" s="1"/>
  <c r="H24" i="16" s="1"/>
  <c r="H26" i="16" s="1"/>
  <c r="I6" i="16"/>
  <c r="I5" i="16"/>
  <c r="I4" i="16"/>
  <c r="A8" i="16"/>
  <c r="I5" i="15"/>
  <c r="I4" i="15"/>
  <c r="I6" i="15"/>
  <c r="I19" i="15"/>
  <c r="F20" i="15"/>
  <c r="H23" i="15"/>
  <c r="I23" i="15"/>
  <c r="H26" i="15"/>
  <c r="I26" i="15"/>
  <c r="H29" i="15"/>
  <c r="I29" i="15"/>
  <c r="F30" i="15"/>
  <c r="I35" i="11"/>
  <c r="I25" i="11"/>
  <c r="I6" i="10"/>
  <c r="I5" i="10"/>
  <c r="I4" i="10"/>
  <c r="I26" i="10"/>
  <c r="I35" i="10"/>
  <c r="F42" i="10"/>
  <c r="I53" i="10" s="1"/>
  <c r="I42" i="10"/>
  <c r="A8" i="10"/>
  <c r="E23" i="9"/>
  <c r="H31" i="9" s="1"/>
  <c r="J16" i="9"/>
  <c r="M16" i="9" s="1"/>
  <c r="J23" i="9"/>
  <c r="M23" i="9" s="1"/>
  <c r="K6" i="9"/>
  <c r="K5" i="9"/>
  <c r="K4" i="9"/>
  <c r="A8" i="9"/>
  <c r="J6" i="8"/>
  <c r="J5" i="8"/>
  <c r="J4" i="8"/>
  <c r="A8" i="8"/>
  <c r="I25" i="8"/>
  <c r="F59" i="7"/>
  <c r="I71" i="7" s="1"/>
  <c r="K5" i="7"/>
  <c r="K47" i="7" s="1"/>
  <c r="K6" i="7"/>
  <c r="K48" i="7" s="1"/>
  <c r="K4" i="7"/>
  <c r="K46" i="7" s="1"/>
  <c r="A8" i="7"/>
  <c r="A50" i="7" s="1"/>
  <c r="I36" i="6"/>
  <c r="I26" i="6"/>
  <c r="A8" i="6"/>
  <c r="A52" i="6" s="1"/>
  <c r="J6" i="6"/>
  <c r="J50" i="6" s="1"/>
  <c r="J5" i="6"/>
  <c r="J49" i="6" s="1"/>
  <c r="J4" i="6"/>
  <c r="J48" i="6" s="1"/>
  <c r="A9" i="3"/>
  <c r="J7" i="3"/>
  <c r="J48" i="3" s="1"/>
  <c r="J6" i="3"/>
  <c r="J47" i="3" s="1"/>
  <c r="J5" i="3"/>
  <c r="J46" i="3" s="1"/>
  <c r="I32" i="3"/>
  <c r="I24" i="3"/>
  <c r="K30" i="5"/>
  <c r="J6" i="5"/>
  <c r="J43" i="5" s="1"/>
  <c r="J5" i="5"/>
  <c r="J42" i="5" s="1"/>
  <c r="A8" i="5"/>
  <c r="K22" i="5"/>
  <c r="K18" i="5"/>
  <c r="F30" i="10"/>
  <c r="I30" i="10" s="1"/>
  <c r="G16" i="9"/>
  <c r="H16" i="9" s="1"/>
  <c r="F31" i="8"/>
  <c r="I42" i="8" s="1"/>
  <c r="I24" i="7"/>
  <c r="F29" i="7"/>
  <c r="I29" i="7" s="1"/>
  <c r="F34" i="7"/>
  <c r="F31" i="6"/>
  <c r="I31" i="6" s="1"/>
  <c r="F59" i="6"/>
  <c r="F60" i="6"/>
  <c r="F66" i="6" s="1"/>
  <c r="F28" i="3"/>
  <c r="I28" i="3" s="1"/>
  <c r="F59" i="3"/>
  <c r="F60" i="3"/>
  <c r="H23" i="5"/>
  <c r="K23" i="5" s="1"/>
  <c r="H53" i="5"/>
  <c r="H54" i="5"/>
  <c r="L5" i="11"/>
  <c r="L54" i="11" s="1"/>
  <c r="L6" i="11"/>
  <c r="L55" i="11" s="1"/>
  <c r="A8" i="11"/>
  <c r="A57" i="11" s="1"/>
  <c r="F30" i="11"/>
  <c r="I30" i="11" s="1"/>
  <c r="F66" i="11"/>
  <c r="F67" i="11"/>
  <c r="O7" i="13"/>
  <c r="W7" i="13"/>
  <c r="O8" i="13"/>
  <c r="W8" i="13"/>
  <c r="O9" i="13"/>
  <c r="O10" i="13"/>
  <c r="O11" i="13"/>
  <c r="S11" i="13"/>
  <c r="W11" i="13"/>
  <c r="O12" i="13"/>
  <c r="S12" i="13"/>
  <c r="W12" i="13"/>
  <c r="O13" i="13"/>
  <c r="O14" i="13"/>
  <c r="O15" i="13"/>
  <c r="W15" i="13"/>
  <c r="O16" i="13"/>
  <c r="W16" i="13"/>
  <c r="O17" i="13"/>
  <c r="O18" i="13"/>
  <c r="W18" i="13"/>
  <c r="E24" i="13"/>
  <c r="E25" i="13"/>
  <c r="E26" i="13"/>
  <c r="E27" i="13"/>
  <c r="E28" i="13"/>
  <c r="K28" i="13"/>
  <c r="E29" i="13"/>
  <c r="K29" i="13"/>
  <c r="E30" i="13"/>
  <c r="K30" i="13"/>
  <c r="E31" i="13"/>
  <c r="K31" i="13"/>
  <c r="E32" i="13"/>
  <c r="E33" i="13"/>
  <c r="E34" i="13"/>
  <c r="G34" i="13"/>
  <c r="I34" i="13"/>
  <c r="E35" i="13"/>
  <c r="I59" i="7"/>
  <c r="I31" i="8" l="1"/>
  <c r="I68" i="7"/>
  <c r="I73" i="7" s="1"/>
  <c r="M37" i="9" s="1"/>
  <c r="I79" i="7"/>
  <c r="I89" i="3" s="1"/>
  <c r="I50" i="10"/>
  <c r="I55" i="10" s="1"/>
  <c r="C16" i="12" s="1"/>
  <c r="D16" i="12" s="1"/>
  <c r="E16" i="12" s="1"/>
  <c r="M31" i="9"/>
  <c r="M34" i="9"/>
  <c r="H34" i="9"/>
  <c r="H23" i="9"/>
  <c r="I39" i="8"/>
  <c r="I47" i="8" s="1"/>
  <c r="C14" i="12" s="1"/>
  <c r="I81" i="6"/>
  <c r="I66" i="6"/>
  <c r="I86" i="6" s="1"/>
  <c r="I93" i="6" s="1"/>
  <c r="C12" i="12" s="1"/>
  <c r="I84" i="6"/>
  <c r="F66" i="3"/>
  <c r="I84" i="3" s="1"/>
  <c r="F72" i="11"/>
  <c r="I90" i="11" s="1"/>
  <c r="H59" i="5"/>
  <c r="K76" i="5" s="1"/>
  <c r="I39" i="15"/>
  <c r="C13" i="12" l="1"/>
  <c r="D13" i="12" s="1"/>
  <c r="E13" i="12" s="1"/>
  <c r="I89" i="6"/>
  <c r="I91" i="6" s="1"/>
  <c r="C10" i="12" s="1"/>
  <c r="I87" i="11"/>
  <c r="I72" i="11"/>
  <c r="I92" i="11" s="1"/>
  <c r="I98" i="11" s="1"/>
  <c r="C7" i="12" s="1"/>
  <c r="G9" i="13" s="1"/>
  <c r="M39" i="9"/>
  <c r="C15" i="12" s="1"/>
  <c r="G17" i="13" s="1"/>
  <c r="K17" i="13" s="1"/>
  <c r="H39" i="9"/>
  <c r="K73" i="5"/>
  <c r="K59" i="5"/>
  <c r="G18" i="13"/>
  <c r="K18" i="13" s="1"/>
  <c r="G16" i="13"/>
  <c r="D14" i="12"/>
  <c r="E14" i="12" s="1"/>
  <c r="D12" i="12"/>
  <c r="E12" i="12" s="1"/>
  <c r="G14" i="13"/>
  <c r="I66" i="3"/>
  <c r="I81" i="3" s="1"/>
  <c r="K78" i="5" l="1"/>
  <c r="K84" i="5" s="1"/>
  <c r="C8" i="12" s="1"/>
  <c r="G15" i="13"/>
  <c r="K15" i="13" s="1"/>
  <c r="I17" i="13"/>
  <c r="I96" i="11"/>
  <c r="C5" i="12" s="1"/>
  <c r="G7" i="13" s="1"/>
  <c r="D15" i="12"/>
  <c r="E15" i="12" s="1"/>
  <c r="I18" i="13"/>
  <c r="K16" i="13"/>
  <c r="I16" i="13"/>
  <c r="G12" i="13"/>
  <c r="D10" i="12"/>
  <c r="E10" i="12" s="1"/>
  <c r="I14" i="13"/>
  <c r="K14" i="13"/>
  <c r="I91" i="3"/>
  <c r="C9" i="12" s="1"/>
  <c r="I86" i="3"/>
  <c r="I93" i="3" s="1"/>
  <c r="C11" i="12" s="1"/>
  <c r="D7" i="12"/>
  <c r="E7" i="12" s="1"/>
  <c r="I9" i="13"/>
  <c r="K9" i="13"/>
  <c r="K82" i="5" l="1"/>
  <c r="C6" i="12" s="1"/>
  <c r="G8" i="13" s="1"/>
  <c r="I15" i="13"/>
  <c r="D5" i="12"/>
  <c r="E5" i="12" s="1"/>
  <c r="I12" i="13"/>
  <c r="K12" i="13"/>
  <c r="G13" i="13"/>
  <c r="D11" i="12"/>
  <c r="E11" i="12" s="1"/>
  <c r="D9" i="12"/>
  <c r="E9" i="12" s="1"/>
  <c r="G11" i="13"/>
  <c r="G10" i="13"/>
  <c r="D8" i="12"/>
  <c r="E8" i="12" s="1"/>
  <c r="I7" i="13"/>
  <c r="K7" i="13"/>
  <c r="D6" i="12" l="1"/>
  <c r="E6" i="12" s="1"/>
  <c r="I11" i="13"/>
  <c r="K11" i="13"/>
  <c r="I13" i="13"/>
  <c r="K13" i="13"/>
  <c r="I10" i="13"/>
  <c r="K10" i="13"/>
  <c r="I8" i="13"/>
  <c r="K8" i="13"/>
</calcChain>
</file>

<file path=xl/sharedStrings.xml><?xml version="1.0" encoding="utf-8"?>
<sst xmlns="http://schemas.openxmlformats.org/spreadsheetml/2006/main" count="847" uniqueCount="299">
  <si>
    <t>SCHEDULE E-3</t>
  </si>
  <si>
    <t>FLORIDA PUBLIC SERVICE COMMISSION</t>
  </si>
  <si>
    <t xml:space="preserve"> </t>
  </si>
  <si>
    <t>DESCRIPTION</t>
  </si>
  <si>
    <t>TIME INVOLVED</t>
  </si>
  <si>
    <t>COST</t>
  </si>
  <si>
    <t>CONNECTION AT SITE:</t>
  </si>
  <si>
    <t>MATERIALS AND SUPPLIES:</t>
  </si>
  <si>
    <t>OVERHEADS:</t>
  </si>
  <si>
    <t>OUTSIDE CONTRACTOR COST:</t>
  </si>
  <si>
    <t>OTHER:</t>
  </si>
  <si>
    <t>(EXPLAIN)</t>
  </si>
  <si>
    <t xml:space="preserve">TOTAL COST OF CONNECTING INITIAL SERVICE </t>
  </si>
  <si>
    <t>TOTAL COST OF RECONNECTING SERVICE AFTER DISCONNECTION FOR CAUSE:</t>
  </si>
  <si>
    <t>MATERIAL AND SUPPLIES:</t>
  </si>
  <si>
    <t>minutes</t>
  </si>
  <si>
    <t>OR BILL COLLECTION AT CUSTOMER PREMISES</t>
  </si>
  <si>
    <t>A FAILED TRIP AND RESCHEDULING OF FAILED TRIP</t>
  </si>
  <si>
    <t>TOTAL COST OF FAILED TRIP AND RESCHEDULING</t>
  </si>
  <si>
    <t>COST STUDY - CONNECTIONS AND RECONNECTIONS</t>
  </si>
  <si>
    <t>EXPLANATION:  PROVIDE THE AMOUNT OF TIME AND THE COST FOR THE INITIAL</t>
  </si>
  <si>
    <t>CONNECTION OF A RESIDENTIAL CUSTOMER</t>
  </si>
  <si>
    <t xml:space="preserve">EXPLANATION:  PROVIDE THE AMOUNT OF TIME AND THE COST FOR THE </t>
  </si>
  <si>
    <t>RECONNECTION OF A RESIDENTIAL CUSTOMER AFTER DISCONNECTION</t>
  </si>
  <si>
    <t>FOR CAUSE</t>
  </si>
  <si>
    <t>RECONNECTION OF A COMMERCIAL CUSTOMER AFTER DISCONNECTION</t>
  </si>
  <si>
    <t>EXPLANATION:  PROVIDE THE COST OF TEMPORARILY DISCONNECTING SERVICE</t>
  </si>
  <si>
    <t>AT CUSTOMER'S REQUEST OR FOR CAUSE</t>
  </si>
  <si>
    <t>EXPLANATION:  PROVIDE THE ADMINISTRATIVE COSTS FOR NAME</t>
  </si>
  <si>
    <t>EXPLANATION:  PROVIDE THE COST OF PROVIDING FINAL NOTICE OF TERMINATION</t>
  </si>
  <si>
    <t>COST STUDY - TRIP/COLLECTION AT CUSTOMER PREMISES CHARGE</t>
  </si>
  <si>
    <t>COST STUDY - FAILED TRIP CHARGE</t>
  </si>
  <si>
    <t>EXPLANATION:  PROVIDE THE AMOUNT OF TIME AND THE COST FOR</t>
  </si>
  <si>
    <t>FINAL TERMINATION NOTICE</t>
  </si>
  <si>
    <t>TOTAL COST OF FINAL TERMINATION NOTICE OR COLLECTING BILL</t>
  </si>
  <si>
    <t>TOTAL COST OF DISCONNECTING SERVICE:</t>
  </si>
  <si>
    <t>INCREMENTAL COST FOR LIGHTING ADDITIONAL UNITS AT SAME PREMISE</t>
  </si>
  <si>
    <t>COST STUDY - ADMINISTRATIVE COST FOR OPENING AN ACCOUNT WHEN METER IS LEFT ON</t>
  </si>
  <si>
    <t>CHANGES  WHEN METER HAS BEEN LEFT ON (METER READ ONLY)</t>
  </si>
  <si>
    <t>CUSTOMER CONTACT: At Regional Call Center</t>
  </si>
  <si>
    <t>RATE PER HOUR</t>
  </si>
  <si>
    <t>A</t>
  </si>
  <si>
    <t>B</t>
  </si>
  <si>
    <t>C</t>
  </si>
  <si>
    <t xml:space="preserve">INTERNAL CONTACTS &amp; PROCESSING </t>
  </si>
  <si>
    <t>D</t>
  </si>
  <si>
    <t xml:space="preserve">C </t>
  </si>
  <si>
    <t xml:space="preserve">One way travel time </t>
  </si>
  <si>
    <t>CUSTOMER CONTACT: Operations</t>
  </si>
  <si>
    <t>E</t>
  </si>
  <si>
    <t>F</t>
  </si>
  <si>
    <t>G</t>
  </si>
  <si>
    <t>H</t>
  </si>
  <si>
    <t>I</t>
  </si>
  <si>
    <t xml:space="preserve">If needed follow minor repair procedures </t>
  </si>
  <si>
    <t>If leak cannot be isolated, install outlet valve with test-T and Union, disconnect houseline and cap. Leave gas on.</t>
  </si>
  <si>
    <t>address browse</t>
  </si>
  <si>
    <t xml:space="preserve">requirements- review acct requirements and service information requirements </t>
  </si>
  <si>
    <t xml:space="preserve">scheduling - work coordinators- sorts </t>
  </si>
  <si>
    <t>collections of payment- payment processing - updating file - k remarks - pay options</t>
  </si>
  <si>
    <t>Communications  - Initial Contact with call center</t>
  </si>
  <si>
    <t xml:space="preserve">Update and set up files </t>
  </si>
  <si>
    <t xml:space="preserve">Inform the customer or confirm: paars- leases- letters of credit - go backs - GSA- TC interaction- direct debit review- budget billing review- e-bill options- web option- pay line </t>
  </si>
  <si>
    <t>Assumptions:</t>
  </si>
  <si>
    <t>Communication - Other Topics</t>
  </si>
  <si>
    <t>COLLECTIONS ACTIVITY IN SUPPORT OF TERMINATION FOR CAUSE</t>
  </si>
  <si>
    <t>TOTAL COST TO PROVIDE THE ADMINISTRATIVE OF A  NAME</t>
  </si>
  <si>
    <t>WORK PERFORMED  AT SITE:</t>
  </si>
  <si>
    <t>"Sorry I Missed"  Your Door Hanger</t>
  </si>
  <si>
    <t>Assuming this is a 48 Hour Final Notice of Termination (TC20)</t>
  </si>
  <si>
    <t>Final Termination Notice door hanger</t>
  </si>
  <si>
    <t>Check customer information. Identify meter by meter number. Determine if job can be completed or reschedule, cancel or confirm that we could not get in. Take meter reading, shut off service valve and lock the meter. Install blind plate/block if needed. Enter remarks and complete order</t>
  </si>
  <si>
    <t>Check customer information. contact customer at site, identify meter by meter number. Determine if job can be completed or reschedule, cancel or confirm that we could not get in. Locate&amp; turn off all appliances or pilots. For existing meter sets, check the condition of the meter, regulator, riser and fittings.  For existing meter sets, check that meter and regulator are operating properly. Record Meter Reading. Check for leakage. If leak found - if possible isolate the leak and disconnect appliance and leave gas on. If not possible leave gas off. Verify test dial movement, verify odor and billing pressure, place equipment into operation or red tag if unsafe, provide information to customer leave at your service booklet, enter remarks and complete order.</t>
  </si>
  <si>
    <t>Insurance and employees benefits are included in hourly rates for each function.</t>
  </si>
  <si>
    <t>Check customer information. contact customer at site, identify meter by meter number. Determine if job can be completed or reschedule, cancel or confirm that we could not get in. Locate&amp; turn off all appliances or pilots. Check the condition of the meter, regulator, riser and fittings. Check that meter and regulator are operating properly. Record Meter Reading. Check for leakage. If leak found - if possible isolate the leak and disconnect appliance and leave gas on. If not possible leave gas off. Verify test dial movement, verify odor and billing pressure, place equipment into operation or red tag if unsafe, provide information to customer leave at your service booklet, enter remarks and complete order.</t>
  </si>
  <si>
    <t>Assumes average of labor rates for Apprentice, Utility Tech, and Sr. Utility Tech</t>
  </si>
  <si>
    <t>Assumes the average labor rates of Customer Service Professional - Sr., Customer Service Professional and Customer Service Professional-Intermediate</t>
  </si>
  <si>
    <t xml:space="preserve">COST </t>
  </si>
  <si>
    <t>36% of the orders require internal interaction</t>
  </si>
  <si>
    <t>Used the average labor rate of work coordinators</t>
  </si>
  <si>
    <t>Less than 1%</t>
  </si>
  <si>
    <t>Used average travel time for TC6 residential orders</t>
  </si>
  <si>
    <t>Used average effort time for TC6 residential orders</t>
  </si>
  <si>
    <t>account set up- customer file, premise file, remarks file, sorts file</t>
  </si>
  <si>
    <t>recap-  process , address- expectation to ensure its success.</t>
  </si>
  <si>
    <t>Fully loaded cost of onsite effort plus contractor allocation</t>
  </si>
  <si>
    <t>Used average effort time for TC6 commercial orders</t>
  </si>
  <si>
    <t>92% of the Temporary Disconnection orders are for cause (TC30)</t>
  </si>
  <si>
    <t xml:space="preserve">5% of the Temporary Disconnection orders result in a field collection of fees or charges. </t>
  </si>
  <si>
    <t>Check customer information. Identify meter by meter number. Determine if job can be completed or reschedule, cancel or confirm that we could not get in. Take meter reading, Enter remarks and complete order.</t>
  </si>
  <si>
    <t>Average Travel  time for TC31 weighted average residential and commercial orders was used</t>
  </si>
  <si>
    <t>Average effort time for TC31weigthed average residential and commercial customer was used</t>
  </si>
  <si>
    <t>Average travel time of a TC72 residential and commercial</t>
  </si>
  <si>
    <t>Average travel time of a TC20 residential and commercial</t>
  </si>
  <si>
    <t>Average effort time of a TC72 residential and commercial</t>
  </si>
  <si>
    <t>Average effort time of a TC20 residential and commercial</t>
  </si>
  <si>
    <t>Technician reviews service order and special instructions. As requested , the technician contacts the customer before dispatching. After contacting the customer the technician will determine whether to Dispatch, Reschedule, or Cancel the order.</t>
  </si>
  <si>
    <t>A customers request for same day service or any special request from the customer generates a call to the Work Coordinator before the order is scheduled. Any same day service order is assigned to the technician by the Work Coordinator. Technician contacts the work coordinator as need to assist with completing the requested call before dispatching or if he needs the order researched.</t>
  </si>
  <si>
    <t>ADMINISTRATION/SUPERVISION</t>
  </si>
  <si>
    <t>Allocation of administrative and supervisory payroll applied to total time charged to job.</t>
  </si>
  <si>
    <t>Replace index as needed</t>
  </si>
  <si>
    <t>Replace regulator as needed</t>
  </si>
  <si>
    <t>Replace meter as needed</t>
  </si>
  <si>
    <t>Perform meter set maintenance as needed</t>
  </si>
  <si>
    <t xml:space="preserve">As needed follow minor repair procedures </t>
  </si>
  <si>
    <t>Collect fees and deposit as needed and leave receipt.</t>
  </si>
  <si>
    <t xml:space="preserve">Used CGI, RTO, CAN, RSC, USC, PRT completion codes to calculate. </t>
  </si>
  <si>
    <t>Meter Valve Grease</t>
  </si>
  <si>
    <t>Leak Detection Soap</t>
  </si>
  <si>
    <t>Yellow Meter Sticker</t>
  </si>
  <si>
    <t>Tags/Locks</t>
  </si>
  <si>
    <t>Rubber Washers</t>
  </si>
  <si>
    <t>Swivels</t>
  </si>
  <si>
    <t>Nuts</t>
  </si>
  <si>
    <t>Admin &amp; Supervisory allocation based on fixed costs and varibale turn-on activity allocation</t>
  </si>
  <si>
    <t>Note</t>
  </si>
  <si>
    <t>Move-In process and set up CRM data</t>
  </si>
  <si>
    <t xml:space="preserve">account set up- customer data, pos id, premise data, record intercation records, </t>
  </si>
  <si>
    <t>scheduling - launch scheduler, pick appointment, read turn on script, record call ahead info/work order notes</t>
  </si>
  <si>
    <t>collections of payment- payment processing - deposit and pay options</t>
  </si>
  <si>
    <t>recap and confir  process , address email contact info</t>
  </si>
  <si>
    <t>A customers request for same day service or any special request from the customer generates a call to the Dispatcher before the order is scheduled. Any same day service order is assigned to the technician by the Dispatcher. Technician contacts the Dispatcher as needed to assist with completing the requested call before dispatching or if he needs the order researched.</t>
  </si>
  <si>
    <t>Technician reviews service order and special instructions. As requested , the technician contacts the customer before dispatching. Discusses en route travel and any special access instructions with customer.</t>
  </si>
  <si>
    <t>At a rate of $34.63 per Hour Loaded Cost</t>
  </si>
  <si>
    <t>Grey Paint</t>
  </si>
  <si>
    <t>Test-T, flare, and flare cap</t>
  </si>
  <si>
    <t>Test-T, flare, flare cap</t>
  </si>
  <si>
    <t>At a rate of $37.36 per Hour Loaded Cost</t>
  </si>
  <si>
    <t xml:space="preserve">Fully loaded cost of onsite effort </t>
  </si>
  <si>
    <t>A customers request for same day service or any special request from the customer generates a call to the Dispatcher before the order is scheduled. Any same day service order is assigned to the technician by the Dispatcher. Technician contacts the dispatcher as need to assist with completing the requested call before dispatching or if he needs the order researched. Dispatcher contacts the technician assigned if there are special instructions (ladder needed, two man job, high pressure, special customer needs).Technician contacts Dispatcher if they need to assist with completing the requested call before dispatching or if he needs the order researched</t>
  </si>
  <si>
    <t>CUSTOMER CONTACT</t>
  </si>
  <si>
    <t xml:space="preserve">Inform the customer direct debit review- budget billing review- e-bill options- web option- pay line </t>
  </si>
  <si>
    <t xml:space="preserve">Inform the customer or confirm: letters of credit - go backs - direct debit review- budget billing review- e-bill options- web option- pay line </t>
  </si>
  <si>
    <t xml:space="preserve">A customers request for same day service or any special request from the customer generates a call to the Work Coordinator before the order is scheduled. Any same day service order is assigned to the technician by the Work Coordinator. Technician contacts the work coordinator as need to assist with completing the requested call before dispatching or if he needs the order researched. </t>
  </si>
  <si>
    <t xml:space="preserve">Dispatcher - Monitor PCAD Dunning screens and dispatch cut order to a technician.  </t>
  </si>
  <si>
    <t>2008 time study minutes used</t>
  </si>
  <si>
    <t>CUSTOMER CONTACT: Customer Request</t>
  </si>
  <si>
    <t>Knock on door, inform customer of disconnection and provide 2 day notice, if no one at customer premise, hang Final Termination Notice door hanger on customer door.</t>
  </si>
  <si>
    <t>Admin &amp; Supervisory allocation based on fixed costs and varibale cut for non pay activity allocation</t>
  </si>
  <si>
    <t>4% of all TOER orders require a MMNT used effort time avg for res orders</t>
  </si>
  <si>
    <t>1% of all TOER require a MCOM used effort time avg for res orders</t>
  </si>
  <si>
    <t>At a rate of $37.72 per Hour Loaded Cost</t>
  </si>
  <si>
    <t>Transportation clearing rate at average $4.9/hour, applied to total time charged to job.</t>
  </si>
  <si>
    <t>Admin &amp; Supervisory allocation based on turn-on activity allocation</t>
  </si>
  <si>
    <t>9.2% of the orders require internal interaction (same day order requests)</t>
  </si>
  <si>
    <t>Current</t>
  </si>
  <si>
    <t>New Calculated</t>
  </si>
  <si>
    <t>Res Turn On</t>
  </si>
  <si>
    <t>Com Turn On</t>
  </si>
  <si>
    <t>Res Reconnect</t>
  </si>
  <si>
    <t>Com Reconnect</t>
  </si>
  <si>
    <t>Disconnect</t>
  </si>
  <si>
    <t>Account Activation Only</t>
  </si>
  <si>
    <t>Trip Charge</t>
  </si>
  <si>
    <t>Missed Appointment</t>
  </si>
  <si>
    <t>Diff</t>
  </si>
  <si>
    <t>Diff%</t>
  </si>
  <si>
    <t>Res Additonal Unit</t>
  </si>
  <si>
    <t>Com Additional Unit</t>
  </si>
  <si>
    <t>Used weighted average job time for TOER residential orders</t>
  </si>
  <si>
    <t>Used weighted average travel time for TOER residential orders</t>
  </si>
  <si>
    <t>Assumes the average labor rates of Customer Service Professionals at differing levels</t>
  </si>
  <si>
    <t>Used weighted average travel time for TOEC commercial orders</t>
  </si>
  <si>
    <t>Used weighted average effort time for TOEC commercial orders</t>
  </si>
  <si>
    <t>4% of all TOEC orders require a Meter Change Out used effort time average for commercial orders</t>
  </si>
  <si>
    <t>6% of all TOEC orders require meter maintenance used effort time average for commercial orders</t>
  </si>
  <si>
    <t>At a rate of $30.95  per Hour Loaded Cost</t>
  </si>
  <si>
    <t>At a rate of $37.56  per Hour Loaded Cost</t>
  </si>
  <si>
    <t>Assumes Avg Weighted Cost of Customer Service Specialists in the Credit and Collection Dept</t>
  </si>
  <si>
    <t>At a rate of $36.82 per Hour Loaded Cost</t>
  </si>
  <si>
    <t>Transportation clearing rate at average$4.9/hour, applied to total time charged to job.</t>
  </si>
  <si>
    <t>No field collections in 2019</t>
  </si>
  <si>
    <t>Check customer information. contact customer at site, identify meter by meter number. Determine if job can be completed or reschedule, cancel or confirm that we could not get in. Locate&amp; turn off all appliances or pilots. For existing meter sets, check the condition of the meter, regulator, riser and fittings.  For existing meter sets, check that meter and regulator are operating properly. Record Meter Reading. Check for leakage. If leak found - if possible isolate the leak and disconnect appliance and leave gas on. If not possible leave gas off. Verify test dial movement, verify odor and billing pressure, place equipment into operation or red tag if unsafe, provide information to customer, enter remarks and complete order.</t>
  </si>
  <si>
    <t>At a rate of $43.34 per Hour Loaded Cost</t>
  </si>
  <si>
    <t>Assumes average of labor rates for  Sr. Utility Tech for commercial work</t>
  </si>
  <si>
    <t>4% of all orders, used effort time average for commercial orders</t>
  </si>
  <si>
    <t>6% of all orders, used effort time average for commercial orders</t>
  </si>
  <si>
    <t>Assumes the average labor rates of commercial customer service reps</t>
  </si>
  <si>
    <t>10% of Disconnect Orders are customer requested, overall under 1% of all orders are same day requested</t>
  </si>
  <si>
    <t>Admin &amp; Supervisory allocation based onvaribale turn-on activity allocation</t>
  </si>
  <si>
    <t>No collections in field in 2019</t>
  </si>
  <si>
    <t>Admin &amp; Supervisory allocation based on varibale turn-on activity allocation</t>
  </si>
  <si>
    <t>BILL COLLECTION AT CUSTOMER PREMISES</t>
  </si>
  <si>
    <t>Wait for customer to arrive, check customer information. Attempt to contact customer at site, identify meter by meter number. Leave a door hanger.</t>
  </si>
  <si>
    <t>Used average travel time for customer generated service orders for turn on and restore appointments</t>
  </si>
  <si>
    <t>At a rate of $30.95 per Hour Loaded Cost</t>
  </si>
  <si>
    <t>Replace index/ERT as needed</t>
  </si>
  <si>
    <t>At Your Service Handbook</t>
  </si>
  <si>
    <t>Avg weighted contractor cost per hour is $89.17, TOERs and RCNPs were performed by contractor labor 8% of time in 2019.</t>
  </si>
  <si>
    <t>Avg weighted contractor cost per hour is $89.13, TOECs and RCNPs were performed by contractor labor 7% of time in 2019.</t>
  </si>
  <si>
    <t>Insuficient statistical data to support calculation at this time</t>
  </si>
  <si>
    <t>10% of disconnect orders are worked by contractors at a weighted average cost of $88.05</t>
  </si>
  <si>
    <t>Same as contractor cost for disconnects</t>
  </si>
  <si>
    <t>Average travel time for disconnect orders. 2019</t>
  </si>
  <si>
    <t>Weighted average effort time for disconnect orders</t>
  </si>
  <si>
    <t>At a rate of $37.44 per Hour Loaded Cost</t>
  </si>
  <si>
    <t>Proposed</t>
  </si>
  <si>
    <t>Same Day or Outside Normal Business Hours (ONH)</t>
  </si>
  <si>
    <t>During Normal Business Hours (DNH)</t>
  </si>
  <si>
    <t>Difference</t>
  </si>
  <si>
    <t>Change</t>
  </si>
  <si>
    <t>Proposed New Price</t>
  </si>
  <si>
    <t>Difference from Current</t>
  </si>
  <si>
    <t>City</t>
  </si>
  <si>
    <t>FPUC</t>
  </si>
  <si>
    <t>Chesapeake</t>
  </si>
  <si>
    <t>Res Turn On $</t>
  </si>
  <si>
    <t>Com Turn On $</t>
  </si>
  <si>
    <t>Res Additional Unit $</t>
  </si>
  <si>
    <t>Com Additional Unit $</t>
  </si>
  <si>
    <t>Res Reconnect $</t>
  </si>
  <si>
    <t>Com Reconnect $</t>
  </si>
  <si>
    <t>Disconnect $</t>
  </si>
  <si>
    <t>Account Activation Only $</t>
  </si>
  <si>
    <t>Trip Charge $</t>
  </si>
  <si>
    <t>Missed Appointment $</t>
  </si>
  <si>
    <t>Note: Chesapeake's ONH fees are 1.5x their DNH fees.  As are PGS.</t>
  </si>
  <si>
    <t>City and FPUC do not have a discounted rate for additional units.</t>
  </si>
  <si>
    <t>City amounts seem very high for commercial turn ons and low for residential reconnects.</t>
  </si>
  <si>
    <t>Red</t>
  </si>
  <si>
    <t>Agreed to backup</t>
  </si>
  <si>
    <t>A customers request for same day service or any special request from the customer generates a call to the Dispatcher before the order is scheduled. Any same day service order is assigned to the technician by the Dispatcher. Technician contacts the Dispatcher as needed to assist with completing the requested call before dispatching or if he/she needs the order researched.</t>
  </si>
  <si>
    <t>Assumes that 2% of commercial accounts inquire about letter of credit or bonds when initiating service which takes on average 30 minutes to complete by a credit and collections team member.</t>
  </si>
  <si>
    <t>Assumes the average labor rates of Dispatchers</t>
  </si>
  <si>
    <t>32% of the orders require internal interaction for same day requests</t>
  </si>
  <si>
    <t>Account Mgr contacts customer and collects new customer data, service and billing info, appliance and load data and calculated a customer deposit</t>
  </si>
  <si>
    <t>Back office move-in performed per Gas Service Agreement by Dispatcher to start account and generate the turn on order for the field.</t>
  </si>
  <si>
    <t>Account Mgr drafts new Gas Service Agreement with information and relays costs, payment options etc to the customer.  Sends GSA to customer electronically for signature.  Generates new customer record in CRM system</t>
  </si>
  <si>
    <t>Assumes the average labor rates of a Commercial Account Manager</t>
  </si>
  <si>
    <t>At a rate of $28.58  per Hour Loaded Cost</t>
  </si>
  <si>
    <t>When a commercial customer calls in for service and meter is off, the call center refers customer to Account Mgr</t>
  </si>
  <si>
    <t>PAGE 1a OF 10</t>
  </si>
  <si>
    <t xml:space="preserve">COST STUDY - CONNECTIONS AND RECONNECTIONS              </t>
  </si>
  <si>
    <t>TYPE OF DATA SHOWN:</t>
  </si>
  <si>
    <t xml:space="preserve">EXPLANATION:  PROVIDE THE AMOUNT OF TIME AND THE COST FOR THE INITIAL               </t>
  </si>
  <si>
    <t>COMPANY:  PEOPLES GAS SYSTEM</t>
  </si>
  <si>
    <t xml:space="preserve">CONNECTION OF A RESIDENTIAL CUSTOMER               </t>
  </si>
  <si>
    <t>HISTORIC BASE YEAR DATA:  12/31/19</t>
  </si>
  <si>
    <t>WITNESS:  M. WHITAKER</t>
  </si>
  <si>
    <t>DOCKET NO.:  20200051-GU</t>
  </si>
  <si>
    <t>PAGE 1b OF 10</t>
  </si>
  <si>
    <t>Move-In process and set up CRM data address browse</t>
  </si>
  <si>
    <t>CONNECTION OF A COMMERCIAL CUSTOMER</t>
  </si>
  <si>
    <t>Update and set up files address browse</t>
  </si>
  <si>
    <t>requirements- review acct requirements and service information requirements scheduling - work coorinators - sorts</t>
  </si>
  <si>
    <t>PAGE 3a OF 10</t>
  </si>
  <si>
    <t>PAGE 2a OF 10</t>
  </si>
  <si>
    <t>PAGE 2b OF 10</t>
  </si>
  <si>
    <t>Cost of disconnection for cause (see page 5 of 10)</t>
  </si>
  <si>
    <t>PAGE 3b OF 10</t>
  </si>
  <si>
    <t xml:space="preserve">TIME INVOLVED </t>
  </si>
  <si>
    <t>PAGE 5b OF 10</t>
  </si>
  <si>
    <t>PAGE 5a OF 10</t>
  </si>
  <si>
    <t>PAGE 8 OF 10</t>
  </si>
  <si>
    <t>PAGE 7 OF 10</t>
  </si>
  <si>
    <t>PAGE 6 OF 10</t>
  </si>
  <si>
    <t>PAGE 4a OF 10</t>
  </si>
  <si>
    <t>PAGE 4b OF 10</t>
  </si>
  <si>
    <t>OTHER:  (EXPLAIN)</t>
  </si>
  <si>
    <t>TOTAL COST OF TERMINATING TRANSPORTATION SERVICE</t>
  </si>
  <si>
    <t>SUPERVISION/ADMINISTRATION:</t>
  </si>
  <si>
    <t>RETURN CUSTOMER TO SYSTEM SUPPLY (PGA) SERVICE:</t>
  </si>
  <si>
    <t>per hour plus fringe.</t>
  </si>
  <si>
    <t>meter status and billing records on SAP at an average rate of $36.45</t>
  </si>
  <si>
    <t>verifies customers Pool Manager and researches customer's account,</t>
  </si>
  <si>
    <t>efforts.  NCTS Administrator reviews affidavit and documentation,</t>
  </si>
  <si>
    <t>affidavit and proof of customer delinquency and Pool Manager's collection</t>
  </si>
  <si>
    <t>termination to NCTS Administrator.  Notice includes notarized</t>
  </si>
  <si>
    <t>NCTS Administrator - Pool Manager provides notice of customer</t>
  </si>
  <si>
    <t>POOL MANAGER CONTACT:</t>
  </si>
  <si>
    <t>RETURNED TO SYSTEM SUPPLY SALES GAS SERVICE</t>
  </si>
  <si>
    <t>TO BE DROPPED BY POOL MANAGER FOR NON-PAYMENT AND</t>
  </si>
  <si>
    <t>COST STUDY - NCTS SERVICE TERMINATION</t>
  </si>
  <si>
    <t>PAGE 9 OF 10</t>
  </si>
  <si>
    <t>Billing factor</t>
  </si>
  <si>
    <t>Annual cost per meter</t>
  </si>
  <si>
    <t>Number of ITS meters</t>
  </si>
  <si>
    <t xml:space="preserve">Allocation:  </t>
  </si>
  <si>
    <t>w/ reg fee and bad debt</t>
  </si>
  <si>
    <t>Software maintenance agreement</t>
  </si>
  <si>
    <t>Telemetry &amp; O&amp;M expense</t>
  </si>
  <si>
    <t>Employee Expenses:</t>
  </si>
  <si>
    <t xml:space="preserve">Costs:  </t>
  </si>
  <si>
    <t>MONTHLY FIXED COMPONENT</t>
  </si>
  <si>
    <t>FOR THE ITS ADMINISTRATION CHARGE</t>
  </si>
  <si>
    <t>EXPLANATION:  PROVIDE THE COST</t>
  </si>
  <si>
    <t>COST STUDY - ITS ADMINISTRATION FEE</t>
  </si>
  <si>
    <t>PAGE 10 OF 10</t>
  </si>
  <si>
    <t>Commercial Billing Analyst verifies customer account data, updates SAP system to reflect customer is PGA customer and effective date at an average rate of $28.69 per hour.</t>
  </si>
  <si>
    <t>NCTS Administrator synchronizes Gas Management System with SAP System by changing Pool Manager to PGA and including the effective date for the transition at an average rate of $34.36 per hour.</t>
  </si>
  <si>
    <t>NCTS Administrator receives call from customer to discuss customer alternatives at an average rate of $34.36 per hour.</t>
  </si>
  <si>
    <t>Technician reviews service order and special instructions. As requested , the technician contacts the customer before dispatching. Discusses enroute travel and any special access instructions with customer.</t>
  </si>
  <si>
    <t>OTHER: (EXPLAIN)</t>
  </si>
  <si>
    <t>As needed collect fees and amounts due,  leave receipt.</t>
  </si>
  <si>
    <t>COST STUDY - CONNECTIONS AND RECONNECTIONS – RESIDENTIAL AFTER DISCONNECTION FOR CAUSE</t>
  </si>
  <si>
    <t>COST STUDY - CONNECTIONS AND RECONNECTIONS - COST OF TEMPORARY DISCONNECT AT CUSTOMER REQUEST</t>
  </si>
  <si>
    <t>COST STUDY - CONNECTIONS AND RECONNECTIONS - COMMERCIAL AFTER DISCONNECTION FOR CAUSE</t>
  </si>
  <si>
    <t>LINE NO.</t>
  </si>
  <si>
    <t>LINE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</si>
</sst>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quot;$&quot;#,##0.00_);\(&quot;$&quot;#,##0.00\)"/>
    <numFmt numFmtId="44" formatCode="_(&quot;$&quot;* #,##0.00_);_(&quot;$&quot;* \(#,##0.00\);_(&quot;$&quot;* &quot;-&quot;??_);_(@_)"/>
    <numFmt numFmtId="43" formatCode="_(* #,##0.00_);_(* \(#,##0.00\);_(* &quot;-&quot;??_);_(@_)"/>
    <numFmt numFmtId="164" formatCode="0_)"/>
    <numFmt numFmtId="165" formatCode="0.00_)"/>
    <numFmt numFmtId="166" formatCode="0.0_)"/>
    <numFmt numFmtId="167" formatCode="&quot;$&quot;#,##0.00"/>
    <numFmt numFmtId="168" formatCode="0.0%"/>
    <numFmt numFmtId="169" formatCode="0.0000_)"/>
  </numFmts>
  <fonts count="31" x14ac:knownFonts="1">
    <font>
      <sz val="10"/>
      <name val="Courier"/>
    </font>
    <font>
      <sz val="10"/>
      <name val="Arial"/>
      <family val="2"/>
    </font>
    <font>
      <sz val="12"/>
      <name val="Arial"/>
      <family val="2"/>
    </font>
    <font>
      <sz val="12"/>
      <name val="Courier"/>
      <family val="3"/>
    </font>
    <font>
      <sz val="8"/>
      <name val="Courier"/>
      <family val="3"/>
    </font>
    <font>
      <b/>
      <vertAlign val="superscript"/>
      <sz val="12"/>
      <name val="Arial"/>
      <family val="2"/>
    </font>
    <font>
      <sz val="10"/>
      <name val="Courier"/>
      <family val="3"/>
    </font>
    <font>
      <u val="doubleAccounting"/>
      <sz val="12"/>
      <name val="Arial"/>
      <family val="2"/>
    </font>
    <font>
      <sz val="11"/>
      <name val="Arial"/>
      <family val="2"/>
    </font>
    <font>
      <sz val="12"/>
      <color indexed="10"/>
      <name val="Arial"/>
      <family val="2"/>
    </font>
    <font>
      <b/>
      <sz val="12"/>
      <color indexed="10"/>
      <name val="Arial"/>
      <family val="2"/>
    </font>
    <font>
      <strike/>
      <sz val="12"/>
      <name val="Arial"/>
      <family val="2"/>
    </font>
    <font>
      <strike/>
      <sz val="12"/>
      <name val="Calibri Light"/>
      <family val="2"/>
    </font>
    <font>
      <strike/>
      <sz val="10"/>
      <name val="Calibri Light"/>
      <family val="2"/>
    </font>
    <font>
      <sz val="12"/>
      <name val="Calibri Light"/>
      <family val="2"/>
    </font>
    <font>
      <sz val="10"/>
      <name val="Calibri Light"/>
      <family val="2"/>
    </font>
    <font>
      <sz val="12"/>
      <name val="Calibri"/>
      <family val="2"/>
    </font>
    <font>
      <b/>
      <sz val="12"/>
      <name val="Calibri"/>
      <family val="2"/>
    </font>
    <font>
      <b/>
      <vertAlign val="superscript"/>
      <sz val="12"/>
      <name val="Calibri Light"/>
      <family val="2"/>
    </font>
    <font>
      <b/>
      <sz val="10"/>
      <name val="Arial"/>
      <family val="2"/>
    </font>
    <font>
      <vertAlign val="superscript"/>
      <sz val="12"/>
      <name val="Arial"/>
      <family val="2"/>
    </font>
    <font>
      <sz val="10"/>
      <name val="Calibri"/>
      <family val="2"/>
    </font>
    <font>
      <sz val="11"/>
      <name val="Calibri"/>
      <family val="2"/>
    </font>
    <font>
      <b/>
      <sz val="10"/>
      <name val="Calibri"/>
      <family val="2"/>
    </font>
    <font>
      <strike/>
      <vertAlign val="superscript"/>
      <sz val="12"/>
      <name val="Arial"/>
      <family val="2"/>
    </font>
    <font>
      <i/>
      <sz val="12"/>
      <color indexed="10"/>
      <name val="Arial"/>
      <family val="2"/>
    </font>
    <font>
      <sz val="10"/>
      <name val="Courier"/>
      <family val="3"/>
    </font>
    <font>
      <sz val="12"/>
      <name val="Courier"/>
      <family val="3"/>
    </font>
    <font>
      <sz val="11"/>
      <color rgb="FFFF0000"/>
      <name val="Calibri"/>
      <family val="2"/>
    </font>
    <font>
      <sz val="12"/>
      <color rgb="FFFF0000"/>
      <name val="Arial"/>
      <family val="2"/>
    </font>
    <font>
      <b/>
      <sz val="12"/>
      <name val="Arial"/>
      <family val="2"/>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7">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medium">
        <color auto="1"/>
      </top>
      <bottom/>
      <diagonal/>
    </border>
    <border>
      <left/>
      <right/>
      <top/>
      <bottom style="medium">
        <color auto="1"/>
      </bottom>
      <diagonal/>
    </border>
    <border>
      <left/>
      <right/>
      <top style="thin">
        <color indexed="64"/>
      </top>
      <bottom/>
      <diagonal/>
    </border>
  </borders>
  <cellStyleXfs count="4">
    <xf numFmtId="164"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07">
    <xf numFmtId="164" fontId="0" fillId="0" borderId="0" xfId="0"/>
    <xf numFmtId="164" fontId="2" fillId="0" borderId="0" xfId="0" applyFont="1"/>
    <xf numFmtId="164" fontId="3" fillId="0" borderId="0" xfId="0" applyFont="1"/>
    <xf numFmtId="164" fontId="2" fillId="0" borderId="1" xfId="0" applyFont="1" applyBorder="1" applyAlignment="1" applyProtection="1">
      <alignment horizontal="fill"/>
    </xf>
    <xf numFmtId="164" fontId="2" fillId="0" borderId="1" xfId="0" applyFont="1" applyBorder="1" applyAlignment="1" applyProtection="1">
      <alignment horizontal="fill" wrapText="1"/>
    </xf>
    <xf numFmtId="164" fontId="2" fillId="0" borderId="1" xfId="0" applyFont="1" applyBorder="1" applyAlignment="1" applyProtection="1">
      <alignment horizontal="centerContinuous"/>
    </xf>
    <xf numFmtId="2" fontId="2" fillId="0" borderId="0" xfId="0" applyNumberFormat="1" applyFont="1"/>
    <xf numFmtId="164" fontId="2" fillId="0" borderId="0" xfId="0" applyFont="1" applyBorder="1"/>
    <xf numFmtId="164" fontId="2" fillId="0" borderId="0" xfId="0" applyFont="1" applyFill="1"/>
    <xf numFmtId="164" fontId="2" fillId="0" borderId="0" xfId="0" applyFont="1" applyFill="1" applyAlignment="1">
      <alignment wrapText="1"/>
    </xf>
    <xf numFmtId="164" fontId="3" fillId="0" borderId="0" xfId="0" applyFont="1" applyFill="1"/>
    <xf numFmtId="164" fontId="2" fillId="0" borderId="0" xfId="0" applyFont="1" applyFill="1" applyBorder="1"/>
    <xf numFmtId="2" fontId="2" fillId="0" borderId="1" xfId="0" applyNumberFormat="1" applyFont="1" applyBorder="1" applyAlignment="1" applyProtection="1">
      <alignment horizontal="centerContinuous"/>
    </xf>
    <xf numFmtId="2" fontId="3" fillId="0" borderId="0" xfId="0" applyNumberFormat="1" applyFont="1"/>
    <xf numFmtId="164" fontId="2" fillId="0" borderId="0" xfId="0" applyFont="1" applyBorder="1" applyAlignment="1" applyProtection="1">
      <alignment horizontal="left"/>
    </xf>
    <xf numFmtId="164" fontId="2" fillId="0" borderId="0" xfId="0" applyFont="1" applyBorder="1" applyAlignment="1">
      <alignment wrapText="1"/>
    </xf>
    <xf numFmtId="164" fontId="2" fillId="0" borderId="0" xfId="0" applyFont="1" applyBorder="1" applyAlignment="1">
      <alignment horizontal="centerContinuous"/>
    </xf>
    <xf numFmtId="2" fontId="2" fillId="0" borderId="0" xfId="0" applyNumberFormat="1" applyFont="1" applyBorder="1" applyAlignment="1">
      <alignment horizontal="centerContinuous"/>
    </xf>
    <xf numFmtId="164" fontId="2" fillId="0" borderId="0" xfId="0" quotePrefix="1" applyFont="1" applyBorder="1" applyAlignment="1" applyProtection="1">
      <alignment horizontal="left"/>
    </xf>
    <xf numFmtId="164" fontId="2" fillId="0" borderId="0" xfId="0" applyFont="1" applyBorder="1" applyAlignment="1" applyProtection="1">
      <alignment horizontal="fill"/>
    </xf>
    <xf numFmtId="164" fontId="2" fillId="0" borderId="0" xfId="0" applyFont="1" applyBorder="1" applyAlignment="1" applyProtection="1">
      <alignment horizontal="fill" wrapText="1"/>
    </xf>
    <xf numFmtId="164" fontId="2" fillId="0" borderId="0" xfId="0" applyFont="1" applyBorder="1" applyAlignment="1" applyProtection="1">
      <alignment horizontal="centerContinuous"/>
    </xf>
    <xf numFmtId="2" fontId="2" fillId="0" borderId="0" xfId="0" applyNumberFormat="1" applyFont="1" applyBorder="1" applyAlignment="1" applyProtection="1">
      <alignment horizontal="centerContinuous"/>
    </xf>
    <xf numFmtId="164" fontId="2" fillId="0" borderId="0" xfId="0" applyFont="1" applyFill="1" applyBorder="1" applyAlignment="1" applyProtection="1">
      <alignment horizontal="centerContinuous"/>
    </xf>
    <xf numFmtId="164" fontId="2" fillId="0" borderId="0" xfId="0" applyFont="1" applyFill="1" applyBorder="1" applyAlignment="1">
      <alignment horizontal="centerContinuous"/>
    </xf>
    <xf numFmtId="2" fontId="2" fillId="0" borderId="0" xfId="0" applyNumberFormat="1" applyFont="1" applyFill="1" applyBorder="1" applyAlignment="1">
      <alignment horizontal="centerContinuous"/>
    </xf>
    <xf numFmtId="2" fontId="2" fillId="0" borderId="0" xfId="0" applyNumberFormat="1" applyFont="1" applyFill="1" applyBorder="1" applyAlignment="1" applyProtection="1">
      <alignment horizontal="centerContinuous"/>
    </xf>
    <xf numFmtId="164" fontId="2" fillId="0" borderId="0" xfId="0" applyFont="1" applyFill="1" applyBorder="1" applyAlignment="1" applyProtection="1">
      <alignment horizontal="fill"/>
    </xf>
    <xf numFmtId="164" fontId="2" fillId="0" borderId="0" xfId="0" quotePrefix="1" applyNumberFormat="1" applyFont="1" applyBorder="1" applyAlignment="1" applyProtection="1">
      <alignment horizontal="left"/>
    </xf>
    <xf numFmtId="164" fontId="2" fillId="0" borderId="0" xfId="0" quotePrefix="1" applyFont="1" applyBorder="1" applyAlignment="1">
      <alignment horizontal="left" wrapText="1"/>
    </xf>
    <xf numFmtId="2" fontId="2" fillId="0" borderId="0" xfId="0" applyNumberFormat="1" applyFont="1" applyBorder="1"/>
    <xf numFmtId="164" fontId="2" fillId="0" borderId="0" xfId="0" applyFont="1" applyFill="1" applyBorder="1" applyAlignment="1" applyProtection="1">
      <alignment horizontal="left"/>
    </xf>
    <xf numFmtId="2" fontId="2" fillId="0" borderId="0" xfId="0" applyNumberFormat="1" applyFont="1" applyBorder="1" applyAlignment="1" applyProtection="1">
      <alignment horizontal="left"/>
    </xf>
    <xf numFmtId="164" fontId="2" fillId="0" borderId="0" xfId="0" quotePrefix="1" applyFont="1" applyFill="1" applyBorder="1" applyAlignment="1" applyProtection="1">
      <alignment horizontal="left"/>
    </xf>
    <xf numFmtId="167" fontId="2" fillId="0" borderId="0" xfId="0" applyNumberFormat="1" applyFont="1" applyBorder="1"/>
    <xf numFmtId="167" fontId="2" fillId="0" borderId="0" xfId="0" applyNumberFormat="1" applyFont="1" applyBorder="1" applyAlignment="1" applyProtection="1">
      <alignment horizontal="fill"/>
    </xf>
    <xf numFmtId="167" fontId="2" fillId="0" borderId="0" xfId="0" applyNumberFormat="1" applyFont="1" applyFill="1" applyBorder="1" applyAlignment="1">
      <alignment horizontal="centerContinuous"/>
    </xf>
    <xf numFmtId="167" fontId="2" fillId="0" borderId="1" xfId="0" applyNumberFormat="1" applyFont="1" applyBorder="1" applyAlignment="1" applyProtection="1">
      <alignment horizontal="fill"/>
    </xf>
    <xf numFmtId="167" fontId="2" fillId="0" borderId="0" xfId="0" applyNumberFormat="1" applyFont="1"/>
    <xf numFmtId="167" fontId="3" fillId="0" borderId="0" xfId="0" applyNumberFormat="1" applyFont="1"/>
    <xf numFmtId="167" fontId="2" fillId="0" borderId="2" xfId="0" applyNumberFormat="1" applyFont="1" applyFill="1" applyBorder="1" applyProtection="1"/>
    <xf numFmtId="167" fontId="2" fillId="0" borderId="0" xfId="0" applyNumberFormat="1" applyFont="1" applyBorder="1" applyAlignment="1">
      <alignment horizontal="centerContinuous"/>
    </xf>
    <xf numFmtId="167" fontId="2" fillId="0" borderId="0" xfId="0" applyNumberFormat="1" applyFont="1" applyBorder="1" applyAlignment="1" applyProtection="1">
      <alignment horizontal="centerContinuous"/>
    </xf>
    <xf numFmtId="167" fontId="2" fillId="0" borderId="0" xfId="0" applyNumberFormat="1" applyFont="1" applyFill="1" applyBorder="1" applyAlignment="1" applyProtection="1">
      <alignment horizontal="fill"/>
    </xf>
    <xf numFmtId="167" fontId="2" fillId="0" borderId="0" xfId="0" applyNumberFormat="1" applyFont="1" applyFill="1" applyBorder="1" applyProtection="1"/>
    <xf numFmtId="167" fontId="2" fillId="0" borderId="0" xfId="0" applyNumberFormat="1" applyFont="1" applyFill="1" applyBorder="1"/>
    <xf numFmtId="167" fontId="2" fillId="0" borderId="1" xfId="0" applyNumberFormat="1" applyFont="1" applyFill="1" applyBorder="1" applyAlignment="1" applyProtection="1">
      <alignment horizontal="fill"/>
    </xf>
    <xf numFmtId="167" fontId="2" fillId="0" borderId="3" xfId="0" applyNumberFormat="1" applyFont="1" applyFill="1" applyBorder="1" applyProtection="1"/>
    <xf numFmtId="164" fontId="6" fillId="0" borderId="0" xfId="0" applyFont="1" applyFill="1"/>
    <xf numFmtId="2" fontId="2" fillId="0" borderId="0" xfId="0" applyNumberFormat="1" applyFont="1" applyFill="1" applyBorder="1"/>
    <xf numFmtId="167" fontId="7" fillId="0" borderId="0" xfId="0" applyNumberFormat="1" applyFont="1" applyBorder="1"/>
    <xf numFmtId="167" fontId="7" fillId="0" borderId="0" xfId="0" applyNumberFormat="1" applyFont="1" applyFill="1" applyBorder="1"/>
    <xf numFmtId="167" fontId="7" fillId="0" borderId="0" xfId="0" applyNumberFormat="1" applyFont="1" applyFill="1" applyBorder="1" applyProtection="1"/>
    <xf numFmtId="164" fontId="6" fillId="0" borderId="0" xfId="0" applyFont="1"/>
    <xf numFmtId="2" fontId="6" fillId="0" borderId="0" xfId="0" applyNumberFormat="1" applyFont="1"/>
    <xf numFmtId="167" fontId="6" fillId="0" borderId="0" xfId="0" applyNumberFormat="1" applyFont="1"/>
    <xf numFmtId="164" fontId="6" fillId="0" borderId="0" xfId="0" applyFont="1" applyBorder="1"/>
    <xf numFmtId="164" fontId="2" fillId="0" borderId="0" xfId="0" applyFont="1" applyFill="1" applyBorder="1" applyAlignment="1">
      <alignment horizontal="left"/>
    </xf>
    <xf numFmtId="2" fontId="6" fillId="0" borderId="0" xfId="0" applyNumberFormat="1" applyFont="1" applyFill="1"/>
    <xf numFmtId="167" fontId="6" fillId="0" borderId="0" xfId="0" applyNumberFormat="1" applyFont="1" applyFill="1"/>
    <xf numFmtId="9" fontId="6" fillId="0" borderId="0" xfId="0" applyNumberFormat="1" applyFont="1" applyFill="1"/>
    <xf numFmtId="4" fontId="6" fillId="0" borderId="0" xfId="0" applyNumberFormat="1" applyFont="1" applyFill="1"/>
    <xf numFmtId="167" fontId="2" fillId="0" borderId="0" xfId="0" applyNumberFormat="1" applyFont="1" applyFill="1" applyBorder="1" applyAlignment="1" applyProtection="1">
      <alignment horizontal="right"/>
    </xf>
    <xf numFmtId="164" fontId="11" fillId="0" borderId="0" xfId="0" applyFont="1" applyFill="1" applyAlignment="1">
      <alignment wrapText="1"/>
    </xf>
    <xf numFmtId="165" fontId="2" fillId="0" borderId="0" xfId="0" applyNumberFormat="1" applyFont="1" applyFill="1"/>
    <xf numFmtId="164" fontId="13" fillId="0" borderId="0" xfId="0" applyFont="1" applyFill="1"/>
    <xf numFmtId="164" fontId="2" fillId="0" borderId="0" xfId="0" quotePrefix="1" applyFont="1" applyFill="1" applyBorder="1" applyAlignment="1">
      <alignment horizontal="left" wrapText="1"/>
    </xf>
    <xf numFmtId="164" fontId="16" fillId="0" borderId="0" xfId="0" applyFont="1"/>
    <xf numFmtId="44" fontId="16" fillId="0" borderId="0" xfId="2" applyFont="1"/>
    <xf numFmtId="9" fontId="16" fillId="0" borderId="0" xfId="3" applyFont="1"/>
    <xf numFmtId="164" fontId="17" fillId="0" borderId="0" xfId="0" applyFont="1"/>
    <xf numFmtId="164" fontId="17" fillId="0" borderId="0" xfId="0" applyFont="1" applyAlignment="1">
      <alignment horizontal="center"/>
    </xf>
    <xf numFmtId="164" fontId="17" fillId="0" borderId="0" xfId="0" applyFont="1" applyAlignment="1">
      <alignment horizontal="right"/>
    </xf>
    <xf numFmtId="164" fontId="19" fillId="0" borderId="0" xfId="0" applyFont="1" applyAlignment="1">
      <alignment horizontal="center"/>
    </xf>
    <xf numFmtId="164" fontId="15" fillId="0" borderId="0" xfId="0" applyFont="1"/>
    <xf numFmtId="164" fontId="2" fillId="0" borderId="1" xfId="0" applyFont="1" applyBorder="1" applyAlignment="1">
      <alignment horizontal="fill"/>
    </xf>
    <xf numFmtId="164" fontId="20" fillId="0" borderId="0" xfId="0" applyFont="1" applyFill="1"/>
    <xf numFmtId="10" fontId="6" fillId="0" borderId="0" xfId="0" applyNumberFormat="1" applyFont="1" applyFill="1"/>
    <xf numFmtId="164" fontId="21" fillId="0" borderId="0" xfId="0" applyFont="1"/>
    <xf numFmtId="164" fontId="21" fillId="0" borderId="0" xfId="0" applyFont="1" applyAlignment="1">
      <alignment horizontal="center"/>
    </xf>
    <xf numFmtId="164" fontId="21" fillId="0" borderId="1" xfId="0" applyFont="1" applyBorder="1" applyAlignment="1">
      <alignment horizontal="center"/>
    </xf>
    <xf numFmtId="164" fontId="21" fillId="0" borderId="1" xfId="0" applyFont="1" applyBorder="1" applyAlignment="1">
      <alignment horizontal="center" wrapText="1"/>
    </xf>
    <xf numFmtId="164" fontId="21" fillId="2" borderId="1" xfId="0" applyFont="1" applyFill="1" applyBorder="1" applyAlignment="1">
      <alignment horizontal="center"/>
    </xf>
    <xf numFmtId="44" fontId="28" fillId="0" borderId="0" xfId="2" applyFont="1" applyFill="1"/>
    <xf numFmtId="44" fontId="21" fillId="0" borderId="0" xfId="2" applyFont="1"/>
    <xf numFmtId="44" fontId="21" fillId="0" borderId="0" xfId="0" applyNumberFormat="1" applyFont="1"/>
    <xf numFmtId="9" fontId="21" fillId="0" borderId="0" xfId="3" applyFont="1"/>
    <xf numFmtId="44" fontId="21" fillId="0" borderId="0" xfId="2" applyFont="1" applyFill="1"/>
    <xf numFmtId="164" fontId="28" fillId="0" borderId="0" xfId="0" applyFont="1"/>
    <xf numFmtId="44" fontId="22" fillId="0" borderId="0" xfId="2" applyFont="1" applyFill="1"/>
    <xf numFmtId="44" fontId="21" fillId="3" borderId="0" xfId="2" applyFont="1" applyFill="1"/>
    <xf numFmtId="44" fontId="21" fillId="2" borderId="0" xfId="2" applyFont="1" applyFill="1"/>
    <xf numFmtId="44" fontId="22" fillId="2" borderId="0" xfId="2" applyFont="1" applyFill="1"/>
    <xf numFmtId="164" fontId="21" fillId="2" borderId="0" xfId="0" applyFont="1" applyFill="1"/>
    <xf numFmtId="164" fontId="21" fillId="3" borderId="0" xfId="0" applyFont="1" applyFill="1"/>
    <xf numFmtId="164" fontId="23" fillId="0" borderId="1" xfId="0" applyFont="1" applyBorder="1" applyAlignment="1">
      <alignment horizontal="center" wrapText="1"/>
    </xf>
    <xf numFmtId="44" fontId="23" fillId="0" borderId="0" xfId="2" applyFont="1"/>
    <xf numFmtId="164" fontId="2" fillId="0" borderId="0" xfId="0" applyFont="1" applyFill="1" applyBorder="1" applyAlignment="1" applyProtection="1"/>
    <xf numFmtId="164" fontId="20" fillId="0" borderId="0" xfId="0" applyFont="1"/>
    <xf numFmtId="2" fontId="29" fillId="0" borderId="0" xfId="0" applyNumberFormat="1" applyFont="1" applyBorder="1"/>
    <xf numFmtId="2" fontId="2" fillId="0" borderId="0" xfId="0" applyNumberFormat="1" applyFont="1" applyBorder="1" applyAlignment="1" applyProtection="1">
      <alignment horizontal="fill"/>
    </xf>
    <xf numFmtId="164" fontId="24" fillId="0" borderId="0" xfId="0" applyFont="1" applyFill="1"/>
    <xf numFmtId="164" fontId="1" fillId="0" borderId="0" xfId="0" applyFont="1" applyFill="1"/>
    <xf numFmtId="164" fontId="2" fillId="0" borderId="0" xfId="0" applyFont="1" applyBorder="1" applyAlignment="1" applyProtection="1"/>
    <xf numFmtId="164" fontId="1" fillId="0" borderId="0" xfId="0" applyFont="1"/>
    <xf numFmtId="164" fontId="2" fillId="0" borderId="0" xfId="0" applyFont="1" applyBorder="1" applyAlignment="1"/>
    <xf numFmtId="164" fontId="2" fillId="0" borderId="0" xfId="0" applyFont="1" applyAlignment="1">
      <alignment horizontal="left"/>
    </xf>
    <xf numFmtId="164" fontId="26" fillId="0" borderId="0" xfId="0" applyFont="1"/>
    <xf numFmtId="164" fontId="2" fillId="0" borderId="0" xfId="0" quotePrefix="1" applyFont="1" applyAlignment="1">
      <alignment horizontal="left"/>
    </xf>
    <xf numFmtId="164" fontId="8" fillId="0" borderId="0" xfId="0" applyFont="1" applyAlignment="1">
      <alignment horizontal="left"/>
    </xf>
    <xf numFmtId="164" fontId="8" fillId="0" borderId="0" xfId="0" quotePrefix="1" applyFont="1" applyAlignment="1">
      <alignment horizontal="left"/>
    </xf>
    <xf numFmtId="164" fontId="2" fillId="0" borderId="1" xfId="0" applyFont="1" applyBorder="1"/>
    <xf numFmtId="164" fontId="2" fillId="0" borderId="0" xfId="0" applyFont="1" applyBorder="1" applyAlignment="1">
      <alignment horizontal="left"/>
    </xf>
    <xf numFmtId="2" fontId="2" fillId="0" borderId="0" xfId="0" applyNumberFormat="1" applyFont="1" applyFill="1" applyBorder="1" applyAlignment="1">
      <alignment horizontal="left"/>
    </xf>
    <xf numFmtId="164" fontId="6" fillId="0" borderId="0" xfId="0" applyFont="1" applyFill="1" applyBorder="1"/>
    <xf numFmtId="164" fontId="6" fillId="0" borderId="1" xfId="0" applyFont="1" applyBorder="1"/>
    <xf numFmtId="2" fontId="6" fillId="0" borderId="1" xfId="0" applyNumberFormat="1" applyFont="1" applyBorder="1"/>
    <xf numFmtId="167" fontId="6" fillId="0" borderId="1" xfId="0" applyNumberFormat="1" applyFont="1" applyBorder="1"/>
    <xf numFmtId="164" fontId="27" fillId="0" borderId="0" xfId="0" applyFont="1"/>
    <xf numFmtId="164" fontId="27" fillId="0" borderId="0" xfId="0" applyFont="1" applyBorder="1"/>
    <xf numFmtId="164" fontId="3" fillId="0" borderId="0" xfId="0" applyFont="1" applyBorder="1"/>
    <xf numFmtId="164" fontId="2" fillId="0" borderId="0" xfId="0" applyFont="1" applyBorder="1" applyAlignment="1">
      <alignment horizontal="fill"/>
    </xf>
    <xf numFmtId="164" fontId="26" fillId="0" borderId="0" xfId="0" applyFont="1" applyBorder="1"/>
    <xf numFmtId="164" fontId="0" fillId="0" borderId="0" xfId="0" applyBorder="1"/>
    <xf numFmtId="164" fontId="2" fillId="0" borderId="0" xfId="0" applyFont="1" applyFill="1" applyBorder="1" applyAlignment="1">
      <alignment wrapText="1"/>
    </xf>
    <xf numFmtId="164" fontId="2" fillId="0" borderId="1" xfId="0" applyFont="1" applyBorder="1" applyAlignment="1" applyProtection="1">
      <alignment horizontal="left"/>
    </xf>
    <xf numFmtId="164" fontId="20" fillId="0" borderId="0" xfId="0" applyFont="1" applyFill="1" applyBorder="1"/>
    <xf numFmtId="164" fontId="2" fillId="0" borderId="1" xfId="0" applyFont="1" applyFill="1" applyBorder="1" applyAlignment="1" applyProtection="1">
      <alignment horizontal="left"/>
    </xf>
    <xf numFmtId="2" fontId="2" fillId="0" borderId="0" xfId="0" applyNumberFormat="1" applyFont="1" applyFill="1" applyBorder="1" applyAlignment="1" applyProtection="1">
      <alignment horizontal="left"/>
    </xf>
    <xf numFmtId="164" fontId="12" fillId="0" borderId="0" xfId="0" applyFont="1" applyFill="1" applyBorder="1"/>
    <xf numFmtId="2" fontId="2" fillId="0" borderId="0" xfId="0" applyNumberFormat="1" applyFont="1" applyBorder="1" applyAlignment="1">
      <alignment horizontal="left"/>
    </xf>
    <xf numFmtId="2" fontId="2" fillId="0" borderId="0" xfId="0" applyNumberFormat="1" applyFont="1" applyFill="1" applyBorder="1" applyAlignment="1">
      <alignment vertical="top"/>
    </xf>
    <xf numFmtId="164" fontId="6" fillId="0" borderId="0" xfId="0" applyFont="1" applyFill="1" applyAlignment="1">
      <alignment vertical="top"/>
    </xf>
    <xf numFmtId="2" fontId="3" fillId="0" borderId="0" xfId="0" applyNumberFormat="1" applyFont="1" applyBorder="1"/>
    <xf numFmtId="167" fontId="3" fillId="0" borderId="0" xfId="0" applyNumberFormat="1" applyFont="1" applyBorder="1"/>
    <xf numFmtId="167" fontId="27" fillId="0" borderId="0" xfId="0" applyNumberFormat="1" applyFont="1"/>
    <xf numFmtId="44" fontId="2" fillId="0" borderId="2" xfId="0" applyNumberFormat="1" applyFont="1" applyBorder="1"/>
    <xf numFmtId="164" fontId="2" fillId="0" borderId="2" xfId="0" applyFont="1" applyBorder="1"/>
    <xf numFmtId="164" fontId="27" fillId="0" borderId="1" xfId="0" applyFont="1" applyBorder="1"/>
    <xf numFmtId="44" fontId="2" fillId="0" borderId="2" xfId="2" applyFont="1" applyBorder="1"/>
    <xf numFmtId="44" fontId="2" fillId="0" borderId="0" xfId="2" applyFont="1" applyBorder="1"/>
    <xf numFmtId="44" fontId="2" fillId="0" borderId="0" xfId="1" applyNumberFormat="1" applyFont="1" applyBorder="1"/>
    <xf numFmtId="44" fontId="2" fillId="0" borderId="1" xfId="1" applyNumberFormat="1" applyFont="1" applyBorder="1"/>
    <xf numFmtId="44" fontId="2" fillId="0" borderId="0" xfId="0" applyNumberFormat="1" applyFont="1" applyBorder="1"/>
    <xf numFmtId="167" fontId="2" fillId="0" borderId="0" xfId="0" applyNumberFormat="1" applyFont="1" applyBorder="1" applyAlignment="1">
      <alignment horizontal="center"/>
    </xf>
    <xf numFmtId="164" fontId="2" fillId="0" borderId="0" xfId="0" applyFont="1" applyBorder="1" applyAlignment="1">
      <alignment horizontal="fill" wrapText="1"/>
    </xf>
    <xf numFmtId="164" fontId="20" fillId="0" borderId="1" xfId="0" applyFont="1" applyBorder="1"/>
    <xf numFmtId="167" fontId="2" fillId="0" borderId="1" xfId="0" applyNumberFormat="1" applyFont="1" applyBorder="1" applyAlignment="1">
      <alignment horizontal="center"/>
    </xf>
    <xf numFmtId="167" fontId="2" fillId="0" borderId="1" xfId="0" applyNumberFormat="1" applyFont="1" applyBorder="1" applyAlignment="1" applyProtection="1">
      <alignment horizontal="center"/>
    </xf>
    <xf numFmtId="2" fontId="2" fillId="0" borderId="0" xfId="0" applyNumberFormat="1" applyFont="1" applyBorder="1" applyAlignment="1">
      <alignment horizontal="fill"/>
    </xf>
    <xf numFmtId="167" fontId="2" fillId="0" borderId="0" xfId="0" applyNumberFormat="1" applyFont="1" applyBorder="1" applyAlignment="1">
      <alignment horizontal="fill"/>
    </xf>
    <xf numFmtId="164" fontId="20" fillId="0" borderId="0" xfId="0" applyFont="1" applyBorder="1"/>
    <xf numFmtId="2" fontId="2" fillId="0" borderId="0" xfId="0" applyNumberFormat="1" applyFont="1" applyBorder="1" applyAlignment="1" applyProtection="1">
      <alignment horizontal="left" wrapText="1"/>
    </xf>
    <xf numFmtId="167" fontId="2" fillId="0" borderId="0" xfId="0" applyNumberFormat="1" applyFont="1" applyBorder="1" applyAlignment="1" applyProtection="1">
      <alignment horizontal="center"/>
    </xf>
    <xf numFmtId="2" fontId="2" fillId="0" borderId="1" xfId="0" applyNumberFormat="1" applyFont="1" applyBorder="1" applyAlignment="1">
      <alignment horizontal="center" wrapText="1"/>
    </xf>
    <xf numFmtId="2" fontId="2" fillId="0" borderId="1" xfId="0" applyNumberFormat="1" applyFont="1" applyBorder="1" applyAlignment="1" applyProtection="1">
      <alignment horizontal="center" wrapText="1"/>
    </xf>
    <xf numFmtId="2" fontId="2" fillId="0" borderId="0" xfId="0" applyNumberFormat="1" applyFont="1" applyBorder="1" applyAlignment="1">
      <alignment horizontal="center" wrapText="1"/>
    </xf>
    <xf numFmtId="164" fontId="2" fillId="0" borderId="4" xfId="0" applyFont="1" applyBorder="1" applyAlignment="1" applyProtection="1">
      <alignment horizontal="left"/>
    </xf>
    <xf numFmtId="164" fontId="2" fillId="0" borderId="4" xfId="0" applyFont="1" applyBorder="1"/>
    <xf numFmtId="164" fontId="2" fillId="0" borderId="4" xfId="0" applyFont="1" applyBorder="1" applyAlignment="1">
      <alignment wrapText="1"/>
    </xf>
    <xf numFmtId="164" fontId="2" fillId="0" borderId="4" xfId="0" applyFont="1" applyBorder="1" applyAlignment="1">
      <alignment horizontal="centerContinuous"/>
    </xf>
    <xf numFmtId="164" fontId="2" fillId="0" borderId="4" xfId="0" applyFont="1" applyBorder="1" applyAlignment="1">
      <alignment horizontal="left"/>
    </xf>
    <xf numFmtId="164" fontId="2" fillId="0" borderId="4" xfId="0" quotePrefix="1" applyFont="1" applyBorder="1" applyAlignment="1" applyProtection="1">
      <alignment horizontal="left"/>
    </xf>
    <xf numFmtId="164" fontId="2" fillId="0" borderId="0" xfId="0" applyFont="1" applyFill="1" applyBorder="1" applyAlignment="1">
      <alignment horizontal="left" wrapText="1"/>
    </xf>
    <xf numFmtId="164" fontId="2" fillId="0" borderId="0" xfId="0" applyFont="1" applyFill="1" applyBorder="1" applyAlignment="1"/>
    <xf numFmtId="164" fontId="2" fillId="0" borderId="0" xfId="0" applyFont="1" applyFill="1" applyBorder="1" applyAlignment="1">
      <alignment vertical="top"/>
    </xf>
    <xf numFmtId="164" fontId="2" fillId="0" borderId="0" xfId="0" applyFont="1" applyFill="1" applyBorder="1" applyAlignment="1">
      <alignment horizontal="left" vertical="top" wrapText="1"/>
    </xf>
    <xf numFmtId="164" fontId="2" fillId="0" borderId="0" xfId="0" quotePrefix="1" applyFont="1" applyBorder="1" applyAlignment="1">
      <alignment horizontal="left"/>
    </xf>
    <xf numFmtId="167" fontId="2" fillId="0" borderId="0" xfId="0" applyNumberFormat="1" applyFont="1" applyBorder="1" applyAlignment="1">
      <alignment horizontal="left"/>
    </xf>
    <xf numFmtId="164" fontId="5" fillId="0" borderId="0" xfId="0" applyFont="1" applyBorder="1"/>
    <xf numFmtId="164" fontId="30" fillId="0" borderId="0" xfId="0" applyFont="1" applyBorder="1"/>
    <xf numFmtId="164" fontId="2" fillId="0" borderId="0" xfId="0" applyFont="1" applyBorder="1" applyAlignment="1">
      <alignment horizontal="right"/>
    </xf>
    <xf numFmtId="164" fontId="9" fillId="0" borderId="0" xfId="0" applyFont="1" applyBorder="1"/>
    <xf numFmtId="164" fontId="2" fillId="0" borderId="5" xfId="0" applyFont="1" applyBorder="1"/>
    <xf numFmtId="167" fontId="2" fillId="0" borderId="5" xfId="0" applyNumberFormat="1" applyFont="1" applyBorder="1"/>
    <xf numFmtId="164" fontId="27" fillId="0" borderId="4" xfId="0" applyFont="1" applyBorder="1"/>
    <xf numFmtId="167" fontId="27" fillId="0" borderId="0" xfId="0" applyNumberFormat="1" applyFont="1" applyBorder="1"/>
    <xf numFmtId="167" fontId="30" fillId="0" borderId="0" xfId="0" applyNumberFormat="1" applyFont="1" applyBorder="1"/>
    <xf numFmtId="164" fontId="2" fillId="0" borderId="0" xfId="0" quotePrefix="1" applyFont="1" applyBorder="1"/>
    <xf numFmtId="169" fontId="27" fillId="0" borderId="0" xfId="0" applyNumberFormat="1" applyFont="1" applyBorder="1"/>
    <xf numFmtId="164" fontId="2" fillId="0" borderId="0" xfId="0" quotePrefix="1" applyFont="1" applyBorder="1" applyAlignment="1">
      <alignment horizontal="left" wrapText="1"/>
    </xf>
    <xf numFmtId="7" fontId="2" fillId="0" borderId="0" xfId="0" applyNumberFormat="1" applyFont="1" applyBorder="1"/>
    <xf numFmtId="164" fontId="27" fillId="0" borderId="5" xfId="0" applyFont="1" applyBorder="1"/>
    <xf numFmtId="167" fontId="27" fillId="0" borderId="5" xfId="0" applyNumberFormat="1" applyFont="1" applyBorder="1"/>
    <xf numFmtId="167" fontId="6" fillId="0" borderId="0" xfId="0" applyNumberFormat="1" applyFont="1" applyBorder="1"/>
    <xf numFmtId="164" fontId="6" fillId="0" borderId="0" xfId="0" applyFont="1" applyBorder="1" applyAlignment="1">
      <alignment horizontal="left"/>
    </xf>
    <xf numFmtId="164" fontId="3" fillId="0" borderId="0" xfId="0" applyFont="1" applyBorder="1" applyAlignment="1">
      <alignment wrapText="1"/>
    </xf>
    <xf numFmtId="164" fontId="3" fillId="0" borderId="0" xfId="0" applyFont="1" applyFill="1" applyBorder="1"/>
    <xf numFmtId="2" fontId="3" fillId="0" borderId="0" xfId="0" applyNumberFormat="1" applyFont="1" applyFill="1" applyBorder="1"/>
    <xf numFmtId="164" fontId="8" fillId="0" borderId="0" xfId="0" applyFont="1" applyBorder="1"/>
    <xf numFmtId="164" fontId="2" fillId="0" borderId="0" xfId="0" applyFont="1" applyFill="1" applyBorder="1" applyAlignment="1">
      <alignment vertical="top" wrapText="1"/>
    </xf>
    <xf numFmtId="2" fontId="3" fillId="0" borderId="0" xfId="0" applyNumberFormat="1" applyFont="1" applyFill="1" applyBorder="1" applyAlignment="1">
      <alignment vertical="top"/>
    </xf>
    <xf numFmtId="167" fontId="3" fillId="0" borderId="0" xfId="0" applyNumberFormat="1" applyFont="1" applyFill="1" applyBorder="1" applyAlignment="1">
      <alignment vertical="top"/>
    </xf>
    <xf numFmtId="164" fontId="6" fillId="0" borderId="0" xfId="0" applyFont="1" applyFill="1" applyBorder="1" applyAlignment="1">
      <alignment vertical="top"/>
    </xf>
    <xf numFmtId="167" fontId="2" fillId="0" borderId="0" xfId="0" applyNumberFormat="1" applyFont="1" applyBorder="1" applyProtection="1"/>
    <xf numFmtId="167" fontId="3" fillId="0" borderId="0" xfId="0" applyNumberFormat="1" applyFont="1" applyFill="1" applyBorder="1"/>
    <xf numFmtId="164" fontId="2" fillId="0" borderId="0" xfId="0" applyFont="1" applyBorder="1" applyAlignment="1">
      <alignment horizontal="left" wrapText="1"/>
    </xf>
    <xf numFmtId="2" fontId="2" fillId="0" borderId="0" xfId="0" applyNumberFormat="1" applyFont="1" applyFill="1" applyBorder="1" applyProtection="1"/>
    <xf numFmtId="2" fontId="2" fillId="0" borderId="5" xfId="0" applyNumberFormat="1" applyFont="1" applyBorder="1"/>
    <xf numFmtId="164" fontId="6" fillId="0" borderId="5" xfId="0" applyFont="1" applyBorder="1"/>
    <xf numFmtId="164" fontId="2" fillId="0" borderId="4" xfId="0" applyFont="1" applyBorder="1" applyAlignment="1"/>
    <xf numFmtId="4" fontId="2" fillId="0" borderId="0" xfId="0" applyNumberFormat="1" applyFont="1" applyBorder="1"/>
    <xf numFmtId="164" fontId="2" fillId="0" borderId="0" xfId="0" applyFont="1" applyBorder="1" applyAlignment="1">
      <alignment horizontal="left" wrapText="1" indent="1"/>
    </xf>
    <xf numFmtId="164" fontId="2" fillId="0" borderId="0" xfId="0" applyFont="1" applyFill="1" applyBorder="1" applyAlignment="1">
      <alignment wrapText="1"/>
    </xf>
    <xf numFmtId="164" fontId="5" fillId="0" borderId="0" xfId="0" applyFont="1" applyFill="1" applyBorder="1"/>
    <xf numFmtId="164" fontId="2" fillId="0" borderId="0" xfId="0" quotePrefix="1" applyFont="1" applyFill="1" applyBorder="1" applyAlignment="1"/>
    <xf numFmtId="164" fontId="14" fillId="0" borderId="0" xfId="0" applyFont="1" applyBorder="1"/>
    <xf numFmtId="164" fontId="18" fillId="0" borderId="0" xfId="0" applyFont="1" applyFill="1" applyBorder="1"/>
    <xf numFmtId="167" fontId="14" fillId="0" borderId="0" xfId="0" applyNumberFormat="1" applyFont="1" applyBorder="1"/>
    <xf numFmtId="167" fontId="14" fillId="0" borderId="0" xfId="0" applyNumberFormat="1" applyFont="1" applyBorder="1" applyProtection="1"/>
    <xf numFmtId="164" fontId="10" fillId="0" borderId="0" xfId="0" applyFont="1" applyBorder="1"/>
    <xf numFmtId="164" fontId="11" fillId="0" borderId="0" xfId="0" applyFont="1" applyFill="1" applyBorder="1"/>
    <xf numFmtId="167" fontId="11" fillId="0" borderId="0" xfId="0" applyNumberFormat="1" applyFont="1" applyFill="1" applyBorder="1"/>
    <xf numFmtId="164" fontId="20" fillId="0" borderId="0" xfId="0" applyFont="1" applyFill="1" applyBorder="1" applyAlignment="1"/>
    <xf numFmtId="4" fontId="3" fillId="0" borderId="0" xfId="0" applyNumberFormat="1" applyFont="1" applyBorder="1"/>
    <xf numFmtId="166" fontId="2" fillId="0" borderId="0" xfId="0" applyNumberFormat="1" applyFont="1" applyFill="1" applyBorder="1" applyAlignment="1">
      <alignment vertical="top" wrapText="1"/>
    </xf>
    <xf numFmtId="166" fontId="2" fillId="0" borderId="0" xfId="0" applyNumberFormat="1" applyFont="1" applyFill="1" applyBorder="1" applyAlignment="1">
      <alignment horizontal="left" vertical="top" wrapText="1"/>
    </xf>
    <xf numFmtId="165" fontId="2" fillId="0" borderId="0" xfId="0" applyNumberFormat="1" applyFont="1" applyFill="1" applyBorder="1" applyAlignment="1">
      <alignment vertical="top" wrapText="1"/>
    </xf>
    <xf numFmtId="165" fontId="2" fillId="0" borderId="0" xfId="0" applyNumberFormat="1" applyFont="1" applyFill="1" applyBorder="1" applyAlignment="1">
      <alignment horizontal="left" vertical="top" wrapText="1"/>
    </xf>
    <xf numFmtId="164" fontId="29" fillId="0" borderId="0" xfId="0" applyFont="1" applyFill="1" applyBorder="1"/>
    <xf numFmtId="164" fontId="29" fillId="0" borderId="0" xfId="0" applyFont="1" applyBorder="1"/>
    <xf numFmtId="9" fontId="2" fillId="0" borderId="0" xfId="0" applyNumberFormat="1" applyFont="1" applyBorder="1"/>
    <xf numFmtId="164" fontId="9" fillId="0" borderId="0" xfId="0" applyFont="1" applyFill="1" applyBorder="1"/>
    <xf numFmtId="164" fontId="2" fillId="0" borderId="0" xfId="0" quotePrefix="1" applyFont="1" applyFill="1" applyBorder="1" applyAlignment="1">
      <alignment horizontal="left"/>
    </xf>
    <xf numFmtId="165" fontId="2" fillId="0" borderId="0" xfId="0" applyNumberFormat="1" applyFont="1" applyFill="1" applyBorder="1" applyProtection="1"/>
    <xf numFmtId="164" fontId="1" fillId="0" borderId="0" xfId="0" applyFont="1" applyFill="1" applyBorder="1"/>
    <xf numFmtId="167" fontId="6" fillId="0" borderId="5" xfId="0" applyNumberFormat="1" applyFont="1" applyBorder="1"/>
    <xf numFmtId="167" fontId="2" fillId="0" borderId="0" xfId="0" applyNumberFormat="1" applyFont="1" applyBorder="1" applyAlignment="1">
      <alignment horizontal="right"/>
    </xf>
    <xf numFmtId="167" fontId="12" fillId="0" borderId="0" xfId="0" applyNumberFormat="1" applyFont="1" applyFill="1" applyBorder="1" applyProtection="1"/>
    <xf numFmtId="2" fontId="11" fillId="0" borderId="0" xfId="0" applyNumberFormat="1" applyFont="1" applyFill="1" applyBorder="1"/>
    <xf numFmtId="167" fontId="11" fillId="0" borderId="0" xfId="0" applyNumberFormat="1" applyFont="1" applyFill="1" applyBorder="1" applyProtection="1"/>
    <xf numFmtId="165" fontId="2" fillId="0" borderId="0" xfId="0" applyNumberFormat="1" applyFont="1" applyBorder="1" applyProtection="1"/>
    <xf numFmtId="168" fontId="6" fillId="0" borderId="0" xfId="0" applyNumberFormat="1" applyFont="1" applyBorder="1"/>
    <xf numFmtId="2" fontId="6" fillId="0" borderId="0" xfId="0" applyNumberFormat="1" applyFont="1" applyBorder="1"/>
    <xf numFmtId="164" fontId="8" fillId="0" borderId="0" xfId="0" applyFont="1" applyFill="1" applyBorder="1"/>
    <xf numFmtId="9" fontId="6" fillId="0" borderId="0" xfId="0" applyNumberFormat="1" applyFont="1" applyBorder="1"/>
    <xf numFmtId="2" fontId="12" fillId="0" borderId="0" xfId="0" applyNumberFormat="1" applyFont="1" applyFill="1" applyBorder="1"/>
    <xf numFmtId="9" fontId="3" fillId="0" borderId="0" xfId="0" applyNumberFormat="1" applyFont="1" applyBorder="1"/>
    <xf numFmtId="164" fontId="2" fillId="0" borderId="0" xfId="0" quotePrefix="1" applyFont="1" applyFill="1" applyBorder="1" applyAlignment="1">
      <alignment wrapText="1"/>
    </xf>
    <xf numFmtId="164" fontId="2" fillId="0" borderId="5" xfId="0" applyFont="1" applyBorder="1" applyAlignment="1" applyProtection="1">
      <alignment horizontal="fill"/>
    </xf>
    <xf numFmtId="164" fontId="2" fillId="0" borderId="0" xfId="0" applyFont="1" applyFill="1" applyBorder="1" applyAlignment="1">
      <alignment wrapText="1"/>
    </xf>
    <xf numFmtId="164" fontId="2" fillId="0" borderId="0" xfId="0" quotePrefix="1" applyFont="1" applyBorder="1" applyAlignment="1">
      <alignment horizontal="left" wrapText="1"/>
    </xf>
    <xf numFmtId="164" fontId="14" fillId="0" borderId="0" xfId="0" applyFont="1" applyFill="1" applyBorder="1"/>
    <xf numFmtId="2" fontId="14" fillId="0" borderId="0" xfId="0" applyNumberFormat="1" applyFont="1" applyFill="1" applyBorder="1"/>
    <xf numFmtId="164" fontId="13" fillId="0" borderId="0" xfId="0" applyFont="1" applyFill="1" applyBorder="1"/>
    <xf numFmtId="164" fontId="2" fillId="0" borderId="0" xfId="0" applyFont="1" applyFill="1" applyBorder="1" applyAlignment="1">
      <alignment wrapText="1"/>
    </xf>
    <xf numFmtId="164" fontId="2" fillId="0" borderId="0" xfId="0" quotePrefix="1" applyFont="1" applyFill="1" applyBorder="1" applyAlignment="1">
      <alignment horizontal="left" wrapText="1"/>
    </xf>
    <xf numFmtId="164" fontId="2" fillId="0" borderId="0" xfId="0" applyFont="1" applyFill="1" applyBorder="1" applyAlignment="1">
      <alignment wrapText="1"/>
    </xf>
    <xf numFmtId="164" fontId="2" fillId="0" borderId="0" xfId="0" quotePrefix="1" applyFont="1" applyBorder="1" applyAlignment="1">
      <alignment horizontal="left" wrapText="1"/>
    </xf>
    <xf numFmtId="164" fontId="2" fillId="0" borderId="0" xfId="0" applyFont="1" applyFill="1" applyBorder="1" applyAlignment="1">
      <alignment wrapText="1"/>
    </xf>
    <xf numFmtId="164" fontId="2" fillId="0" borderId="0" xfId="0" quotePrefix="1" applyFont="1" applyFill="1" applyBorder="1" applyAlignment="1">
      <alignment horizontal="left" wrapText="1"/>
    </xf>
    <xf numFmtId="164" fontId="2" fillId="0" borderId="0" xfId="0" applyFont="1" applyBorder="1" applyAlignment="1">
      <alignment horizontal="left"/>
    </xf>
    <xf numFmtId="164" fontId="2" fillId="0" borderId="0" xfId="0" applyFont="1" applyFill="1" applyBorder="1" applyAlignment="1">
      <alignment wrapText="1"/>
    </xf>
    <xf numFmtId="164" fontId="2" fillId="0" borderId="0" xfId="0" quotePrefix="1" applyFont="1" applyBorder="1" applyAlignment="1">
      <alignment horizontal="left" wrapText="1"/>
    </xf>
    <xf numFmtId="164" fontId="2" fillId="0" borderId="0" xfId="0" applyFont="1" applyFill="1" applyBorder="1" applyAlignment="1">
      <alignment horizontal="left" vertical="top" wrapText="1"/>
    </xf>
    <xf numFmtId="164" fontId="27" fillId="0" borderId="0" xfId="0" applyFont="1" applyBorder="1" applyAlignment="1"/>
    <xf numFmtId="164" fontId="6" fillId="0" borderId="0" xfId="0" applyFont="1" applyBorder="1" applyAlignment="1"/>
    <xf numFmtId="164" fontId="2" fillId="0" borderId="0" xfId="0" quotePrefix="1" applyFont="1" applyBorder="1" applyAlignment="1"/>
    <xf numFmtId="164" fontId="8" fillId="0" borderId="0" xfId="0" applyFont="1" applyFill="1" applyBorder="1" applyAlignment="1">
      <alignment vertical="top"/>
    </xf>
    <xf numFmtId="167" fontId="2" fillId="0" borderId="0" xfId="0" applyNumberFormat="1" applyFont="1" applyFill="1" applyBorder="1" applyAlignment="1" applyProtection="1">
      <alignment vertical="top"/>
    </xf>
    <xf numFmtId="2" fontId="2" fillId="0" borderId="1" xfId="0" applyNumberFormat="1" applyFont="1" applyBorder="1" applyAlignment="1" applyProtection="1">
      <alignment horizontal="left"/>
    </xf>
    <xf numFmtId="164" fontId="2" fillId="0" borderId="0" xfId="0" quotePrefix="1" applyFont="1" applyFill="1" applyBorder="1" applyAlignment="1">
      <alignment horizontal="left" vertical="top" wrapText="1"/>
    </xf>
    <xf numFmtId="164" fontId="20" fillId="0" borderId="0" xfId="0" applyFont="1" applyFill="1" applyBorder="1" applyAlignment="1">
      <alignment vertical="top"/>
    </xf>
    <xf numFmtId="167" fontId="2" fillId="0" borderId="0" xfId="0" applyNumberFormat="1" applyFont="1" applyFill="1" applyBorder="1" applyAlignment="1">
      <alignment vertical="top"/>
    </xf>
    <xf numFmtId="164" fontId="2" fillId="0" borderId="0" xfId="0" applyFont="1" applyFill="1" applyAlignment="1">
      <alignment vertical="top"/>
    </xf>
    <xf numFmtId="2" fontId="6" fillId="0" borderId="0" xfId="0" applyNumberFormat="1" applyFont="1" applyFill="1" applyBorder="1"/>
    <xf numFmtId="167" fontId="6" fillId="0" borderId="0" xfId="0" applyNumberFormat="1" applyFont="1" applyFill="1" applyBorder="1"/>
    <xf numFmtId="164" fontId="2" fillId="0" borderId="1" xfId="0" applyFont="1" applyBorder="1" applyAlignment="1">
      <alignment horizontal="left"/>
    </xf>
    <xf numFmtId="164" fontId="25" fillId="0" borderId="0" xfId="0" applyFont="1" applyFill="1" applyBorder="1" applyAlignment="1">
      <alignment vertical="top"/>
    </xf>
    <xf numFmtId="9" fontId="27" fillId="0" borderId="0" xfId="3" applyFont="1" applyFill="1" applyBorder="1"/>
    <xf numFmtId="2" fontId="2" fillId="0" borderId="0" xfId="0" applyNumberFormat="1" applyFont="1" applyBorder="1" applyAlignment="1">
      <alignment horizontal="center" wrapText="1"/>
    </xf>
    <xf numFmtId="164" fontId="2" fillId="0" borderId="0" xfId="0" applyFont="1" applyBorder="1" applyAlignment="1">
      <alignment horizontal="left"/>
    </xf>
    <xf numFmtId="2" fontId="2" fillId="0" borderId="1" xfId="0" applyNumberFormat="1" applyFont="1" applyBorder="1" applyAlignment="1" applyProtection="1">
      <alignment horizontal="center" wrapText="1"/>
    </xf>
    <xf numFmtId="2" fontId="2" fillId="0" borderId="0" xfId="0" applyNumberFormat="1" applyFont="1" applyBorder="1" applyAlignment="1" applyProtection="1">
      <alignment horizontal="center" wrapText="1"/>
    </xf>
    <xf numFmtId="164" fontId="2" fillId="0" borderId="0" xfId="0" applyFont="1" applyBorder="1" applyAlignment="1" applyProtection="1">
      <alignment horizontal="center"/>
    </xf>
    <xf numFmtId="164" fontId="2" fillId="0" borderId="1" xfId="0" applyFont="1" applyBorder="1" applyAlignment="1">
      <alignment horizontal="center"/>
    </xf>
    <xf numFmtId="164" fontId="2" fillId="0" borderId="0" xfId="0" applyFont="1" applyFill="1" applyBorder="1" applyAlignment="1">
      <alignment horizontal="center"/>
    </xf>
    <xf numFmtId="164" fontId="2" fillId="0" borderId="0" xfId="0" applyFont="1" applyBorder="1" applyAlignment="1">
      <alignment horizontal="center"/>
    </xf>
    <xf numFmtId="164" fontId="2" fillId="0" borderId="0" xfId="0" applyFont="1" applyFill="1" applyBorder="1" applyAlignment="1">
      <alignment horizontal="center" vertical="top"/>
    </xf>
    <xf numFmtId="164" fontId="2" fillId="0" borderId="1" xfId="0" applyFont="1" applyBorder="1" applyAlignment="1">
      <alignment horizontal="fill" wrapText="1"/>
    </xf>
    <xf numFmtId="164" fontId="2" fillId="0" borderId="1" xfId="0" applyFont="1" applyBorder="1" applyAlignment="1">
      <alignment horizontal="centerContinuous"/>
    </xf>
    <xf numFmtId="167" fontId="2" fillId="0" borderId="1" xfId="0" applyNumberFormat="1" applyFont="1" applyBorder="1" applyAlignment="1">
      <alignment horizontal="centerContinuous"/>
    </xf>
    <xf numFmtId="164" fontId="2" fillId="0" borderId="1" xfId="0" applyFont="1" applyBorder="1" applyAlignment="1"/>
    <xf numFmtId="164" fontId="2" fillId="0" borderId="1" xfId="0" quotePrefix="1" applyNumberFormat="1" applyFont="1" applyFill="1" applyBorder="1" applyAlignment="1" applyProtection="1">
      <alignment horizontal="left"/>
    </xf>
    <xf numFmtId="164" fontId="2" fillId="0" borderId="1" xfId="0" applyFont="1" applyFill="1" applyBorder="1"/>
    <xf numFmtId="164" fontId="2" fillId="0" borderId="1" xfId="0" quotePrefix="1" applyFont="1" applyFill="1" applyBorder="1" applyAlignment="1">
      <alignment horizontal="left" wrapText="1"/>
    </xf>
    <xf numFmtId="2" fontId="2" fillId="0" borderId="1" xfId="0" applyNumberFormat="1" applyFont="1" applyBorder="1" applyAlignment="1">
      <alignment horizontal="centerContinuous"/>
    </xf>
    <xf numFmtId="164" fontId="2" fillId="0" borderId="1" xfId="0" quotePrefix="1" applyFont="1" applyBorder="1" applyAlignment="1"/>
    <xf numFmtId="164" fontId="2" fillId="0" borderId="6" xfId="0" applyFont="1" applyBorder="1" applyAlignment="1">
      <alignment horizontal="center"/>
    </xf>
    <xf numFmtId="164" fontId="2" fillId="0" borderId="6" xfId="0" applyFont="1" applyBorder="1" applyAlignment="1">
      <alignment horizontal="fill"/>
    </xf>
    <xf numFmtId="2" fontId="2" fillId="0" borderId="6" xfId="0" applyNumberFormat="1" applyFont="1" applyBorder="1" applyAlignment="1">
      <alignment horizontal="fill"/>
    </xf>
    <xf numFmtId="167" fontId="2" fillId="0" borderId="6" xfId="0" applyNumberFormat="1" applyFont="1" applyBorder="1" applyAlignment="1">
      <alignment horizontal="fill"/>
    </xf>
    <xf numFmtId="164" fontId="2" fillId="0" borderId="6" xfId="0" applyFont="1" applyBorder="1"/>
    <xf numFmtId="164" fontId="2" fillId="0" borderId="6" xfId="0" applyFont="1" applyBorder="1" applyAlignment="1">
      <alignment horizontal="left"/>
    </xf>
    <xf numFmtId="164" fontId="2" fillId="0" borderId="6" xfId="0" applyFont="1" applyBorder="1" applyAlignment="1">
      <alignment horizontal="fill" wrapText="1"/>
    </xf>
    <xf numFmtId="164" fontId="2" fillId="0" borderId="6" xfId="0" applyFont="1" applyBorder="1" applyAlignment="1">
      <alignment horizontal="centerContinuous"/>
    </xf>
    <xf numFmtId="167" fontId="2" fillId="0" borderId="6" xfId="0" applyNumberFormat="1" applyFont="1" applyBorder="1" applyAlignment="1">
      <alignment horizontal="centerContinuous"/>
    </xf>
    <xf numFmtId="164" fontId="2" fillId="0" borderId="6" xfId="0" applyFont="1" applyBorder="1" applyAlignment="1" applyProtection="1">
      <alignment horizontal="fill"/>
    </xf>
    <xf numFmtId="164" fontId="2" fillId="0" borderId="6" xfId="0" applyFont="1" applyBorder="1" applyAlignment="1" applyProtection="1">
      <alignment horizontal="fill" wrapText="1"/>
    </xf>
    <xf numFmtId="2" fontId="2" fillId="0" borderId="6" xfId="0" applyNumberFormat="1" applyFont="1" applyBorder="1" applyAlignment="1" applyProtection="1">
      <alignment horizontal="fill"/>
    </xf>
    <xf numFmtId="167" fontId="2" fillId="0" borderId="6" xfId="0" applyNumberFormat="1" applyFont="1" applyBorder="1" applyAlignment="1" applyProtection="1">
      <alignment horizontal="fill"/>
    </xf>
    <xf numFmtId="164" fontId="2" fillId="0" borderId="1" xfId="0" applyFont="1" applyFill="1" applyBorder="1" applyAlignment="1" applyProtection="1"/>
    <xf numFmtId="164" fontId="2" fillId="0" borderId="1" xfId="0" quotePrefix="1" applyNumberFormat="1" applyFont="1" applyBorder="1" applyAlignment="1" applyProtection="1">
      <alignment horizontal="left"/>
    </xf>
    <xf numFmtId="164" fontId="2" fillId="0" borderId="1" xfId="0" quotePrefix="1" applyFont="1" applyBorder="1" applyAlignment="1">
      <alignment horizontal="left" wrapText="1"/>
    </xf>
    <xf numFmtId="167" fontId="2" fillId="0" borderId="1" xfId="0" applyNumberFormat="1" applyFont="1" applyBorder="1"/>
    <xf numFmtId="164" fontId="2" fillId="0" borderId="6" xfId="0" applyFont="1" applyBorder="1" applyAlignment="1" applyProtection="1">
      <alignment horizontal="center"/>
    </xf>
    <xf numFmtId="164" fontId="2" fillId="0" borderId="1" xfId="0" applyFont="1" applyBorder="1" applyAlignment="1" applyProtection="1">
      <alignment horizontal="center"/>
    </xf>
    <xf numFmtId="164" fontId="2" fillId="0" borderId="4" xfId="0" applyFont="1" applyFill="1" applyBorder="1" applyAlignment="1" applyProtection="1">
      <alignment horizontal="centerContinuous"/>
    </xf>
    <xf numFmtId="164" fontId="2" fillId="0" borderId="1" xfId="0" applyFont="1" applyFill="1" applyBorder="1" applyAlignment="1" applyProtection="1">
      <alignment horizontal="centerContinuous"/>
    </xf>
    <xf numFmtId="2" fontId="2" fillId="0" borderId="4" xfId="0" applyNumberFormat="1" applyFont="1" applyBorder="1" applyAlignment="1"/>
    <xf numFmtId="2" fontId="2" fillId="0" borderId="1" xfId="0" applyNumberFormat="1" applyFont="1" applyBorder="1" applyAlignment="1" applyProtection="1"/>
    <xf numFmtId="164" fontId="2" fillId="0" borderId="1" xfId="0" applyFont="1" applyBorder="1" applyAlignment="1" applyProtection="1"/>
    <xf numFmtId="2" fontId="2" fillId="0" borderId="0" xfId="0" applyNumberFormat="1" applyFont="1" applyBorder="1" applyAlignment="1"/>
    <xf numFmtId="164" fontId="27" fillId="0" borderId="1" xfId="0" applyFont="1" applyBorder="1" applyAlignment="1">
      <alignment horizontal="centerContinuous"/>
    </xf>
    <xf numFmtId="164" fontId="27" fillId="0" borderId="0" xfId="0" applyFont="1" applyBorder="1" applyAlignment="1">
      <alignment horizontal="centerContinuous"/>
    </xf>
    <xf numFmtId="164" fontId="27" fillId="0" borderId="1" xfId="0" applyFont="1" applyBorder="1" applyAlignment="1"/>
    <xf numFmtId="164" fontId="2" fillId="0" borderId="6" xfId="0" quotePrefix="1" applyNumberFormat="1" applyFont="1" applyBorder="1" applyAlignment="1" applyProtection="1">
      <alignment horizontal="left"/>
    </xf>
    <xf numFmtId="164" fontId="2" fillId="0" borderId="6" xfId="0" quotePrefix="1" applyFont="1" applyBorder="1" applyAlignment="1">
      <alignment horizontal="left" wrapText="1"/>
    </xf>
    <xf numFmtId="2" fontId="2" fillId="0" borderId="6" xfId="0" applyNumberFormat="1" applyFont="1" applyBorder="1" applyAlignment="1" applyProtection="1">
      <alignment horizontal="left"/>
    </xf>
    <xf numFmtId="164" fontId="2" fillId="0" borderId="6" xfId="0" applyFont="1" applyBorder="1" applyAlignment="1" applyProtection="1">
      <alignment horizontal="left"/>
    </xf>
    <xf numFmtId="167" fontId="2" fillId="0" borderId="6" xfId="0" applyNumberFormat="1" applyFont="1" applyBorder="1"/>
    <xf numFmtId="164" fontId="12" fillId="0" borderId="0" xfId="0" applyFont="1" applyFill="1" applyBorder="1" applyAlignment="1">
      <alignment horizontal="center"/>
    </xf>
    <xf numFmtId="164" fontId="2" fillId="0" borderId="0" xfId="0" applyFont="1" applyFill="1" applyBorder="1" applyAlignment="1">
      <alignment vertical="center"/>
    </xf>
    <xf numFmtId="164" fontId="2" fillId="0" borderId="1" xfId="0" applyFont="1" applyBorder="1" applyAlignment="1">
      <alignment wrapText="1"/>
    </xf>
    <xf numFmtId="164" fontId="2" fillId="0" borderId="1" xfId="0" applyFont="1" applyFill="1" applyBorder="1" applyAlignment="1">
      <alignment horizontal="left"/>
    </xf>
    <xf numFmtId="2" fontId="2" fillId="0" borderId="1" xfId="0" applyNumberFormat="1" applyFont="1" applyFill="1" applyBorder="1" applyAlignment="1" applyProtection="1">
      <alignment horizontal="centerContinuous"/>
    </xf>
    <xf numFmtId="164" fontId="2" fillId="0" borderId="1" xfId="0" applyFont="1" applyFill="1" applyBorder="1" applyAlignment="1">
      <alignment horizontal="centerContinuous"/>
    </xf>
    <xf numFmtId="167" fontId="2" fillId="0" borderId="1" xfId="0" applyNumberFormat="1" applyFont="1" applyFill="1" applyBorder="1" applyAlignment="1">
      <alignment horizontal="centerContinuous"/>
    </xf>
    <xf numFmtId="2" fontId="2" fillId="0" borderId="1" xfId="0" applyNumberFormat="1" applyFont="1" applyFill="1" applyBorder="1" applyAlignment="1">
      <alignment horizontal="centerContinuous"/>
    </xf>
    <xf numFmtId="167" fontId="2" fillId="0" borderId="0" xfId="0" applyNumberFormat="1" applyFont="1" applyBorder="1" applyAlignment="1" applyProtection="1"/>
    <xf numFmtId="164" fontId="2" fillId="0" borderId="0" xfId="0" quotePrefix="1" applyFont="1" applyFill="1" applyBorder="1" applyAlignment="1" applyProtection="1">
      <alignment horizontal="center"/>
    </xf>
    <xf numFmtId="167" fontId="2" fillId="0" borderId="0" xfId="0" applyNumberFormat="1" applyFont="1" applyBorder="1" applyAlignment="1"/>
    <xf numFmtId="164" fontId="6" fillId="0" borderId="1" xfId="0" applyFont="1" applyBorder="1" applyAlignment="1"/>
    <xf numFmtId="167" fontId="2" fillId="0" borderId="1" xfId="0" applyNumberFormat="1" applyFont="1" applyBorder="1" applyAlignment="1" applyProtection="1"/>
    <xf numFmtId="164" fontId="6" fillId="0" borderId="1" xfId="0" applyFont="1" applyBorder="1" applyAlignment="1">
      <alignment horizontal="centerContinuous"/>
    </xf>
    <xf numFmtId="164" fontId="2" fillId="0" borderId="0" xfId="0" applyFont="1" applyFill="1" applyBorder="1" applyAlignment="1" applyProtection="1">
      <alignment horizontal="center"/>
    </xf>
    <xf numFmtId="164" fontId="2" fillId="0" borderId="0" xfId="0" quotePrefix="1" applyFont="1" applyFill="1" applyBorder="1" applyAlignment="1" applyProtection="1">
      <alignment horizontal="centerContinuous"/>
    </xf>
    <xf numFmtId="167" fontId="2" fillId="0" borderId="0" xfId="0" applyNumberFormat="1" applyFont="1" applyFill="1" applyBorder="1" applyAlignment="1">
      <alignment horizontal="center"/>
    </xf>
    <xf numFmtId="167" fontId="2" fillId="0" borderId="0" xfId="0" applyNumberFormat="1" applyFont="1" applyFill="1" applyBorder="1" applyAlignment="1" applyProtection="1">
      <alignment horizontal="center"/>
    </xf>
    <xf numFmtId="167" fontId="2" fillId="0" borderId="0" xfId="0" applyNumberFormat="1" applyFont="1" applyFill="1" applyBorder="1" applyAlignment="1"/>
    <xf numFmtId="167" fontId="2" fillId="0" borderId="0" xfId="0" applyNumberFormat="1" applyFont="1" applyFill="1" applyBorder="1" applyAlignment="1" applyProtection="1"/>
    <xf numFmtId="164" fontId="6" fillId="0" borderId="0" xfId="0" applyFont="1" applyBorder="1" applyAlignment="1">
      <alignment horizontal="centerContinuous"/>
    </xf>
    <xf numFmtId="164" fontId="2" fillId="0" borderId="1" xfId="0" applyFont="1" applyFill="1" applyBorder="1" applyAlignment="1" applyProtection="1">
      <alignment horizontal="centerContinuous" vertical="center"/>
    </xf>
    <xf numFmtId="164" fontId="2" fillId="0" borderId="1" xfId="0" applyFont="1" applyFill="1" applyBorder="1" applyAlignment="1" applyProtection="1">
      <alignment horizontal="left" vertical="center"/>
    </xf>
    <xf numFmtId="164" fontId="2" fillId="0" borderId="6" xfId="0" applyFont="1" applyBorder="1" applyAlignment="1" applyProtection="1">
      <alignment horizontal="centerContinuous"/>
    </xf>
    <xf numFmtId="2" fontId="2" fillId="0" borderId="6" xfId="0" applyNumberFormat="1" applyFont="1" applyBorder="1" applyAlignment="1" applyProtection="1">
      <alignment horizontal="centerContinuous"/>
    </xf>
    <xf numFmtId="167" fontId="2" fillId="0" borderId="6" xfId="0" applyNumberFormat="1" applyFont="1" applyBorder="1" applyAlignment="1" applyProtection="1">
      <alignment horizontal="centerContinuous"/>
    </xf>
    <xf numFmtId="167" fontId="2" fillId="0" borderId="1" xfId="0" applyNumberFormat="1" applyFont="1" applyBorder="1" applyAlignment="1" applyProtection="1">
      <alignment horizontal="center" wrapText="1"/>
    </xf>
    <xf numFmtId="164" fontId="14" fillId="0" borderId="0" xfId="0" applyFont="1" applyBorder="1" applyAlignment="1">
      <alignment horizontal="center"/>
    </xf>
    <xf numFmtId="2" fontId="2" fillId="0" borderId="0" xfId="0" applyNumberFormat="1" applyFont="1" applyBorder="1" applyAlignment="1">
      <alignment horizontal="left" wrapText="1"/>
    </xf>
    <xf numFmtId="167" fontId="2" fillId="0" borderId="1" xfId="0" applyNumberFormat="1" applyFont="1" applyBorder="1" applyAlignment="1"/>
    <xf numFmtId="164" fontId="27" fillId="0" borderId="0" xfId="0" applyFont="1" applyBorder="1" applyAlignment="1">
      <alignment horizontal="center"/>
    </xf>
    <xf numFmtId="164" fontId="2" fillId="0" borderId="1" xfId="0" quotePrefix="1" applyFont="1" applyBorder="1" applyAlignment="1">
      <alignment horizontal="center"/>
    </xf>
    <xf numFmtId="164" fontId="20" fillId="0" borderId="1" xfId="0" applyFont="1" applyFill="1" applyBorder="1"/>
    <xf numFmtId="164" fontId="2" fillId="0" borderId="1" xfId="0" applyFont="1" applyFill="1" applyBorder="1" applyAlignment="1">
      <alignment wrapText="1"/>
    </xf>
    <xf numFmtId="2" fontId="2" fillId="0" borderId="1" xfId="0" applyNumberFormat="1" applyFont="1" applyFill="1" applyBorder="1"/>
    <xf numFmtId="167" fontId="2" fillId="0" borderId="1" xfId="0" applyNumberFormat="1" applyFont="1" applyFill="1" applyBorder="1"/>
    <xf numFmtId="164" fontId="6" fillId="0" borderId="1" xfId="0" applyFont="1" applyBorder="1" applyAlignment="1">
      <alignment horizontal="center"/>
    </xf>
    <xf numFmtId="164" fontId="3" fillId="0" borderId="1" xfId="0" applyFont="1" applyFill="1" applyBorder="1"/>
    <xf numFmtId="164" fontId="2" fillId="0" borderId="6" xfId="0" applyFont="1" applyBorder="1" applyAlignment="1">
      <alignment wrapText="1"/>
    </xf>
    <xf numFmtId="2" fontId="2" fillId="0" borderId="6" xfId="0" applyNumberFormat="1" applyFont="1" applyBorder="1"/>
    <xf numFmtId="2" fontId="3" fillId="0" borderId="6" xfId="0" applyNumberFormat="1" applyFont="1" applyBorder="1"/>
    <xf numFmtId="167" fontId="3" fillId="0" borderId="6" xfId="0" applyNumberFormat="1" applyFont="1" applyBorder="1"/>
    <xf numFmtId="164" fontId="3" fillId="0" borderId="6" xfId="0" applyFont="1" applyBorder="1"/>
    <xf numFmtId="164" fontId="3" fillId="0" borderId="1" xfId="0" applyFont="1" applyBorder="1"/>
    <xf numFmtId="2" fontId="3" fillId="0" borderId="1" xfId="0" applyNumberFormat="1" applyFont="1" applyBorder="1"/>
    <xf numFmtId="167" fontId="3" fillId="0" borderId="1" xfId="0" applyNumberFormat="1" applyFont="1" applyBorder="1"/>
    <xf numFmtId="164" fontId="6" fillId="0" borderId="1" xfId="0" applyFont="1" applyFill="1" applyBorder="1"/>
    <xf numFmtId="164" fontId="6" fillId="0" borderId="6" xfId="0" applyFont="1" applyBorder="1"/>
    <xf numFmtId="164" fontId="1" fillId="0" borderId="1" xfId="0" applyFont="1" applyFill="1" applyBorder="1"/>
    <xf numFmtId="164" fontId="2" fillId="0" borderId="0" xfId="0" applyFont="1" applyFill="1" applyBorder="1" applyAlignment="1" applyProtection="1">
      <alignment horizontal="centerContinuous" vertical="center"/>
    </xf>
    <xf numFmtId="164" fontId="2" fillId="0" borderId="0" xfId="0" applyFont="1" applyFill="1" applyBorder="1" applyAlignment="1" applyProtection="1">
      <alignment horizontal="left" vertical="center"/>
    </xf>
    <xf numFmtId="2" fontId="2" fillId="0" borderId="1" xfId="0" applyNumberFormat="1" applyFont="1" applyBorder="1"/>
    <xf numFmtId="167" fontId="2" fillId="0" borderId="1" xfId="0" applyNumberFormat="1" applyFont="1" applyFill="1" applyBorder="1" applyProtection="1"/>
    <xf numFmtId="167" fontId="27" fillId="0" borderId="1" xfId="0" applyNumberFormat="1" applyFont="1" applyBorder="1"/>
    <xf numFmtId="167" fontId="2" fillId="0" borderId="1" xfId="0" applyNumberFormat="1" applyFont="1" applyBorder="1" applyAlignment="1" applyProtection="1">
      <alignment horizontal="centerContinuous"/>
    </xf>
    <xf numFmtId="164" fontId="2" fillId="0" borderId="1" xfId="0" applyFont="1" applyFill="1" applyBorder="1" applyAlignment="1">
      <alignment horizontal="left" wrapText="1"/>
    </xf>
    <xf numFmtId="164" fontId="2" fillId="0" borderId="1" xfId="0" applyFont="1" applyFill="1" applyBorder="1" applyAlignment="1">
      <alignment horizontal="center"/>
    </xf>
    <xf numFmtId="167" fontId="7" fillId="0" borderId="1" xfId="0" applyNumberFormat="1" applyFont="1" applyBorder="1"/>
    <xf numFmtId="164" fontId="2" fillId="0" borderId="1" xfId="0" quotePrefix="1" applyFont="1" applyBorder="1" applyAlignment="1" applyProtection="1">
      <alignment horizontal="left"/>
    </xf>
    <xf numFmtId="164" fontId="2" fillId="0" borderId="6" xfId="0" applyFont="1" applyFill="1" applyBorder="1" applyAlignment="1" applyProtection="1">
      <alignment horizontal="left"/>
    </xf>
    <xf numFmtId="164" fontId="21" fillId="0" borderId="0" xfId="0" applyFont="1" applyAlignment="1">
      <alignment horizontal="center" wrapText="1"/>
    </xf>
    <xf numFmtId="164" fontId="21" fillId="0" borderId="0" xfId="0" applyFont="1" applyAlignment="1">
      <alignment horizontal="center"/>
    </xf>
    <xf numFmtId="164" fontId="2" fillId="0" borderId="0" xfId="0" applyFont="1" applyFill="1" applyBorder="1" applyAlignment="1">
      <alignment horizontal="left" wrapText="1"/>
    </xf>
    <xf numFmtId="164" fontId="2" fillId="0" borderId="0" xfId="0" quotePrefix="1" applyFont="1" applyFill="1" applyBorder="1" applyAlignment="1">
      <alignment horizontal="left" wrapText="1"/>
    </xf>
    <xf numFmtId="2" fontId="2" fillId="0" borderId="0" xfId="0" applyNumberFormat="1" applyFont="1" applyBorder="1" applyAlignment="1">
      <alignment horizontal="center" wrapText="1"/>
    </xf>
    <xf numFmtId="164" fontId="2" fillId="0" borderId="0" xfId="0" applyFont="1" applyFill="1" applyBorder="1" applyAlignment="1">
      <alignment horizontal="left" vertical="top" wrapText="1"/>
    </xf>
    <xf numFmtId="164" fontId="2" fillId="0" borderId="1" xfId="0" applyFont="1" applyFill="1" applyBorder="1" applyAlignment="1">
      <alignment horizontal="left" wrapText="1"/>
    </xf>
    <xf numFmtId="166" fontId="2" fillId="0" borderId="0" xfId="0" applyNumberFormat="1" applyFont="1" applyFill="1" applyBorder="1" applyAlignment="1">
      <alignment horizontal="left" wrapText="1"/>
    </xf>
    <xf numFmtId="2" fontId="2" fillId="0" borderId="1" xfId="0" applyNumberFormat="1" applyFont="1" applyBorder="1" applyAlignment="1">
      <alignment horizontal="center" wrapText="1"/>
    </xf>
    <xf numFmtId="165" fontId="2" fillId="0" borderId="0" xfId="0" applyNumberFormat="1" applyFont="1" applyFill="1" applyBorder="1" applyAlignment="1">
      <alignment horizontal="left" wrapText="1"/>
    </xf>
    <xf numFmtId="164" fontId="2" fillId="0" borderId="0" xfId="0" quotePrefix="1" applyFont="1" applyBorder="1" applyAlignment="1" applyProtection="1"/>
    <xf numFmtId="164" fontId="2" fillId="0" borderId="0" xfId="0" applyFont="1" applyFill="1" applyBorder="1" applyAlignment="1">
      <alignment wrapText="1"/>
    </xf>
    <xf numFmtId="164" fontId="0" fillId="0" borderId="0" xfId="0" applyAlignment="1">
      <alignment wrapText="1"/>
    </xf>
    <xf numFmtId="164" fontId="2" fillId="0" borderId="0" xfId="0" applyFont="1" applyFill="1" applyBorder="1" applyAlignment="1" applyProtection="1">
      <alignment horizontal="center"/>
    </xf>
    <xf numFmtId="164" fontId="2" fillId="0" borderId="6" xfId="0" applyFont="1" applyBorder="1" applyAlignment="1">
      <alignment horizontal="center"/>
    </xf>
    <xf numFmtId="164" fontId="2" fillId="0" borderId="0" xfId="0" applyFont="1" applyBorder="1" applyAlignment="1">
      <alignment horizontal="center"/>
    </xf>
    <xf numFmtId="2" fontId="2" fillId="0" borderId="1" xfId="0" applyNumberFormat="1" applyFont="1" applyBorder="1" applyAlignment="1" applyProtection="1">
      <alignment horizontal="center"/>
    </xf>
    <xf numFmtId="164" fontId="2" fillId="0" borderId="0" xfId="0" applyFont="1" applyBorder="1" applyAlignment="1">
      <alignment horizontal="left" wrapText="1"/>
    </xf>
    <xf numFmtId="2" fontId="2" fillId="0" borderId="1" xfId="0" applyNumberFormat="1" applyFont="1" applyBorder="1" applyAlignment="1" applyProtection="1">
      <alignment horizontal="center" wrapText="1"/>
    </xf>
    <xf numFmtId="164" fontId="2" fillId="0" borderId="0" xfId="0" applyFont="1" applyBorder="1" applyAlignment="1" applyProtection="1">
      <alignment horizontal="left" wrapText="1"/>
    </xf>
    <xf numFmtId="164" fontId="2" fillId="0" borderId="1" xfId="0" applyFont="1" applyBorder="1" applyAlignment="1" applyProtection="1">
      <alignment horizontal="center" wrapText="1"/>
    </xf>
    <xf numFmtId="2" fontId="2" fillId="0" borderId="1" xfId="0" applyNumberFormat="1" applyFont="1" applyBorder="1" applyAlignment="1">
      <alignment horizontal="center"/>
    </xf>
    <xf numFmtId="164" fontId="2" fillId="0" borderId="1" xfId="0" applyFont="1" applyBorder="1" applyAlignment="1" applyProtection="1">
      <alignment horizontal="center"/>
    </xf>
    <xf numFmtId="164" fontId="2" fillId="0" borderId="0" xfId="0" quotePrefix="1" applyFont="1" applyBorder="1" applyAlignment="1">
      <alignment wrapText="1"/>
    </xf>
    <xf numFmtId="164" fontId="2" fillId="0" borderId="0" xfId="0" quotePrefix="1" applyFont="1" applyBorder="1" applyAlignment="1">
      <alignment horizontal="left" wrapText="1"/>
    </xf>
    <xf numFmtId="164" fontId="2" fillId="0" borderId="1" xfId="0" applyFont="1" applyBorder="1" applyAlignment="1">
      <alignment horizont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2"/>
  <sheetViews>
    <sheetView workbookViewId="0">
      <selection activeCell="J12" sqref="J12"/>
    </sheetView>
  </sheetViews>
  <sheetFormatPr defaultRowHeight="15.75" x14ac:dyDescent="0.25"/>
  <cols>
    <col min="1" max="1" width="24.375" style="67" customWidth="1"/>
    <col min="2" max="2" width="15.375" customWidth="1"/>
    <col min="3" max="3" width="17.875" customWidth="1"/>
    <col min="6" max="6" width="11.25" customWidth="1"/>
  </cols>
  <sheetData>
    <row r="3" spans="1:10" x14ac:dyDescent="0.25">
      <c r="B3" s="73">
        <v>2019</v>
      </c>
    </row>
    <row r="4" spans="1:10" x14ac:dyDescent="0.25">
      <c r="B4" s="71" t="s">
        <v>145</v>
      </c>
      <c r="C4" s="71" t="s">
        <v>146</v>
      </c>
      <c r="D4" s="71" t="s">
        <v>155</v>
      </c>
      <c r="E4" s="71" t="s">
        <v>156</v>
      </c>
      <c r="F4" s="67" t="s">
        <v>196</v>
      </c>
      <c r="G4" s="67"/>
      <c r="H4" s="67"/>
      <c r="I4" s="67"/>
      <c r="J4" s="67"/>
    </row>
    <row r="5" spans="1:10" x14ac:dyDescent="0.25">
      <c r="A5" s="70" t="s">
        <v>147</v>
      </c>
      <c r="B5" s="68">
        <v>50</v>
      </c>
      <c r="C5" s="68">
        <f>'Page 1 TOER'!I96</f>
        <v>62.270825200000012</v>
      </c>
      <c r="D5" s="68">
        <f>C5-B5</f>
        <v>12.270825200000012</v>
      </c>
      <c r="E5" s="69">
        <f>D5/B5</f>
        <v>0.24541650400000023</v>
      </c>
      <c r="F5" s="67"/>
      <c r="G5" s="67"/>
      <c r="H5" s="67"/>
      <c r="I5" s="67"/>
      <c r="J5" s="67"/>
    </row>
    <row r="6" spans="1:10" x14ac:dyDescent="0.25">
      <c r="A6" s="70" t="s">
        <v>148</v>
      </c>
      <c r="B6" s="68">
        <v>75</v>
      </c>
      <c r="C6" s="68">
        <f>'Page 2 TOEC'!K82</f>
        <v>99.834981066666671</v>
      </c>
      <c r="D6" s="68">
        <f>C6-B6</f>
        <v>24.834981066666671</v>
      </c>
      <c r="E6" s="69">
        <f>D6/B6</f>
        <v>0.33113308088888893</v>
      </c>
      <c r="F6" s="67"/>
      <c r="G6" s="67"/>
      <c r="H6" s="67"/>
      <c r="I6" s="67"/>
      <c r="J6" s="67"/>
    </row>
    <row r="7" spans="1:10" x14ac:dyDescent="0.25">
      <c r="A7" s="72" t="s">
        <v>157</v>
      </c>
      <c r="B7" s="68">
        <v>15</v>
      </c>
      <c r="C7" s="68">
        <f>'Page 1 TOER'!I98</f>
        <v>28.184580533333332</v>
      </c>
      <c r="D7" s="68">
        <f>C7-B7</f>
        <v>13.184580533333332</v>
      </c>
      <c r="E7" s="69">
        <f>D7/B7</f>
        <v>0.87897203555555548</v>
      </c>
      <c r="F7" s="67"/>
      <c r="G7" s="67"/>
      <c r="H7" s="67"/>
      <c r="I7" s="67"/>
      <c r="J7" s="67"/>
    </row>
    <row r="8" spans="1:10" x14ac:dyDescent="0.25">
      <c r="A8" s="72" t="s">
        <v>158</v>
      </c>
      <c r="B8" s="68">
        <v>30</v>
      </c>
      <c r="C8" s="68">
        <f>'Page 2 TOEC'!K84</f>
        <v>33.499407733333335</v>
      </c>
      <c r="D8" s="68">
        <f>C8-B8</f>
        <v>3.4994077333333351</v>
      </c>
      <c r="E8" s="69">
        <f>D8/B8</f>
        <v>0.11664692444444451</v>
      </c>
      <c r="F8" s="67"/>
      <c r="G8" s="67"/>
      <c r="H8" s="67"/>
      <c r="I8" s="67"/>
      <c r="J8" s="67"/>
    </row>
    <row r="9" spans="1:10" x14ac:dyDescent="0.25">
      <c r="A9" s="70" t="s">
        <v>149</v>
      </c>
      <c r="B9" s="68">
        <v>70</v>
      </c>
      <c r="C9" s="68">
        <f>'Page 3 RCNP Res'!I91</f>
        <v>86.849354174666672</v>
      </c>
      <c r="D9" s="68">
        <f t="shared" ref="D9:D16" si="0">C9-B9</f>
        <v>16.849354174666672</v>
      </c>
      <c r="E9" s="69">
        <f t="shared" ref="E9:E16" si="1">D9/B9</f>
        <v>0.24070505963809533</v>
      </c>
      <c r="F9" s="67"/>
      <c r="G9" s="67"/>
      <c r="H9" s="67"/>
      <c r="I9" s="67"/>
      <c r="J9" s="67"/>
    </row>
    <row r="10" spans="1:10" x14ac:dyDescent="0.25">
      <c r="A10" s="70" t="s">
        <v>150</v>
      </c>
      <c r="B10" s="68">
        <v>100</v>
      </c>
      <c r="C10" s="68">
        <f>'Page 4 RCNP Com'!I91</f>
        <v>99.704253566666665</v>
      </c>
      <c r="D10" s="68">
        <f t="shared" si="0"/>
        <v>-0.29574643333333483</v>
      </c>
      <c r="E10" s="69">
        <f t="shared" si="1"/>
        <v>-2.9574643333333483E-3</v>
      </c>
      <c r="F10" s="67"/>
      <c r="G10" s="67"/>
      <c r="H10" s="67"/>
      <c r="I10" s="67"/>
      <c r="J10" s="67"/>
    </row>
    <row r="11" spans="1:10" x14ac:dyDescent="0.25">
      <c r="A11" s="72" t="s">
        <v>157</v>
      </c>
      <c r="B11" s="68">
        <v>15</v>
      </c>
      <c r="C11" s="68">
        <f>'Page 3 RCNP Res'!I93</f>
        <v>27.595532607999999</v>
      </c>
      <c r="D11" s="68">
        <f>C11-B11</f>
        <v>12.595532607999999</v>
      </c>
      <c r="E11" s="69">
        <f>D11/B11</f>
        <v>0.83970217386666657</v>
      </c>
      <c r="F11" s="67"/>
      <c r="G11" s="67"/>
      <c r="H11" s="67"/>
      <c r="I11" s="67"/>
      <c r="J11" s="67"/>
    </row>
    <row r="12" spans="1:10" x14ac:dyDescent="0.25">
      <c r="A12" s="72" t="s">
        <v>158</v>
      </c>
      <c r="B12" s="68">
        <v>20</v>
      </c>
      <c r="C12" s="68">
        <f>'Page 4 RCNP Com'!I93</f>
        <v>31.501247733333333</v>
      </c>
      <c r="D12" s="68">
        <f>C12-B12</f>
        <v>11.501247733333333</v>
      </c>
      <c r="E12" s="69">
        <f>D12/B12</f>
        <v>0.57506238666666665</v>
      </c>
      <c r="F12" s="67"/>
      <c r="G12" s="67"/>
      <c r="H12" s="67"/>
      <c r="I12" s="67"/>
      <c r="J12" s="67"/>
    </row>
    <row r="13" spans="1:10" x14ac:dyDescent="0.25">
      <c r="A13" s="70" t="s">
        <v>151</v>
      </c>
      <c r="B13" s="68">
        <v>20</v>
      </c>
      <c r="C13" s="68">
        <f>'Page 5 DISC'!I79</f>
        <v>29.524545833333327</v>
      </c>
      <c r="D13" s="68">
        <f t="shared" si="0"/>
        <v>9.5245458333333275</v>
      </c>
      <c r="E13" s="69">
        <f>D13/B13</f>
        <v>0.47622729166666639</v>
      </c>
      <c r="F13" s="67"/>
      <c r="G13" s="67"/>
      <c r="H13" s="67"/>
      <c r="I13" s="67"/>
      <c r="J13" s="67"/>
    </row>
    <row r="14" spans="1:10" x14ac:dyDescent="0.25">
      <c r="A14" s="70" t="s">
        <v>152</v>
      </c>
      <c r="B14" s="68">
        <v>28</v>
      </c>
      <c r="C14" s="68">
        <f>'Page 6 MRIO'!I47</f>
        <v>23.254666666666669</v>
      </c>
      <c r="D14" s="68">
        <f t="shared" si="0"/>
        <v>-4.7453333333333312</v>
      </c>
      <c r="E14" s="69">
        <f>D14/B14</f>
        <v>-0.16947619047619039</v>
      </c>
      <c r="F14" s="67"/>
      <c r="G14" s="67"/>
      <c r="H14" s="67"/>
      <c r="I14" s="67"/>
      <c r="J14" s="67"/>
    </row>
    <row r="15" spans="1:10" x14ac:dyDescent="0.25">
      <c r="A15" s="70" t="s">
        <v>153</v>
      </c>
      <c r="B15" s="68">
        <v>20</v>
      </c>
      <c r="C15" s="68">
        <f>'Page 7 DTAG'!M39</f>
        <v>26.731499999999997</v>
      </c>
      <c r="D15" s="68">
        <f t="shared" si="0"/>
        <v>6.7314999999999969</v>
      </c>
      <c r="E15" s="69">
        <f t="shared" si="1"/>
        <v>0.33657499999999985</v>
      </c>
      <c r="F15" s="67"/>
      <c r="G15" s="67"/>
      <c r="H15" s="67"/>
      <c r="I15" s="67"/>
      <c r="J15" s="67"/>
    </row>
    <row r="16" spans="1:10" x14ac:dyDescent="0.25">
      <c r="A16" s="70" t="s">
        <v>154</v>
      </c>
      <c r="B16" s="68">
        <v>25</v>
      </c>
      <c r="C16" s="68">
        <f>'Page 8 Failed Trip'!I55</f>
        <v>21.378800000000002</v>
      </c>
      <c r="D16" s="68">
        <f t="shared" si="0"/>
        <v>-3.6211999999999982</v>
      </c>
      <c r="E16" s="69">
        <f t="shared" si="1"/>
        <v>-0.14484799999999992</v>
      </c>
      <c r="F16" s="67"/>
      <c r="G16" s="67"/>
      <c r="H16" s="67"/>
      <c r="I16" s="67"/>
      <c r="J16" s="67"/>
    </row>
    <row r="17" spans="2:10" x14ac:dyDescent="0.25">
      <c r="B17" s="67"/>
      <c r="C17" s="67"/>
      <c r="D17" s="67"/>
      <c r="E17" s="67"/>
      <c r="F17" s="67"/>
      <c r="G17" s="67"/>
      <c r="H17" s="67"/>
      <c r="I17" s="67"/>
      <c r="J17" s="67"/>
    </row>
    <row r="18" spans="2:10" x14ac:dyDescent="0.25">
      <c r="B18" s="67"/>
      <c r="C18" s="67"/>
      <c r="D18" s="67"/>
      <c r="E18" s="67"/>
      <c r="F18" s="67"/>
      <c r="G18" s="67"/>
      <c r="H18" s="67"/>
      <c r="I18" s="67"/>
      <c r="J18" s="67"/>
    </row>
    <row r="19" spans="2:10" x14ac:dyDescent="0.25">
      <c r="B19" s="67"/>
      <c r="C19" s="67"/>
      <c r="D19" s="67"/>
      <c r="E19" s="67"/>
      <c r="F19" s="67"/>
      <c r="G19" s="67"/>
      <c r="H19" s="67"/>
      <c r="I19" s="67"/>
      <c r="J19" s="67"/>
    </row>
    <row r="20" spans="2:10" x14ac:dyDescent="0.25">
      <c r="B20" s="67"/>
      <c r="C20" s="67"/>
      <c r="D20" s="67"/>
      <c r="E20" s="67"/>
      <c r="F20" s="67"/>
      <c r="G20" s="67"/>
      <c r="H20" s="67"/>
      <c r="I20" s="67"/>
      <c r="J20" s="67"/>
    </row>
    <row r="21" spans="2:10" x14ac:dyDescent="0.25">
      <c r="B21" s="67"/>
      <c r="C21" s="67"/>
      <c r="D21" s="67"/>
      <c r="E21" s="67"/>
      <c r="F21" s="67"/>
      <c r="G21" s="67"/>
      <c r="H21" s="67"/>
      <c r="I21" s="67"/>
      <c r="J21" s="67"/>
    </row>
    <row r="22" spans="2:10" x14ac:dyDescent="0.25">
      <c r="B22" s="67"/>
      <c r="C22" s="67"/>
      <c r="D22" s="67"/>
      <c r="E22" s="67"/>
      <c r="F22" s="67"/>
      <c r="G22" s="67"/>
      <c r="H22" s="67"/>
      <c r="I22" s="67"/>
      <c r="J22" s="67"/>
    </row>
    <row r="23" spans="2:10" x14ac:dyDescent="0.25">
      <c r="B23" s="67"/>
      <c r="C23" s="67"/>
      <c r="D23" s="67"/>
      <c r="E23" s="67"/>
      <c r="F23" s="67"/>
      <c r="G23" s="67"/>
      <c r="H23" s="67"/>
      <c r="I23" s="67"/>
      <c r="J23" s="67"/>
    </row>
    <row r="24" spans="2:10" x14ac:dyDescent="0.25">
      <c r="B24" s="67"/>
      <c r="C24" s="67"/>
      <c r="D24" s="67"/>
      <c r="E24" s="67"/>
      <c r="F24" s="67"/>
      <c r="G24" s="67"/>
      <c r="H24" s="67"/>
      <c r="I24" s="67"/>
      <c r="J24" s="67"/>
    </row>
    <row r="25" spans="2:10" x14ac:dyDescent="0.25">
      <c r="B25" s="67"/>
      <c r="C25" s="67"/>
      <c r="D25" s="67"/>
      <c r="E25" s="67"/>
      <c r="F25" s="67"/>
      <c r="G25" s="67"/>
      <c r="H25" s="67"/>
      <c r="I25" s="67"/>
      <c r="J25" s="67"/>
    </row>
    <row r="26" spans="2:10" x14ac:dyDescent="0.25">
      <c r="B26" s="67"/>
      <c r="C26" s="67"/>
      <c r="D26" s="67"/>
      <c r="E26" s="67"/>
      <c r="F26" s="67"/>
      <c r="G26" s="67"/>
      <c r="H26" s="67"/>
      <c r="I26" s="67"/>
      <c r="J26" s="67"/>
    </row>
    <row r="27" spans="2:10" x14ac:dyDescent="0.25">
      <c r="B27" s="67"/>
      <c r="C27" s="67"/>
      <c r="D27" s="67"/>
      <c r="E27" s="67"/>
      <c r="F27" s="67"/>
      <c r="G27" s="67"/>
      <c r="H27" s="67"/>
      <c r="I27" s="67"/>
      <c r="J27" s="67"/>
    </row>
    <row r="28" spans="2:10" x14ac:dyDescent="0.25">
      <c r="B28" s="67"/>
      <c r="C28" s="67"/>
      <c r="D28" s="67"/>
      <c r="E28" s="67"/>
      <c r="F28" s="67"/>
      <c r="G28" s="67"/>
      <c r="H28" s="67"/>
      <c r="I28" s="67"/>
      <c r="J28" s="67"/>
    </row>
    <row r="29" spans="2:10" x14ac:dyDescent="0.25">
      <c r="B29" s="67"/>
      <c r="C29" s="67"/>
      <c r="D29" s="67"/>
      <c r="E29" s="67"/>
      <c r="F29" s="67"/>
      <c r="G29" s="67"/>
      <c r="H29" s="67"/>
      <c r="I29" s="67"/>
      <c r="J29" s="67"/>
    </row>
    <row r="30" spans="2:10" x14ac:dyDescent="0.25">
      <c r="B30" s="67"/>
      <c r="C30" s="67"/>
      <c r="D30" s="67"/>
      <c r="E30" s="67"/>
      <c r="F30" s="67"/>
      <c r="G30" s="67"/>
      <c r="H30" s="67"/>
      <c r="I30" s="67"/>
      <c r="J30" s="67"/>
    </row>
    <row r="31" spans="2:10" x14ac:dyDescent="0.25">
      <c r="B31" s="67"/>
      <c r="C31" s="67"/>
      <c r="D31" s="67"/>
      <c r="E31" s="67"/>
      <c r="F31" s="67"/>
      <c r="G31" s="67"/>
      <c r="H31" s="67"/>
      <c r="I31" s="67"/>
      <c r="J31" s="67"/>
    </row>
    <row r="32" spans="2:10" x14ac:dyDescent="0.25">
      <c r="B32" s="67"/>
      <c r="C32" s="67"/>
      <c r="D32" s="67"/>
      <c r="E32" s="67"/>
      <c r="F32" s="67"/>
      <c r="G32" s="67"/>
      <c r="H32" s="67"/>
      <c r="I32" s="67"/>
      <c r="J32" s="67"/>
    </row>
    <row r="33" spans="2:10" x14ac:dyDescent="0.25">
      <c r="B33" s="67"/>
      <c r="C33" s="67"/>
      <c r="D33" s="67"/>
      <c r="E33" s="67"/>
      <c r="F33" s="67"/>
      <c r="G33" s="67"/>
      <c r="H33" s="67"/>
      <c r="I33" s="67"/>
      <c r="J33" s="67"/>
    </row>
    <row r="34" spans="2:10" x14ac:dyDescent="0.25">
      <c r="B34" s="67"/>
      <c r="C34" s="67"/>
      <c r="D34" s="67"/>
      <c r="E34" s="67"/>
      <c r="F34" s="67"/>
      <c r="G34" s="67"/>
      <c r="H34" s="67"/>
      <c r="I34" s="67"/>
      <c r="J34" s="67"/>
    </row>
    <row r="35" spans="2:10" x14ac:dyDescent="0.25">
      <c r="B35" s="67"/>
      <c r="C35" s="67"/>
      <c r="D35" s="67"/>
      <c r="E35" s="67"/>
      <c r="F35" s="67"/>
      <c r="G35" s="67"/>
      <c r="H35" s="67"/>
      <c r="I35" s="67"/>
      <c r="J35" s="67"/>
    </row>
    <row r="36" spans="2:10" x14ac:dyDescent="0.25">
      <c r="B36" s="67"/>
      <c r="C36" s="67"/>
      <c r="D36" s="67"/>
      <c r="E36" s="67"/>
      <c r="F36" s="67"/>
      <c r="G36" s="67"/>
      <c r="H36" s="67"/>
      <c r="I36" s="67"/>
      <c r="J36" s="67"/>
    </row>
    <row r="37" spans="2:10" x14ac:dyDescent="0.25">
      <c r="B37" s="67"/>
      <c r="C37" s="67"/>
      <c r="D37" s="67"/>
      <c r="E37" s="67"/>
      <c r="F37" s="67"/>
      <c r="G37" s="67"/>
      <c r="H37" s="67"/>
      <c r="I37" s="67"/>
      <c r="J37" s="67"/>
    </row>
    <row r="38" spans="2:10" x14ac:dyDescent="0.25">
      <c r="B38" s="67"/>
      <c r="C38" s="67"/>
      <c r="D38" s="67"/>
      <c r="E38" s="67"/>
      <c r="F38" s="67"/>
      <c r="G38" s="67"/>
      <c r="H38" s="67"/>
      <c r="I38" s="67"/>
      <c r="J38" s="67"/>
    </row>
    <row r="39" spans="2:10" x14ac:dyDescent="0.25">
      <c r="B39" s="67"/>
      <c r="C39" s="67"/>
      <c r="D39" s="67"/>
      <c r="E39" s="67"/>
      <c r="F39" s="67"/>
      <c r="G39" s="67"/>
      <c r="H39" s="67"/>
      <c r="I39" s="67"/>
      <c r="J39" s="67"/>
    </row>
    <row r="40" spans="2:10" x14ac:dyDescent="0.25">
      <c r="B40" s="67"/>
      <c r="C40" s="67"/>
      <c r="D40" s="67"/>
      <c r="E40" s="67"/>
      <c r="F40" s="67"/>
      <c r="G40" s="67"/>
      <c r="H40" s="67"/>
      <c r="I40" s="67"/>
      <c r="J40" s="67"/>
    </row>
    <row r="41" spans="2:10" x14ac:dyDescent="0.25">
      <c r="B41" s="67"/>
      <c r="C41" s="67"/>
      <c r="D41" s="67"/>
      <c r="E41" s="67"/>
      <c r="F41" s="67"/>
      <c r="G41" s="67"/>
      <c r="H41" s="67"/>
      <c r="I41" s="67"/>
      <c r="J41" s="67"/>
    </row>
    <row r="42" spans="2:10" x14ac:dyDescent="0.25">
      <c r="B42" s="67"/>
      <c r="C42" s="67"/>
      <c r="D42" s="67"/>
      <c r="E42" s="67"/>
      <c r="F42" s="67"/>
      <c r="G42" s="67"/>
      <c r="H42" s="67"/>
      <c r="I42" s="67"/>
      <c r="J42" s="67"/>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00"/>
  <sheetViews>
    <sheetView tabSelected="1" view="pageBreakPreview" topLeftCell="A22" zoomScale="80" zoomScaleNormal="85" zoomScaleSheetLayoutView="80" workbookViewId="0">
      <selection activeCell="C83" sqref="C83"/>
    </sheetView>
  </sheetViews>
  <sheetFormatPr defaultColWidth="9" defaultRowHeight="15" x14ac:dyDescent="0.2"/>
  <cols>
    <col min="1" max="1" width="12" style="1" customWidth="1"/>
    <col min="2" max="2" width="4.75" style="1" customWidth="1"/>
    <col min="3" max="3" width="84" style="1" customWidth="1"/>
    <col min="4" max="4" width="20.625" style="1" customWidth="1"/>
    <col min="5" max="5" width="18.625" style="6" customWidth="1"/>
    <col min="6" max="6" width="13.25" style="1" customWidth="1"/>
    <col min="7" max="7" width="18.625" style="1" customWidth="1"/>
    <col min="8" max="8" width="18.625" style="38" customWidth="1"/>
    <col min="9" max="9" width="10" style="1" customWidth="1"/>
    <col min="10" max="10" width="18.625" style="1" customWidth="1"/>
    <col min="11" max="11" width="12.375" style="38" customWidth="1"/>
    <col min="12" max="13" width="18.625" style="38" customWidth="1"/>
    <col min="14" max="14" width="9" style="34"/>
    <col min="15" max="15" width="9" style="7"/>
    <col min="16" max="16384" width="9" style="1"/>
  </cols>
  <sheetData>
    <row r="1" spans="1:15" s="7" customFormat="1" x14ac:dyDescent="0.2">
      <c r="E1" s="30"/>
      <c r="H1" s="34"/>
      <c r="K1" s="34"/>
      <c r="L1" s="34"/>
      <c r="M1" s="34"/>
      <c r="N1" s="34"/>
    </row>
    <row r="2" spans="1:15" s="7" customFormat="1" x14ac:dyDescent="0.2">
      <c r="A2" s="14" t="s">
        <v>0</v>
      </c>
      <c r="C2" s="15"/>
      <c r="D2" s="16" t="s">
        <v>30</v>
      </c>
      <c r="E2" s="17"/>
      <c r="F2" s="17"/>
      <c r="G2" s="16"/>
      <c r="H2" s="331"/>
      <c r="I2" s="312"/>
      <c r="J2" s="105"/>
      <c r="K2" s="7" t="s">
        <v>254</v>
      </c>
      <c r="M2" s="34"/>
      <c r="N2" s="34"/>
    </row>
    <row r="3" spans="1:15" s="7" customFormat="1" x14ac:dyDescent="0.2">
      <c r="A3" s="3"/>
      <c r="B3" s="3"/>
      <c r="C3" s="4"/>
      <c r="D3" s="280"/>
      <c r="E3" s="286"/>
      <c r="F3" s="286"/>
      <c r="G3" s="280"/>
      <c r="H3" s="350"/>
      <c r="I3" s="310"/>
      <c r="J3" s="282"/>
      <c r="K3" s="3"/>
      <c r="L3" s="111"/>
      <c r="M3" s="37"/>
      <c r="N3" s="34"/>
    </row>
    <row r="4" spans="1:15" s="7" customFormat="1" x14ac:dyDescent="0.2">
      <c r="A4" s="14" t="s">
        <v>1</v>
      </c>
      <c r="C4" s="15"/>
      <c r="D4" s="16" t="s">
        <v>29</v>
      </c>
      <c r="E4" s="17"/>
      <c r="F4" s="16"/>
      <c r="G4" s="16"/>
      <c r="H4" s="331"/>
      <c r="I4" s="105"/>
      <c r="J4" s="105"/>
      <c r="K4" s="130" t="str">
        <f>+Input!B2</f>
        <v>TYPE OF DATA SHOWN:</v>
      </c>
      <c r="M4" s="41"/>
      <c r="N4" s="34"/>
    </row>
    <row r="5" spans="1:15" s="7" customFormat="1" x14ac:dyDescent="0.2">
      <c r="C5" s="15"/>
      <c r="D5" s="21" t="s">
        <v>16</v>
      </c>
      <c r="E5" s="17"/>
      <c r="F5" s="16"/>
      <c r="G5" s="16"/>
      <c r="H5" s="331"/>
      <c r="I5" s="103"/>
      <c r="J5" s="105"/>
      <c r="K5" s="32" t="str">
        <f>+Input!B3</f>
        <v>HISTORIC BASE YEAR DATA:  12/31/19</v>
      </c>
      <c r="M5" s="42"/>
      <c r="N5" s="34"/>
    </row>
    <row r="6" spans="1:15" s="7" customFormat="1" x14ac:dyDescent="0.2">
      <c r="A6" s="14" t="s">
        <v>235</v>
      </c>
      <c r="C6" s="15"/>
      <c r="D6" s="15"/>
      <c r="E6" s="17"/>
      <c r="F6" s="16"/>
      <c r="G6" s="16"/>
      <c r="H6" s="41"/>
      <c r="I6" s="16"/>
      <c r="K6" s="130" t="str">
        <f>+Input!B4</f>
        <v>WITNESS:  M. WHITAKER</v>
      </c>
      <c r="M6" s="41"/>
      <c r="N6" s="34"/>
    </row>
    <row r="7" spans="1:15" s="7" customFormat="1" x14ac:dyDescent="0.2">
      <c r="C7" s="15"/>
      <c r="D7" s="15"/>
      <c r="E7" s="17"/>
      <c r="F7" s="16"/>
      <c r="G7" s="16"/>
      <c r="H7" s="41"/>
      <c r="I7" s="16"/>
      <c r="J7" s="16"/>
      <c r="K7" s="41"/>
      <c r="L7" s="41"/>
      <c r="M7" s="41"/>
      <c r="N7" s="34"/>
    </row>
    <row r="8" spans="1:15" s="111" customFormat="1" x14ac:dyDescent="0.2">
      <c r="A8" s="302" t="str">
        <f>+Input!A2</f>
        <v>DOCKET NO.:  20200051-GU</v>
      </c>
      <c r="C8" s="303"/>
      <c r="D8" s="303"/>
      <c r="E8" s="286" t="s">
        <v>2</v>
      </c>
      <c r="F8" s="280" t="s">
        <v>2</v>
      </c>
      <c r="G8" s="280" t="s">
        <v>2</v>
      </c>
      <c r="H8" s="281" t="s">
        <v>2</v>
      </c>
      <c r="I8" s="326" t="s">
        <v>2</v>
      </c>
      <c r="J8" s="326" t="s">
        <v>2</v>
      </c>
      <c r="K8" s="327" t="s">
        <v>2</v>
      </c>
      <c r="L8" s="327"/>
      <c r="M8" s="327"/>
      <c r="N8" s="304"/>
    </row>
    <row r="9" spans="1:15" s="7" customFormat="1" x14ac:dyDescent="0.2">
      <c r="A9" s="19"/>
      <c r="B9" s="19"/>
      <c r="C9" s="20"/>
      <c r="D9" s="20"/>
      <c r="E9" s="149"/>
      <c r="F9" s="149"/>
      <c r="G9" s="121"/>
      <c r="H9" s="150"/>
      <c r="I9" s="100"/>
      <c r="J9" s="19"/>
      <c r="K9" s="35"/>
      <c r="L9" s="35"/>
      <c r="M9" s="35"/>
      <c r="N9" s="34"/>
    </row>
    <row r="10" spans="1:15" x14ac:dyDescent="0.2">
      <c r="A10" s="7"/>
      <c r="B10" s="7"/>
      <c r="C10" s="14"/>
      <c r="D10" s="14"/>
      <c r="E10" s="402" t="s">
        <v>182</v>
      </c>
      <c r="F10" s="402"/>
      <c r="G10" s="402"/>
      <c r="H10" s="402"/>
      <c r="I10" s="7"/>
      <c r="J10" s="402" t="s">
        <v>33</v>
      </c>
      <c r="K10" s="402"/>
      <c r="L10" s="402"/>
      <c r="M10" s="402"/>
      <c r="N10" s="7"/>
    </row>
    <row r="11" spans="1:15" s="7" customFormat="1" ht="18" x14ac:dyDescent="0.2">
      <c r="A11" s="275" t="s">
        <v>297</v>
      </c>
      <c r="B11" s="111"/>
      <c r="C11" s="125" t="s">
        <v>3</v>
      </c>
      <c r="D11" s="125"/>
      <c r="E11" s="402" t="s">
        <v>4</v>
      </c>
      <c r="F11" s="402"/>
      <c r="G11" s="154" t="s">
        <v>40</v>
      </c>
      <c r="H11" s="147" t="s">
        <v>5</v>
      </c>
      <c r="I11" s="146"/>
      <c r="J11" s="397" t="s">
        <v>4</v>
      </c>
      <c r="K11" s="397"/>
      <c r="L11" s="272" t="s">
        <v>40</v>
      </c>
      <c r="M11" s="148" t="s">
        <v>5</v>
      </c>
    </row>
    <row r="12" spans="1:15" s="7" customFormat="1" ht="18" x14ac:dyDescent="0.2">
      <c r="A12" s="277"/>
      <c r="C12" s="14"/>
      <c r="D12" s="14"/>
      <c r="E12" s="130"/>
      <c r="G12" s="349"/>
      <c r="H12" s="144"/>
      <c r="I12" s="151"/>
      <c r="J12" s="32"/>
      <c r="L12" s="152"/>
      <c r="M12" s="153"/>
    </row>
    <row r="13" spans="1:15" x14ac:dyDescent="0.2">
      <c r="A13" s="277">
        <v>1</v>
      </c>
      <c r="B13" s="7" t="s">
        <v>65</v>
      </c>
      <c r="C13" s="15"/>
      <c r="D13" s="15"/>
      <c r="E13" s="30"/>
      <c r="F13" s="7"/>
      <c r="G13" s="30"/>
      <c r="H13" s="34"/>
      <c r="I13" s="7"/>
      <c r="J13" s="30"/>
      <c r="K13" s="34"/>
      <c r="L13" s="7"/>
      <c r="M13" s="7"/>
      <c r="N13" s="7"/>
    </row>
    <row r="14" spans="1:15" x14ac:dyDescent="0.2">
      <c r="A14" s="277"/>
      <c r="B14" s="7"/>
      <c r="C14" s="398" t="s">
        <v>134</v>
      </c>
      <c r="D14" s="398"/>
      <c r="E14" s="30"/>
      <c r="F14" s="7"/>
      <c r="G14" s="30"/>
      <c r="H14" s="34"/>
      <c r="I14" s="7"/>
      <c r="J14" s="30">
        <v>1</v>
      </c>
      <c r="K14" s="7"/>
      <c r="L14" s="30"/>
      <c r="M14" s="34"/>
      <c r="N14" s="7"/>
    </row>
    <row r="15" spans="1:15" x14ac:dyDescent="0.2">
      <c r="A15" s="277"/>
      <c r="B15" s="7"/>
      <c r="C15" s="15"/>
      <c r="D15" s="15"/>
      <c r="E15" s="30"/>
      <c r="F15" s="7"/>
      <c r="G15" s="30"/>
      <c r="H15" s="34"/>
      <c r="I15" s="7"/>
      <c r="J15" s="30"/>
      <c r="K15" s="7"/>
      <c r="L15" s="30"/>
      <c r="M15" s="201"/>
      <c r="N15" s="7"/>
    </row>
    <row r="16" spans="1:15" s="8" customFormat="1" ht="18" x14ac:dyDescent="0.2">
      <c r="A16" s="276"/>
      <c r="B16" s="126"/>
      <c r="C16" s="124" t="s">
        <v>127</v>
      </c>
      <c r="D16" s="124"/>
      <c r="E16" s="30">
        <v>0</v>
      </c>
      <c r="F16" s="7" t="s">
        <v>15</v>
      </c>
      <c r="G16" s="30">
        <f>L16</f>
        <v>37.36</v>
      </c>
      <c r="H16" s="34">
        <f>($G$16/60)*$E$16</f>
        <v>0</v>
      </c>
      <c r="I16" s="126"/>
      <c r="J16" s="49">
        <f>SUM($J$14:$J$15)</f>
        <v>1</v>
      </c>
      <c r="K16" s="11" t="s">
        <v>15</v>
      </c>
      <c r="L16" s="49">
        <v>37.36</v>
      </c>
      <c r="M16" s="45">
        <f>($L$16/60)*$J$16</f>
        <v>0.6226666666666667</v>
      </c>
      <c r="N16" s="11"/>
      <c r="O16" s="11"/>
    </row>
    <row r="17" spans="1:15" s="8" customFormat="1" x14ac:dyDescent="0.2">
      <c r="A17" s="276"/>
      <c r="B17" s="31"/>
      <c r="C17" s="124"/>
      <c r="D17" s="124"/>
      <c r="E17" s="30"/>
      <c r="F17" s="7"/>
      <c r="G17" s="30"/>
      <c r="H17" s="34"/>
      <c r="I17" s="11"/>
      <c r="J17" s="49"/>
      <c r="K17" s="11"/>
      <c r="L17" s="49"/>
      <c r="M17" s="45"/>
      <c r="N17" s="11"/>
      <c r="O17" s="11"/>
    </row>
    <row r="18" spans="1:15" s="8" customFormat="1" x14ac:dyDescent="0.2">
      <c r="A18" s="276"/>
      <c r="B18" s="31"/>
      <c r="C18" s="124"/>
      <c r="D18" s="124"/>
      <c r="E18" s="30"/>
      <c r="F18" s="7"/>
      <c r="G18" s="30"/>
      <c r="H18" s="34"/>
      <c r="I18" s="11"/>
      <c r="J18" s="49"/>
      <c r="K18" s="11"/>
      <c r="L18" s="49"/>
      <c r="M18" s="45"/>
      <c r="N18" s="11"/>
      <c r="O18" s="11"/>
    </row>
    <row r="19" spans="1:15" x14ac:dyDescent="0.2">
      <c r="A19" s="277"/>
      <c r="B19" s="14"/>
      <c r="C19" s="202"/>
      <c r="D19" s="202"/>
      <c r="E19" s="30"/>
      <c r="F19" s="7"/>
      <c r="G19" s="7"/>
      <c r="H19" s="34"/>
      <c r="I19" s="7"/>
      <c r="J19" s="30"/>
      <c r="K19" s="7"/>
      <c r="L19" s="7"/>
      <c r="M19" s="34"/>
      <c r="N19" s="7"/>
    </row>
    <row r="20" spans="1:15" x14ac:dyDescent="0.2">
      <c r="A20" s="277">
        <v>2</v>
      </c>
      <c r="B20" s="14" t="s">
        <v>67</v>
      </c>
      <c r="C20" s="202"/>
      <c r="D20" s="202"/>
      <c r="E20" s="30"/>
      <c r="F20" s="30"/>
      <c r="G20" s="7"/>
      <c r="H20" s="34"/>
      <c r="I20" s="7"/>
      <c r="J20" s="30"/>
      <c r="K20" s="7"/>
      <c r="L20" s="7"/>
      <c r="M20" s="34"/>
      <c r="N20" s="7"/>
    </row>
    <row r="21" spans="1:15" ht="18" x14ac:dyDescent="0.2">
      <c r="A21" s="277"/>
      <c r="B21" s="14" t="s">
        <v>41</v>
      </c>
      <c r="C21" s="29" t="s">
        <v>47</v>
      </c>
      <c r="D21" s="29"/>
      <c r="E21" s="30">
        <v>0</v>
      </c>
      <c r="F21" s="7"/>
      <c r="G21" s="30"/>
      <c r="H21" s="34"/>
      <c r="I21" s="151"/>
      <c r="J21" s="30">
        <v>12</v>
      </c>
      <c r="K21" s="7"/>
      <c r="L21" s="7"/>
      <c r="M21" s="34"/>
      <c r="N21" s="7"/>
    </row>
    <row r="22" spans="1:15" ht="44.25" customHeight="1" x14ac:dyDescent="0.2">
      <c r="A22" s="277"/>
      <c r="B22" s="7" t="s">
        <v>42</v>
      </c>
      <c r="C22" s="15" t="s">
        <v>137</v>
      </c>
      <c r="D22" s="15"/>
      <c r="E22" s="30">
        <v>0</v>
      </c>
      <c r="F22" s="7"/>
      <c r="G22" s="30"/>
      <c r="H22" s="34"/>
      <c r="I22" s="126"/>
      <c r="J22" s="49">
        <v>6</v>
      </c>
      <c r="K22" s="7"/>
      <c r="L22" s="7"/>
      <c r="M22" s="34"/>
      <c r="N22" s="7"/>
    </row>
    <row r="23" spans="1:15" s="8" customFormat="1" ht="18" x14ac:dyDescent="0.2">
      <c r="A23" s="276"/>
      <c r="B23" s="126"/>
      <c r="C23" s="124" t="s">
        <v>195</v>
      </c>
      <c r="D23" s="124"/>
      <c r="E23" s="30">
        <f>SUM($E$20:$E$22)</f>
        <v>0</v>
      </c>
      <c r="F23" s="7" t="s">
        <v>15</v>
      </c>
      <c r="G23" s="30">
        <v>37.44</v>
      </c>
      <c r="H23" s="34">
        <f>($G$23/60)*$E$23</f>
        <v>0</v>
      </c>
      <c r="I23" s="126"/>
      <c r="J23" s="49">
        <f>SUM($J$21:$J$22)</f>
        <v>18</v>
      </c>
      <c r="K23" s="11" t="s">
        <v>15</v>
      </c>
      <c r="L23" s="30">
        <v>37.44</v>
      </c>
      <c r="M23" s="45">
        <f>($L$23/60)*$J$23</f>
        <v>11.231999999999999</v>
      </c>
      <c r="N23" s="11"/>
      <c r="O23" s="11"/>
    </row>
    <row r="24" spans="1:15" x14ac:dyDescent="0.2">
      <c r="A24" s="277"/>
      <c r="B24" s="7"/>
      <c r="C24" s="15"/>
      <c r="D24" s="15"/>
      <c r="E24" s="30"/>
      <c r="F24" s="7"/>
      <c r="G24" s="30"/>
      <c r="H24" s="34"/>
      <c r="I24" s="7"/>
      <c r="J24" s="30"/>
      <c r="K24" s="7"/>
      <c r="L24" s="7"/>
      <c r="M24" s="34"/>
      <c r="N24" s="7"/>
    </row>
    <row r="25" spans="1:15" x14ac:dyDescent="0.2">
      <c r="A25" s="277">
        <v>3</v>
      </c>
      <c r="B25" s="7" t="s">
        <v>14</v>
      </c>
      <c r="C25" s="15"/>
      <c r="D25" s="15"/>
      <c r="E25" s="30"/>
      <c r="F25" s="7"/>
      <c r="G25" s="30"/>
      <c r="H25" s="34"/>
      <c r="I25" s="7"/>
      <c r="J25" s="30"/>
      <c r="K25" s="7"/>
      <c r="L25" s="7"/>
      <c r="M25" s="34"/>
      <c r="N25" s="7"/>
    </row>
    <row r="26" spans="1:15" x14ac:dyDescent="0.2">
      <c r="A26" s="277"/>
      <c r="B26" s="7"/>
      <c r="C26" s="15" t="s">
        <v>70</v>
      </c>
      <c r="D26" s="15"/>
      <c r="E26" s="30"/>
      <c r="F26" s="7"/>
      <c r="G26" s="30"/>
      <c r="H26" s="34">
        <v>0</v>
      </c>
      <c r="I26" s="7"/>
      <c r="J26" s="30"/>
      <c r="K26" s="7"/>
      <c r="L26" s="7"/>
      <c r="M26" s="45">
        <v>0.03</v>
      </c>
      <c r="N26" s="7"/>
    </row>
    <row r="27" spans="1:15" x14ac:dyDescent="0.2">
      <c r="A27" s="277"/>
      <c r="B27" s="7"/>
      <c r="C27" s="15"/>
      <c r="D27" s="15"/>
      <c r="E27" s="15"/>
      <c r="F27" s="7"/>
      <c r="G27" s="30"/>
      <c r="H27" s="34"/>
      <c r="I27" s="7"/>
      <c r="J27" s="30"/>
      <c r="K27" s="7"/>
      <c r="L27" s="7"/>
      <c r="M27" s="34"/>
      <c r="N27" s="7"/>
    </row>
    <row r="28" spans="1:15" x14ac:dyDescent="0.2">
      <c r="A28" s="277">
        <v>4</v>
      </c>
      <c r="B28" s="7" t="s">
        <v>8</v>
      </c>
      <c r="C28" s="15"/>
      <c r="D28" s="15"/>
      <c r="E28" s="30"/>
      <c r="F28" s="7"/>
      <c r="G28" s="30"/>
      <c r="H28" s="34"/>
      <c r="I28" s="7"/>
      <c r="J28" s="30"/>
      <c r="K28" s="7"/>
      <c r="L28" s="7"/>
      <c r="M28" s="34"/>
      <c r="N28" s="7"/>
    </row>
    <row r="29" spans="1:15" x14ac:dyDescent="0.2">
      <c r="A29" s="276"/>
      <c r="B29" s="31" t="s">
        <v>41</v>
      </c>
      <c r="C29" s="383" t="s">
        <v>73</v>
      </c>
      <c r="D29" s="383"/>
      <c r="E29" s="7"/>
      <c r="F29" s="7"/>
      <c r="G29" s="30"/>
      <c r="H29" s="30"/>
      <c r="I29" s="11"/>
      <c r="J29" s="7"/>
      <c r="K29" s="7"/>
      <c r="L29" s="7"/>
      <c r="M29" s="7"/>
      <c r="N29" s="7"/>
    </row>
    <row r="30" spans="1:15" x14ac:dyDescent="0.2">
      <c r="A30" s="276"/>
      <c r="B30" s="31"/>
      <c r="C30" s="124"/>
      <c r="D30" s="124"/>
      <c r="E30" s="7"/>
      <c r="F30" s="7"/>
      <c r="G30" s="30"/>
      <c r="H30" s="30"/>
      <c r="I30" s="11"/>
      <c r="J30" s="7"/>
      <c r="K30" s="7"/>
      <c r="L30" s="7"/>
      <c r="M30" s="7"/>
      <c r="N30" s="7"/>
    </row>
    <row r="31" spans="1:15" s="8" customFormat="1" x14ac:dyDescent="0.2">
      <c r="A31" s="276"/>
      <c r="B31" s="31" t="s">
        <v>42</v>
      </c>
      <c r="C31" s="384" t="s">
        <v>142</v>
      </c>
      <c r="D31" s="384"/>
      <c r="E31" s="30"/>
      <c r="F31" s="7"/>
      <c r="G31" s="30"/>
      <c r="H31" s="34">
        <f>$E$23*(3.5/60)</f>
        <v>0</v>
      </c>
      <c r="I31" s="11"/>
      <c r="J31" s="49"/>
      <c r="K31" s="11"/>
      <c r="L31" s="11"/>
      <c r="M31" s="45">
        <f>$J$23*(4.9/60)</f>
        <v>1.4700000000000002</v>
      </c>
      <c r="N31" s="11"/>
      <c r="O31" s="11"/>
    </row>
    <row r="32" spans="1:15" x14ac:dyDescent="0.2">
      <c r="A32" s="277"/>
      <c r="B32" s="7"/>
      <c r="C32" s="196"/>
      <c r="D32" s="196"/>
      <c r="E32" s="30"/>
      <c r="F32" s="7"/>
      <c r="G32" s="30"/>
      <c r="H32" s="34"/>
      <c r="I32" s="7"/>
      <c r="J32" s="30"/>
      <c r="K32" s="7"/>
      <c r="L32" s="7"/>
      <c r="M32" s="34"/>
      <c r="N32" s="7"/>
    </row>
    <row r="33" spans="1:15" x14ac:dyDescent="0.2">
      <c r="A33" s="277">
        <v>5</v>
      </c>
      <c r="B33" s="31" t="s">
        <v>98</v>
      </c>
      <c r="C33" s="124"/>
      <c r="D33" s="124"/>
      <c r="E33" s="30"/>
      <c r="F33" s="7"/>
      <c r="G33" s="30"/>
      <c r="H33" s="34"/>
      <c r="I33" s="7"/>
      <c r="J33" s="30"/>
      <c r="K33" s="7"/>
      <c r="L33" s="7"/>
      <c r="M33" s="34"/>
      <c r="N33" s="7"/>
    </row>
    <row r="34" spans="1:15" s="8" customFormat="1" ht="18" x14ac:dyDescent="0.2">
      <c r="A34" s="276"/>
      <c r="B34" s="11"/>
      <c r="C34" s="383" t="s">
        <v>99</v>
      </c>
      <c r="D34" s="383"/>
      <c r="E34" s="30"/>
      <c r="F34" s="7"/>
      <c r="G34" s="151"/>
      <c r="H34" s="34">
        <f>($E$23)*(15.55/60)</f>
        <v>0</v>
      </c>
      <c r="I34" s="11"/>
      <c r="J34" s="49"/>
      <c r="K34" s="11"/>
      <c r="L34" s="151"/>
      <c r="M34" s="45">
        <f>($J$23)*(21.12/60)</f>
        <v>6.3360000000000003</v>
      </c>
      <c r="N34" s="11"/>
      <c r="O34" s="11"/>
    </row>
    <row r="35" spans="1:15" x14ac:dyDescent="0.2">
      <c r="A35" s="277"/>
      <c r="B35" s="7"/>
      <c r="C35" s="15"/>
      <c r="D35" s="15"/>
      <c r="E35" s="30"/>
      <c r="F35" s="7"/>
      <c r="G35" s="30"/>
      <c r="H35" s="34"/>
      <c r="I35" s="7"/>
      <c r="J35" s="30"/>
      <c r="K35" s="7"/>
      <c r="L35" s="7"/>
      <c r="M35" s="34"/>
      <c r="N35" s="7"/>
    </row>
    <row r="36" spans="1:15" x14ac:dyDescent="0.2">
      <c r="A36" s="277"/>
      <c r="B36" s="7"/>
      <c r="C36" s="15"/>
      <c r="D36" s="15"/>
      <c r="E36" s="30"/>
      <c r="F36" s="7"/>
      <c r="G36" s="30"/>
      <c r="H36" s="34"/>
      <c r="I36" s="7"/>
      <c r="J36" s="30"/>
      <c r="K36" s="7"/>
      <c r="L36" s="7"/>
      <c r="M36" s="34"/>
      <c r="N36" s="7"/>
    </row>
    <row r="37" spans="1:15" s="8" customFormat="1" ht="18" x14ac:dyDescent="0.2">
      <c r="A37" s="276">
        <v>6</v>
      </c>
      <c r="B37" s="11" t="s">
        <v>9</v>
      </c>
      <c r="C37" s="124"/>
      <c r="D37" s="124"/>
      <c r="E37" s="30"/>
      <c r="F37" s="7"/>
      <c r="G37" s="30"/>
      <c r="H37" s="34"/>
      <c r="I37" s="11"/>
      <c r="J37" s="49"/>
      <c r="K37" s="11"/>
      <c r="L37" s="151"/>
      <c r="M37" s="45">
        <f>'Page 5 DISC'!$I$73</f>
        <v>7.0408333333333335</v>
      </c>
      <c r="N37" s="11"/>
      <c r="O37" s="11"/>
    </row>
    <row r="38" spans="1:15" x14ac:dyDescent="0.2">
      <c r="A38" s="277"/>
      <c r="B38" s="14"/>
      <c r="C38" s="15"/>
      <c r="D38" s="15"/>
      <c r="E38" s="30"/>
      <c r="F38" s="7"/>
      <c r="G38" s="30"/>
      <c r="H38" s="34"/>
      <c r="I38" s="7"/>
      <c r="J38" s="30"/>
      <c r="K38" s="7"/>
      <c r="L38" s="7"/>
      <c r="M38" s="34"/>
      <c r="N38" s="7"/>
    </row>
    <row r="39" spans="1:15" ht="24.75" customHeight="1" x14ac:dyDescent="0.35">
      <c r="A39" s="276">
        <v>7</v>
      </c>
      <c r="B39" s="11" t="s">
        <v>34</v>
      </c>
      <c r="C39" s="124"/>
      <c r="D39" s="124"/>
      <c r="E39" s="130"/>
      <c r="F39" s="7"/>
      <c r="G39" s="30"/>
      <c r="H39" s="50">
        <f>SUM($H$13:$H$38)</f>
        <v>0</v>
      </c>
      <c r="I39" s="11"/>
      <c r="J39" s="30"/>
      <c r="K39" s="7"/>
      <c r="L39" s="7"/>
      <c r="M39" s="51">
        <f>SUM($M$13:$M$38)</f>
        <v>26.731499999999997</v>
      </c>
      <c r="N39" s="7"/>
    </row>
    <row r="40" spans="1:15" ht="17.25" x14ac:dyDescent="0.35">
      <c r="A40" s="276"/>
      <c r="B40" s="11"/>
      <c r="C40" s="124"/>
      <c r="D40" s="124"/>
      <c r="E40" s="130"/>
      <c r="F40" s="7"/>
      <c r="G40" s="30"/>
      <c r="H40" s="50"/>
      <c r="I40" s="11"/>
      <c r="J40" s="30"/>
      <c r="K40" s="7"/>
      <c r="L40" s="7"/>
      <c r="M40" s="51"/>
      <c r="N40" s="7"/>
    </row>
    <row r="41" spans="1:15" ht="17.25" x14ac:dyDescent="0.35">
      <c r="A41" s="276"/>
      <c r="B41" s="11"/>
      <c r="C41" s="124"/>
      <c r="D41" s="124"/>
      <c r="E41" s="130"/>
      <c r="F41" s="7"/>
      <c r="G41" s="30"/>
      <c r="H41" s="50"/>
      <c r="I41" s="11"/>
      <c r="J41" s="30"/>
      <c r="K41" s="7"/>
      <c r="L41" s="7"/>
      <c r="M41" s="51"/>
      <c r="N41" s="7"/>
    </row>
    <row r="42" spans="1:15" ht="17.25" x14ac:dyDescent="0.35">
      <c r="A42" s="276"/>
      <c r="B42" s="11"/>
      <c r="C42" s="124"/>
      <c r="D42" s="124"/>
      <c r="E42" s="130"/>
      <c r="F42" s="7"/>
      <c r="G42" s="30"/>
      <c r="H42" s="50"/>
      <c r="I42" s="11"/>
      <c r="J42" s="30"/>
      <c r="K42" s="7"/>
      <c r="L42" s="7"/>
      <c r="M42" s="51"/>
      <c r="N42" s="7"/>
    </row>
    <row r="43" spans="1:15" ht="17.25" x14ac:dyDescent="0.35">
      <c r="A43" s="276"/>
      <c r="B43" s="11"/>
      <c r="C43" s="124"/>
      <c r="D43" s="124"/>
      <c r="E43" s="130"/>
      <c r="F43" s="7"/>
      <c r="G43" s="30"/>
      <c r="H43" s="50"/>
      <c r="I43" s="11"/>
      <c r="J43" s="30"/>
      <c r="K43" s="7"/>
      <c r="L43" s="7"/>
      <c r="M43" s="51"/>
      <c r="N43" s="7"/>
    </row>
    <row r="44" spans="1:15" ht="17.25" x14ac:dyDescent="0.35">
      <c r="A44" s="276"/>
      <c r="B44" s="11"/>
      <c r="C44" s="124"/>
      <c r="D44" s="124"/>
      <c r="E44" s="130"/>
      <c r="F44" s="7"/>
      <c r="G44" s="30"/>
      <c r="H44" s="50"/>
      <c r="I44" s="11"/>
      <c r="J44" s="30"/>
      <c r="K44" s="7"/>
      <c r="L44" s="7"/>
      <c r="M44" s="51"/>
      <c r="N44" s="7"/>
    </row>
    <row r="45" spans="1:15" ht="17.25" x14ac:dyDescent="0.35">
      <c r="A45" s="276"/>
      <c r="B45" s="11"/>
      <c r="C45" s="124"/>
      <c r="D45" s="124"/>
      <c r="E45" s="130"/>
      <c r="F45" s="7"/>
      <c r="G45" s="30"/>
      <c r="H45" s="50"/>
      <c r="I45" s="11"/>
      <c r="J45" s="30"/>
      <c r="K45" s="7"/>
      <c r="L45" s="7"/>
      <c r="M45" s="51"/>
      <c r="N45" s="7"/>
    </row>
    <row r="46" spans="1:15" s="7" customFormat="1" ht="17.25" x14ac:dyDescent="0.35">
      <c r="A46" s="276"/>
      <c r="B46" s="11"/>
      <c r="C46" s="252"/>
      <c r="D46" s="252"/>
      <c r="E46" s="130"/>
      <c r="G46" s="30"/>
      <c r="H46" s="50"/>
      <c r="I46" s="11"/>
      <c r="J46" s="30"/>
      <c r="M46" s="51"/>
    </row>
    <row r="47" spans="1:15" s="7" customFormat="1" ht="17.25" x14ac:dyDescent="0.35">
      <c r="A47" s="276"/>
      <c r="B47" s="11"/>
      <c r="C47" s="252"/>
      <c r="D47" s="252"/>
      <c r="E47" s="130"/>
      <c r="G47" s="30"/>
      <c r="H47" s="50"/>
      <c r="I47" s="11"/>
      <c r="J47" s="30"/>
      <c r="M47" s="51"/>
    </row>
    <row r="48" spans="1:15" s="7" customFormat="1" ht="17.25" x14ac:dyDescent="0.35">
      <c r="A48" s="276"/>
      <c r="B48" s="11"/>
      <c r="C48" s="252"/>
      <c r="D48" s="252"/>
      <c r="E48" s="130"/>
      <c r="G48" s="30"/>
      <c r="H48" s="50"/>
      <c r="I48" s="11"/>
      <c r="J48" s="30"/>
      <c r="M48" s="51"/>
    </row>
    <row r="49" spans="1:14" s="7" customFormat="1" ht="17.25" x14ac:dyDescent="0.35">
      <c r="A49" s="11"/>
      <c r="B49" s="11"/>
      <c r="C49" s="252"/>
      <c r="D49" s="252"/>
      <c r="E49" s="130"/>
      <c r="G49" s="30"/>
      <c r="H49" s="50"/>
      <c r="I49" s="11"/>
      <c r="J49" s="30"/>
      <c r="M49" s="51"/>
    </row>
    <row r="50" spans="1:14" s="7" customFormat="1" ht="17.25" x14ac:dyDescent="0.35">
      <c r="A50" s="11"/>
      <c r="B50" s="11"/>
      <c r="C50" s="252"/>
      <c r="D50" s="252"/>
      <c r="E50" s="130"/>
      <c r="G50" s="30"/>
      <c r="H50" s="50"/>
      <c r="I50" s="11"/>
      <c r="J50" s="30"/>
      <c r="M50" s="51"/>
    </row>
    <row r="51" spans="1:14" s="7" customFormat="1" ht="17.25" x14ac:dyDescent="0.35">
      <c r="A51" s="11"/>
      <c r="B51" s="11"/>
      <c r="C51" s="245"/>
      <c r="D51" s="245"/>
      <c r="E51" s="130"/>
      <c r="G51" s="30"/>
      <c r="H51" s="50"/>
      <c r="I51" s="11"/>
      <c r="J51" s="30"/>
      <c r="M51" s="51"/>
    </row>
    <row r="52" spans="1:14" s="111" customFormat="1" x14ac:dyDescent="0.2">
      <c r="A52" s="284"/>
      <c r="B52" s="284"/>
      <c r="C52" s="354"/>
      <c r="D52" s="354"/>
      <c r="E52" s="372"/>
      <c r="G52" s="372"/>
      <c r="H52" s="304"/>
      <c r="I52" s="284"/>
      <c r="J52" s="372"/>
      <c r="M52" s="304"/>
    </row>
    <row r="53" spans="1:14" x14ac:dyDescent="0.2">
      <c r="A53" s="11"/>
      <c r="B53" s="11"/>
      <c r="C53" s="124"/>
      <c r="D53" s="124"/>
      <c r="E53" s="30"/>
      <c r="F53" s="7"/>
      <c r="G53" s="30"/>
      <c r="H53" s="34"/>
      <c r="I53" s="11"/>
      <c r="J53" s="30"/>
      <c r="K53" s="7"/>
      <c r="L53" s="7"/>
      <c r="M53" s="34"/>
      <c r="N53" s="7"/>
    </row>
    <row r="54" spans="1:14" s="7" customFormat="1" x14ac:dyDescent="0.2">
      <c r="A54" s="11"/>
      <c r="C54" s="252" t="s">
        <v>63</v>
      </c>
      <c r="D54" s="252"/>
      <c r="E54" s="30"/>
      <c r="G54" s="30"/>
      <c r="H54" s="34"/>
      <c r="I54" s="11"/>
      <c r="J54" s="30"/>
      <c r="M54" s="34"/>
    </row>
    <row r="55" spans="1:14" ht="18" x14ac:dyDescent="0.2">
      <c r="A55" s="11"/>
      <c r="B55" s="151">
        <v>1</v>
      </c>
      <c r="C55" s="124" t="s">
        <v>171</v>
      </c>
      <c r="D55" s="124"/>
      <c r="E55" s="30"/>
      <c r="F55" s="7"/>
      <c r="G55" s="30"/>
      <c r="H55" s="34"/>
      <c r="I55" s="11"/>
      <c r="J55" s="49"/>
      <c r="K55" s="44"/>
      <c r="L55" s="44"/>
      <c r="M55" s="44"/>
    </row>
    <row r="56" spans="1:14" ht="18" x14ac:dyDescent="0.2">
      <c r="A56" s="11"/>
      <c r="B56" s="151">
        <v>2</v>
      </c>
      <c r="C56" s="124" t="s">
        <v>69</v>
      </c>
      <c r="D56" s="124"/>
      <c r="E56" s="30"/>
      <c r="F56" s="7"/>
      <c r="G56" s="30"/>
      <c r="H56" s="34"/>
      <c r="I56" s="11"/>
      <c r="J56" s="49"/>
      <c r="K56" s="45"/>
      <c r="L56" s="45"/>
      <c r="M56" s="45"/>
    </row>
    <row r="57" spans="1:14" ht="18" x14ac:dyDescent="0.2">
      <c r="A57" s="11"/>
      <c r="B57" s="151">
        <v>3</v>
      </c>
      <c r="C57" s="124" t="s">
        <v>75</v>
      </c>
      <c r="D57" s="124"/>
      <c r="E57" s="30"/>
      <c r="F57" s="7"/>
      <c r="G57" s="30"/>
      <c r="H57" s="34"/>
      <c r="I57" s="11"/>
      <c r="J57" s="49"/>
      <c r="K57" s="44"/>
      <c r="L57" s="44"/>
      <c r="M57" s="44"/>
    </row>
    <row r="58" spans="1:14" ht="18" x14ac:dyDescent="0.2">
      <c r="A58" s="11"/>
      <c r="B58" s="151">
        <v>4</v>
      </c>
      <c r="C58" s="252" t="s">
        <v>92</v>
      </c>
      <c r="D58" s="252"/>
      <c r="E58" s="252"/>
      <c r="F58" s="7"/>
      <c r="G58" s="30"/>
      <c r="H58" s="34"/>
      <c r="I58" s="11"/>
      <c r="J58" s="49"/>
      <c r="K58" s="44"/>
      <c r="L58" s="44"/>
      <c r="M58" s="44"/>
    </row>
    <row r="59" spans="1:14" s="7" customFormat="1" ht="18" x14ac:dyDescent="0.2">
      <c r="A59" s="11"/>
      <c r="B59" s="151">
        <v>5</v>
      </c>
      <c r="C59" s="245" t="s">
        <v>93</v>
      </c>
      <c r="D59" s="245"/>
      <c r="E59" s="30"/>
      <c r="G59" s="30"/>
      <c r="H59" s="34"/>
      <c r="I59" s="11"/>
      <c r="J59" s="49"/>
      <c r="K59" s="44"/>
      <c r="L59" s="44"/>
      <c r="M59" s="44"/>
      <c r="N59" s="34"/>
    </row>
    <row r="60" spans="1:14" ht="18" x14ac:dyDescent="0.2">
      <c r="A60" s="11"/>
      <c r="B60" s="151">
        <v>6</v>
      </c>
      <c r="C60" s="124" t="s">
        <v>94</v>
      </c>
      <c r="D60" s="124"/>
      <c r="E60" s="30"/>
      <c r="F60" s="7"/>
      <c r="G60" s="30"/>
      <c r="H60" s="34"/>
      <c r="I60" s="11"/>
      <c r="J60" s="49"/>
      <c r="K60" s="44"/>
      <c r="L60" s="44"/>
      <c r="M60" s="44"/>
    </row>
    <row r="61" spans="1:14" ht="18" x14ac:dyDescent="0.2">
      <c r="A61" s="11"/>
      <c r="B61" s="151">
        <v>7</v>
      </c>
      <c r="C61" s="124" t="s">
        <v>95</v>
      </c>
      <c r="D61" s="124"/>
      <c r="E61" s="30"/>
      <c r="F61" s="7"/>
      <c r="G61" s="30"/>
      <c r="H61" s="34"/>
      <c r="I61" s="11"/>
      <c r="J61" s="49"/>
      <c r="K61" s="44"/>
      <c r="L61" s="44"/>
      <c r="M61" s="44"/>
    </row>
    <row r="62" spans="1:14" ht="18" x14ac:dyDescent="0.2">
      <c r="A62" s="11"/>
      <c r="B62" s="151">
        <v>8</v>
      </c>
      <c r="C62" s="124" t="s">
        <v>192</v>
      </c>
      <c r="D62" s="124"/>
      <c r="E62" s="30"/>
      <c r="F62" s="7"/>
      <c r="G62" s="30"/>
      <c r="H62" s="34"/>
      <c r="I62" s="11"/>
      <c r="J62" s="49"/>
      <c r="K62" s="44"/>
      <c r="L62" s="44"/>
      <c r="M62" s="44"/>
    </row>
    <row r="63" spans="1:14" ht="30" x14ac:dyDescent="0.2">
      <c r="A63" s="11"/>
      <c r="B63" s="151">
        <v>9</v>
      </c>
      <c r="C63" s="124" t="s">
        <v>138</v>
      </c>
      <c r="D63" s="124"/>
      <c r="E63" s="30"/>
      <c r="F63" s="7"/>
      <c r="G63" s="30"/>
      <c r="H63" s="34"/>
      <c r="I63" s="11"/>
      <c r="J63" s="49"/>
      <c r="K63" s="44"/>
      <c r="L63" s="44"/>
      <c r="M63" s="44"/>
    </row>
    <row r="64" spans="1:14" x14ac:dyDescent="0.2">
      <c r="A64" s="11"/>
      <c r="B64" s="7"/>
      <c r="C64" s="124"/>
      <c r="D64" s="124"/>
      <c r="E64" s="30"/>
      <c r="F64" s="7"/>
      <c r="G64" s="30"/>
      <c r="H64" s="34"/>
      <c r="I64" s="11"/>
      <c r="J64" s="49"/>
      <c r="K64" s="44"/>
      <c r="L64" s="44"/>
      <c r="M64" s="44"/>
    </row>
    <row r="65" spans="1:13" x14ac:dyDescent="0.2">
      <c r="A65" s="11"/>
      <c r="B65" s="11"/>
      <c r="C65" s="15"/>
      <c r="D65" s="15"/>
      <c r="E65" s="30"/>
      <c r="F65" s="7"/>
      <c r="G65" s="30"/>
      <c r="H65" s="34"/>
      <c r="I65" s="11"/>
      <c r="J65" s="49"/>
      <c r="K65" s="44"/>
      <c r="L65" s="44"/>
      <c r="M65" s="44"/>
    </row>
    <row r="66" spans="1:13" x14ac:dyDescent="0.2">
      <c r="A66" s="11"/>
      <c r="B66" s="11"/>
      <c r="C66" s="124"/>
      <c r="D66" s="124"/>
      <c r="E66" s="30"/>
      <c r="F66" s="7"/>
      <c r="G66" s="30"/>
      <c r="H66" s="150"/>
      <c r="I66" s="11"/>
      <c r="J66" s="49"/>
      <c r="K66" s="43"/>
      <c r="L66" s="43"/>
      <c r="M66" s="43"/>
    </row>
    <row r="67" spans="1:13" x14ac:dyDescent="0.2">
      <c r="A67" s="11"/>
      <c r="B67" s="31"/>
      <c r="C67" s="124"/>
      <c r="D67" s="124"/>
      <c r="E67" s="30"/>
      <c r="F67" s="7"/>
      <c r="G67" s="30"/>
      <c r="H67" s="34"/>
      <c r="I67" s="11"/>
      <c r="J67" s="49"/>
      <c r="K67" s="44"/>
      <c r="L67" s="44"/>
      <c r="M67" s="44"/>
    </row>
    <row r="68" spans="1:13" x14ac:dyDescent="0.2">
      <c r="A68" s="11"/>
      <c r="B68" s="11"/>
      <c r="C68" s="124"/>
      <c r="D68" s="124"/>
      <c r="E68" s="30"/>
      <c r="F68" s="7"/>
      <c r="G68" s="30"/>
      <c r="H68" s="34"/>
      <c r="I68" s="11"/>
      <c r="J68" s="49"/>
      <c r="K68" s="45"/>
      <c r="L68" s="45"/>
      <c r="M68" s="45"/>
    </row>
    <row r="69" spans="1:13" x14ac:dyDescent="0.2">
      <c r="A69" s="11"/>
      <c r="B69" s="11"/>
      <c r="C69" s="124"/>
      <c r="D69" s="124"/>
      <c r="E69" s="30"/>
      <c r="F69" s="7"/>
      <c r="G69" s="30"/>
      <c r="H69" s="34"/>
      <c r="I69" s="11"/>
      <c r="J69" s="49"/>
      <c r="K69" s="45"/>
      <c r="L69" s="45"/>
      <c r="M69" s="45"/>
    </row>
    <row r="70" spans="1:13" x14ac:dyDescent="0.2">
      <c r="A70" s="11"/>
      <c r="B70" s="223"/>
      <c r="C70" s="124"/>
      <c r="D70" s="124"/>
      <c r="E70" s="30"/>
      <c r="F70" s="7"/>
      <c r="G70" s="30"/>
      <c r="H70" s="227"/>
      <c r="I70" s="11"/>
      <c r="J70" s="49"/>
      <c r="K70" s="62"/>
      <c r="L70" s="62"/>
      <c r="M70" s="62"/>
    </row>
    <row r="71" spans="1:13" x14ac:dyDescent="0.2">
      <c r="A71" s="11"/>
      <c r="B71" s="11"/>
      <c r="C71" s="124"/>
      <c r="D71" s="124"/>
      <c r="E71" s="30"/>
      <c r="F71" s="7"/>
      <c r="G71" s="30"/>
      <c r="H71" s="34"/>
      <c r="I71" s="11"/>
      <c r="J71" s="49"/>
      <c r="K71" s="45"/>
      <c r="L71" s="45"/>
      <c r="M71" s="45"/>
    </row>
    <row r="72" spans="1:13" x14ac:dyDescent="0.2">
      <c r="A72" s="7"/>
      <c r="B72" s="223"/>
      <c r="C72" s="7"/>
      <c r="D72" s="7"/>
      <c r="E72" s="30"/>
      <c r="F72" s="7"/>
      <c r="G72" s="7"/>
      <c r="H72" s="34"/>
      <c r="I72" s="7"/>
      <c r="J72" s="7"/>
      <c r="K72" s="34"/>
      <c r="L72" s="34"/>
      <c r="M72" s="34"/>
    </row>
    <row r="73" spans="1:13" x14ac:dyDescent="0.2">
      <c r="A73" s="7"/>
      <c r="B73" s="223"/>
      <c r="C73" s="163"/>
      <c r="D73" s="163"/>
      <c r="E73" s="30"/>
      <c r="F73" s="7"/>
      <c r="G73" s="7"/>
      <c r="H73" s="34"/>
      <c r="I73" s="7"/>
      <c r="J73" s="7"/>
      <c r="K73" s="34"/>
      <c r="L73" s="34"/>
      <c r="M73" s="34"/>
    </row>
    <row r="74" spans="1:13" x14ac:dyDescent="0.2">
      <c r="A74" s="7"/>
      <c r="B74" s="7"/>
      <c r="C74" s="7"/>
      <c r="D74" s="7"/>
      <c r="E74" s="30"/>
      <c r="F74" s="7"/>
      <c r="G74" s="7"/>
      <c r="H74" s="34"/>
      <c r="I74" s="7"/>
      <c r="J74" s="7"/>
      <c r="K74" s="34"/>
      <c r="L74" s="34"/>
      <c r="M74" s="34"/>
    </row>
    <row r="75" spans="1:13" x14ac:dyDescent="0.2">
      <c r="A75" s="7"/>
      <c r="B75" s="7"/>
      <c r="C75" s="7"/>
      <c r="D75" s="7"/>
      <c r="E75" s="30"/>
      <c r="F75" s="7"/>
      <c r="G75" s="7"/>
      <c r="H75" s="34"/>
      <c r="I75" s="7"/>
      <c r="J75" s="7"/>
      <c r="K75" s="34"/>
      <c r="L75" s="34"/>
      <c r="M75" s="34"/>
    </row>
    <row r="76" spans="1:13" x14ac:dyDescent="0.2">
      <c r="A76" s="7"/>
      <c r="B76" s="7"/>
      <c r="C76" s="7"/>
      <c r="D76" s="7"/>
      <c r="E76" s="30"/>
      <c r="F76" s="7"/>
      <c r="G76" s="7"/>
      <c r="H76" s="34"/>
      <c r="I76" s="7"/>
      <c r="J76" s="7"/>
      <c r="K76" s="34"/>
      <c r="L76" s="34"/>
      <c r="M76" s="34"/>
    </row>
    <row r="77" spans="1:13" x14ac:dyDescent="0.2">
      <c r="A77" s="7"/>
      <c r="B77" s="7"/>
      <c r="C77" s="7"/>
      <c r="D77" s="7"/>
      <c r="E77" s="30"/>
      <c r="F77" s="7"/>
      <c r="G77" s="7"/>
      <c r="H77" s="34"/>
      <c r="I77" s="7"/>
      <c r="J77" s="7"/>
      <c r="K77" s="34"/>
      <c r="L77" s="34"/>
      <c r="M77" s="34"/>
    </row>
    <row r="78" spans="1:13" x14ac:dyDescent="0.2">
      <c r="A78" s="7"/>
      <c r="B78" s="7"/>
      <c r="C78" s="7"/>
      <c r="D78" s="7"/>
      <c r="E78" s="30"/>
      <c r="F78" s="7"/>
      <c r="G78" s="7"/>
      <c r="H78" s="34"/>
      <c r="I78" s="7"/>
      <c r="J78" s="7"/>
      <c r="K78" s="34"/>
      <c r="L78" s="34"/>
      <c r="M78" s="34"/>
    </row>
    <row r="79" spans="1:13" x14ac:dyDescent="0.2">
      <c r="A79" s="7"/>
      <c r="B79" s="7"/>
      <c r="C79" s="7"/>
      <c r="D79" s="7"/>
      <c r="E79" s="30"/>
      <c r="F79" s="7"/>
      <c r="G79" s="7"/>
      <c r="H79" s="34"/>
      <c r="I79" s="7"/>
      <c r="J79" s="7"/>
      <c r="K79" s="34"/>
      <c r="L79" s="34"/>
      <c r="M79" s="34"/>
    </row>
    <row r="80" spans="1:13" x14ac:dyDescent="0.2">
      <c r="A80" s="7"/>
      <c r="B80" s="7"/>
      <c r="C80" s="7"/>
      <c r="D80" s="7"/>
      <c r="E80" s="30"/>
      <c r="F80" s="7"/>
      <c r="G80" s="7"/>
      <c r="H80" s="34"/>
      <c r="I80" s="7"/>
      <c r="J80" s="7"/>
      <c r="K80" s="34"/>
      <c r="L80" s="34"/>
      <c r="M80" s="34"/>
    </row>
    <row r="81" spans="1:14" x14ac:dyDescent="0.2">
      <c r="A81" s="7"/>
      <c r="B81" s="7"/>
      <c r="C81" s="7"/>
      <c r="D81" s="7"/>
      <c r="E81" s="30"/>
      <c r="F81" s="7"/>
      <c r="G81" s="7"/>
      <c r="H81" s="34"/>
      <c r="I81" s="7"/>
      <c r="J81" s="7"/>
      <c r="K81" s="34"/>
      <c r="L81" s="34"/>
      <c r="M81" s="34"/>
    </row>
    <row r="82" spans="1:14" x14ac:dyDescent="0.2">
      <c r="A82" s="7"/>
      <c r="B82" s="7"/>
      <c r="C82" s="7"/>
      <c r="D82" s="7"/>
      <c r="E82" s="30"/>
      <c r="F82" s="7"/>
      <c r="G82" s="7"/>
      <c r="H82" s="34"/>
      <c r="I82" s="7"/>
      <c r="J82" s="7"/>
      <c r="K82" s="34"/>
      <c r="L82" s="34"/>
      <c r="M82" s="34"/>
    </row>
    <row r="83" spans="1:14" x14ac:dyDescent="0.2">
      <c r="A83" s="7"/>
      <c r="B83" s="7"/>
      <c r="C83" s="7"/>
      <c r="D83" s="7"/>
      <c r="E83" s="30"/>
      <c r="F83" s="7"/>
      <c r="G83" s="7"/>
      <c r="H83" s="34"/>
      <c r="I83" s="7"/>
      <c r="J83" s="7"/>
      <c r="K83" s="34"/>
      <c r="L83" s="34"/>
      <c r="M83" s="34"/>
    </row>
    <row r="84" spans="1:14" x14ac:dyDescent="0.2">
      <c r="A84" s="7"/>
      <c r="B84" s="7"/>
      <c r="C84" s="7"/>
      <c r="D84" s="7"/>
      <c r="E84" s="30"/>
      <c r="F84" s="7"/>
      <c r="G84" s="7"/>
      <c r="H84" s="34"/>
      <c r="I84" s="7"/>
      <c r="J84" s="7"/>
      <c r="K84" s="34"/>
      <c r="L84" s="34"/>
      <c r="M84" s="34"/>
    </row>
    <row r="85" spans="1:14" x14ac:dyDescent="0.2">
      <c r="A85" s="7"/>
      <c r="B85" s="7"/>
      <c r="C85" s="7"/>
      <c r="D85" s="7"/>
      <c r="E85" s="30"/>
      <c r="F85" s="7"/>
      <c r="G85" s="7"/>
      <c r="H85" s="34"/>
      <c r="I85" s="7"/>
      <c r="J85" s="7"/>
      <c r="K85" s="34"/>
      <c r="L85" s="34"/>
      <c r="M85" s="34"/>
    </row>
    <row r="86" spans="1:14" x14ac:dyDescent="0.2">
      <c r="A86" s="7"/>
      <c r="B86" s="7"/>
      <c r="C86" s="7"/>
      <c r="D86" s="7"/>
      <c r="E86" s="30"/>
      <c r="F86" s="7"/>
      <c r="G86" s="7"/>
      <c r="H86" s="34"/>
      <c r="I86" s="7"/>
      <c r="J86" s="7"/>
      <c r="K86" s="34"/>
      <c r="L86" s="34"/>
      <c r="M86" s="34"/>
    </row>
    <row r="87" spans="1:14" x14ac:dyDescent="0.2">
      <c r="A87" s="7"/>
      <c r="B87" s="7"/>
      <c r="C87" s="7"/>
      <c r="D87" s="7"/>
      <c r="E87" s="30"/>
      <c r="F87" s="7"/>
      <c r="G87" s="7"/>
      <c r="H87" s="34"/>
      <c r="I87" s="7"/>
      <c r="J87" s="7"/>
      <c r="K87" s="34"/>
      <c r="L87" s="34"/>
      <c r="M87" s="34"/>
    </row>
    <row r="88" spans="1:14" x14ac:dyDescent="0.2">
      <c r="A88" s="7"/>
      <c r="B88" s="7"/>
      <c r="C88" s="7"/>
      <c r="D88" s="7"/>
      <c r="E88" s="30"/>
      <c r="F88" s="7"/>
      <c r="G88" s="7"/>
      <c r="H88" s="34"/>
      <c r="I88" s="7"/>
      <c r="J88" s="7"/>
      <c r="K88" s="34"/>
      <c r="L88" s="34"/>
      <c r="M88" s="34"/>
    </row>
    <row r="89" spans="1:14" x14ac:dyDescent="0.2">
      <c r="A89" s="7"/>
      <c r="B89" s="7"/>
      <c r="C89" s="7"/>
      <c r="D89" s="7"/>
      <c r="E89" s="30"/>
      <c r="F89" s="7"/>
      <c r="G89" s="7"/>
      <c r="H89" s="34"/>
      <c r="I89" s="7"/>
      <c r="J89" s="7"/>
      <c r="K89" s="34"/>
      <c r="L89" s="34"/>
      <c r="M89" s="34"/>
    </row>
    <row r="90" spans="1:14" x14ac:dyDescent="0.2">
      <c r="A90" s="7"/>
      <c r="B90" s="7"/>
      <c r="C90" s="7"/>
      <c r="D90" s="7"/>
      <c r="E90" s="30"/>
      <c r="F90" s="7"/>
      <c r="G90" s="7"/>
      <c r="H90" s="34"/>
      <c r="I90" s="7"/>
      <c r="J90" s="7"/>
      <c r="K90" s="34"/>
      <c r="L90" s="34"/>
      <c r="M90" s="34"/>
    </row>
    <row r="91" spans="1:14" x14ac:dyDescent="0.2">
      <c r="A91" s="7"/>
      <c r="B91" s="7"/>
      <c r="C91" s="7"/>
      <c r="D91" s="7"/>
      <c r="E91" s="30"/>
      <c r="F91" s="7"/>
      <c r="G91" s="7"/>
      <c r="H91" s="34"/>
      <c r="I91" s="7"/>
      <c r="J91" s="7"/>
      <c r="K91" s="34"/>
      <c r="L91" s="34"/>
      <c r="M91" s="34"/>
    </row>
    <row r="92" spans="1:14" x14ac:dyDescent="0.2">
      <c r="A92" s="7"/>
      <c r="B92" s="7"/>
      <c r="C92" s="7"/>
      <c r="D92" s="7"/>
      <c r="E92" s="30"/>
      <c r="F92" s="7"/>
      <c r="G92" s="7"/>
      <c r="H92" s="34"/>
      <c r="I92" s="7"/>
      <c r="J92" s="7"/>
      <c r="K92" s="34"/>
      <c r="L92" s="34"/>
      <c r="M92" s="34"/>
    </row>
    <row r="93" spans="1:14" x14ac:dyDescent="0.2">
      <c r="A93" s="7"/>
      <c r="B93" s="7"/>
      <c r="C93" s="7"/>
      <c r="D93" s="7"/>
      <c r="E93" s="30"/>
      <c r="F93" s="7"/>
      <c r="G93" s="7"/>
      <c r="H93" s="34"/>
      <c r="I93" s="7"/>
      <c r="J93" s="7"/>
      <c r="K93" s="34"/>
      <c r="L93" s="34"/>
      <c r="M93" s="34"/>
    </row>
    <row r="94" spans="1:14" s="111" customFormat="1" x14ac:dyDescent="0.2">
      <c r="E94" s="372"/>
      <c r="H94" s="304"/>
      <c r="K94" s="304"/>
      <c r="L94" s="304"/>
      <c r="M94" s="304"/>
      <c r="N94" s="304"/>
    </row>
    <row r="95" spans="1:14" x14ac:dyDescent="0.2">
      <c r="A95" s="7"/>
      <c r="B95" s="7"/>
      <c r="C95" s="7"/>
      <c r="D95" s="7"/>
      <c r="E95" s="30"/>
      <c r="F95" s="7"/>
      <c r="G95" s="7"/>
      <c r="H95" s="34"/>
      <c r="I95" s="7"/>
      <c r="J95" s="7"/>
      <c r="K95" s="34"/>
      <c r="L95" s="34"/>
      <c r="M95" s="34"/>
    </row>
    <row r="96" spans="1:14" x14ac:dyDescent="0.2">
      <c r="A96" s="7"/>
      <c r="B96" s="7"/>
      <c r="C96" s="7"/>
      <c r="D96" s="7"/>
      <c r="E96" s="30"/>
      <c r="F96" s="7"/>
      <c r="G96" s="7"/>
      <c r="H96" s="34"/>
      <c r="I96" s="7"/>
      <c r="J96" s="7"/>
      <c r="K96" s="34"/>
      <c r="L96" s="34"/>
      <c r="M96" s="34"/>
    </row>
    <row r="97" spans="1:14" x14ac:dyDescent="0.2">
      <c r="A97" s="7"/>
      <c r="B97" s="7"/>
      <c r="C97" s="7"/>
      <c r="D97" s="7"/>
      <c r="E97" s="30"/>
      <c r="F97" s="7"/>
      <c r="G97" s="7"/>
      <c r="H97" s="34"/>
      <c r="I97" s="7"/>
      <c r="J97" s="7"/>
      <c r="K97" s="34"/>
      <c r="L97" s="34"/>
      <c r="M97" s="34"/>
    </row>
    <row r="98" spans="1:14" x14ac:dyDescent="0.2">
      <c r="A98" s="7"/>
      <c r="B98" s="7"/>
      <c r="C98" s="7"/>
      <c r="D98" s="7"/>
      <c r="E98" s="30"/>
      <c r="F98" s="7"/>
      <c r="G98" s="7"/>
      <c r="H98" s="34"/>
      <c r="I98" s="7"/>
      <c r="J98" s="7"/>
      <c r="K98" s="34"/>
      <c r="L98" s="34"/>
      <c r="M98" s="34"/>
    </row>
    <row r="99" spans="1:14" x14ac:dyDescent="0.2">
      <c r="A99" s="7"/>
      <c r="B99" s="7"/>
      <c r="C99" s="7"/>
      <c r="D99" s="7"/>
      <c r="E99" s="30"/>
      <c r="F99" s="7"/>
      <c r="G99" s="7"/>
      <c r="H99" s="34"/>
      <c r="I99" s="7"/>
      <c r="J99" s="7"/>
      <c r="K99" s="34"/>
      <c r="L99" s="34"/>
      <c r="M99" s="34"/>
    </row>
    <row r="100" spans="1:14" s="173" customFormat="1" ht="15.75" thickBot="1" x14ac:dyDescent="0.25">
      <c r="E100" s="198"/>
      <c r="H100" s="174"/>
      <c r="K100" s="174"/>
      <c r="L100" s="174"/>
      <c r="M100" s="174"/>
      <c r="N100" s="174"/>
    </row>
  </sheetData>
  <mergeCells count="8">
    <mergeCell ref="C31:D31"/>
    <mergeCell ref="C34:D34"/>
    <mergeCell ref="E10:H10"/>
    <mergeCell ref="J10:M10"/>
    <mergeCell ref="J11:K11"/>
    <mergeCell ref="E11:F11"/>
    <mergeCell ref="C14:D14"/>
    <mergeCell ref="C29:D29"/>
  </mergeCells>
  <phoneticPr fontId="4" type="noConversion"/>
  <printOptions horizontalCentered="1"/>
  <pageMargins left="0.25" right="0.25" top="0.75" bottom="0.5" header="0.3" footer="0.3"/>
  <pageSetup scale="50" fitToHeight="0" orientation="landscape" r:id="rId1"/>
  <headerFooter alignWithMargins="0">
    <oddFooter xml:space="preserve">&amp;LSUPPORTING SCHEDULES:&amp;RRECAP SCHEDULES: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04"/>
  <sheetViews>
    <sheetView tabSelected="1" view="pageBreakPreview" zoomScale="70" zoomScaleNormal="90" zoomScaleSheetLayoutView="70" workbookViewId="0">
      <selection activeCell="C83" sqref="C83"/>
    </sheetView>
  </sheetViews>
  <sheetFormatPr defaultColWidth="9" defaultRowHeight="12" x14ac:dyDescent="0.15"/>
  <cols>
    <col min="1" max="1" width="12" style="53" customWidth="1"/>
    <col min="2" max="2" width="6.75" style="53" customWidth="1"/>
    <col min="3" max="3" width="84.75" style="53" customWidth="1"/>
    <col min="4" max="4" width="46.125" style="53" customWidth="1"/>
    <col min="5" max="5" width="17.625" style="53" customWidth="1"/>
    <col min="6" max="6" width="12.375" style="53" customWidth="1"/>
    <col min="7" max="7" width="12.75" style="53" customWidth="1"/>
    <col min="8" max="8" width="14.375" style="53" customWidth="1"/>
    <col min="9" max="9" width="13.375" style="55" customWidth="1"/>
    <col min="10" max="10" width="13.125" style="53" customWidth="1"/>
    <col min="11" max="11" width="24.75" style="53" customWidth="1"/>
    <col min="12" max="16384" width="9" style="53"/>
  </cols>
  <sheetData>
    <row r="1" spans="1:15" s="56" customFormat="1" x14ac:dyDescent="0.15">
      <c r="I1" s="184"/>
    </row>
    <row r="2" spans="1:15" s="56" customFormat="1" ht="15" x14ac:dyDescent="0.2">
      <c r="A2" s="14" t="s">
        <v>0</v>
      </c>
      <c r="B2" s="7"/>
      <c r="C2" s="15"/>
      <c r="D2" s="335" t="s">
        <v>31</v>
      </c>
      <c r="F2" s="16"/>
      <c r="G2" s="16"/>
      <c r="H2" s="17"/>
      <c r="I2" s="18" t="s">
        <v>253</v>
      </c>
      <c r="J2" s="7"/>
      <c r="L2" s="7"/>
    </row>
    <row r="3" spans="1:15" ht="15" x14ac:dyDescent="0.2">
      <c r="A3" s="3"/>
      <c r="B3" s="3"/>
      <c r="C3" s="4"/>
      <c r="D3" s="306"/>
      <c r="E3" s="115"/>
      <c r="F3" s="5"/>
      <c r="G3" s="5"/>
      <c r="H3" s="12"/>
      <c r="I3" s="3"/>
      <c r="J3" s="3"/>
      <c r="K3" s="115"/>
      <c r="L3" s="7"/>
      <c r="M3" s="56"/>
      <c r="N3" s="56"/>
      <c r="O3" s="56"/>
    </row>
    <row r="4" spans="1:15" ht="15" x14ac:dyDescent="0.2">
      <c r="A4" s="14" t="s">
        <v>1</v>
      </c>
      <c r="B4" s="7"/>
      <c r="C4" s="15"/>
      <c r="D4" s="335" t="s">
        <v>32</v>
      </c>
      <c r="E4" s="56"/>
      <c r="F4" s="24"/>
      <c r="G4" s="24"/>
      <c r="H4" s="24"/>
      <c r="I4" s="57" t="str">
        <f>+Input!B2</f>
        <v>TYPE OF DATA SHOWN:</v>
      </c>
      <c r="J4" s="24"/>
      <c r="K4" s="56"/>
      <c r="L4" s="7"/>
      <c r="M4" s="56"/>
      <c r="N4" s="56"/>
      <c r="O4" s="56"/>
    </row>
    <row r="5" spans="1:15" ht="15" x14ac:dyDescent="0.2">
      <c r="A5" s="7"/>
      <c r="B5" s="7"/>
      <c r="C5" s="15"/>
      <c r="D5" s="335" t="s">
        <v>17</v>
      </c>
      <c r="E5" s="56"/>
      <c r="F5" s="56"/>
      <c r="G5" s="24"/>
      <c r="H5" s="24"/>
      <c r="I5" s="113" t="str">
        <f>+Input!B3</f>
        <v>HISTORIC BASE YEAR DATA:  12/31/19</v>
      </c>
      <c r="J5" s="24"/>
      <c r="K5" s="56"/>
      <c r="L5" s="7"/>
      <c r="M5" s="56"/>
      <c r="N5" s="56"/>
      <c r="O5" s="56"/>
    </row>
    <row r="6" spans="1:15" ht="15" x14ac:dyDescent="0.2">
      <c r="A6" s="14" t="s">
        <v>235</v>
      </c>
      <c r="B6" s="7"/>
      <c r="C6" s="15"/>
      <c r="D6" s="15"/>
      <c r="E6" s="56"/>
      <c r="F6" s="24"/>
      <c r="G6" s="24"/>
      <c r="H6" s="24"/>
      <c r="I6" s="57" t="str">
        <f>+Input!B4</f>
        <v>WITNESS:  M. WHITAKER</v>
      </c>
      <c r="J6" s="24"/>
      <c r="K6" s="56"/>
      <c r="L6" s="7"/>
      <c r="M6" s="56"/>
      <c r="N6" s="56"/>
      <c r="O6" s="56"/>
    </row>
    <row r="7" spans="1:15" ht="15" x14ac:dyDescent="0.2">
      <c r="A7" s="7"/>
      <c r="B7" s="7"/>
      <c r="C7" s="15"/>
      <c r="D7" s="15"/>
      <c r="E7" s="56"/>
      <c r="F7" s="56"/>
      <c r="G7" s="56"/>
      <c r="H7" s="56"/>
      <c r="I7" s="184"/>
      <c r="J7" s="56"/>
      <c r="K7" s="185"/>
      <c r="L7" s="7"/>
      <c r="M7" s="56"/>
      <c r="N7" s="56"/>
      <c r="O7" s="56"/>
    </row>
    <row r="8" spans="1:15" s="56" customFormat="1" ht="15" x14ac:dyDescent="0.2">
      <c r="A8" s="302" t="str">
        <f>+Input!A2</f>
        <v>DOCKET NO.:  20200051-GU</v>
      </c>
      <c r="B8" s="111"/>
      <c r="C8" s="303"/>
      <c r="D8" s="303"/>
      <c r="E8" s="115"/>
      <c r="F8" s="326"/>
      <c r="G8" s="326"/>
      <c r="H8" s="326"/>
      <c r="I8" s="327"/>
      <c r="J8" s="326"/>
      <c r="K8" s="326"/>
      <c r="L8" s="7"/>
    </row>
    <row r="9" spans="1:15" s="56" customFormat="1" ht="15" x14ac:dyDescent="0.2">
      <c r="A9" s="28"/>
      <c r="B9" s="7"/>
      <c r="C9" s="248"/>
      <c r="D9" s="248"/>
      <c r="F9" s="24"/>
      <c r="G9" s="24"/>
      <c r="H9" s="24"/>
      <c r="I9" s="36"/>
      <c r="J9" s="24"/>
      <c r="K9" s="24"/>
      <c r="L9" s="7"/>
    </row>
    <row r="10" spans="1:15" ht="30" x14ac:dyDescent="0.2">
      <c r="A10" s="275" t="s">
        <v>297</v>
      </c>
      <c r="B10" s="111"/>
      <c r="C10" s="125" t="s">
        <v>3</v>
      </c>
      <c r="D10" s="125"/>
      <c r="E10" s="115"/>
      <c r="F10" s="403" t="s">
        <v>4</v>
      </c>
      <c r="G10" s="403"/>
      <c r="H10" s="272" t="s">
        <v>40</v>
      </c>
      <c r="I10" s="148" t="s">
        <v>5</v>
      </c>
      <c r="J10" s="111"/>
      <c r="K10" s="111"/>
      <c r="L10" s="7"/>
      <c r="M10" s="56"/>
    </row>
    <row r="11" spans="1:15" s="56" customFormat="1" ht="15" x14ac:dyDescent="0.2">
      <c r="A11" s="274"/>
      <c r="B11" s="19"/>
      <c r="C11" s="20"/>
      <c r="D11" s="20"/>
      <c r="E11" s="19"/>
      <c r="F11" s="19"/>
      <c r="G11" s="19"/>
      <c r="H11" s="100"/>
      <c r="I11" s="35"/>
      <c r="J11" s="19"/>
      <c r="K11" s="19"/>
      <c r="L11" s="7"/>
    </row>
    <row r="12" spans="1:15" s="56" customFormat="1" ht="15" x14ac:dyDescent="0.2">
      <c r="A12" s="274"/>
      <c r="B12" s="19"/>
      <c r="C12" s="20"/>
      <c r="D12" s="20"/>
      <c r="E12" s="19"/>
      <c r="F12" s="19"/>
      <c r="G12" s="19"/>
      <c r="H12" s="100"/>
      <c r="I12" s="35"/>
      <c r="J12" s="19"/>
      <c r="K12" s="19"/>
      <c r="L12" s="7"/>
    </row>
    <row r="13" spans="1:15" ht="15" x14ac:dyDescent="0.2">
      <c r="A13" s="276">
        <v>1</v>
      </c>
      <c r="B13" s="31" t="s">
        <v>130</v>
      </c>
      <c r="C13" s="124"/>
      <c r="D13" s="124"/>
      <c r="E13" s="11"/>
      <c r="F13" s="49"/>
      <c r="G13" s="11"/>
      <c r="H13" s="49"/>
      <c r="I13" s="45"/>
      <c r="J13" s="7"/>
      <c r="K13" s="7"/>
      <c r="L13" s="7"/>
      <c r="M13" s="56"/>
    </row>
    <row r="14" spans="1:15" ht="15" x14ac:dyDescent="0.2">
      <c r="A14" s="276"/>
      <c r="B14" s="31"/>
      <c r="C14" s="11" t="s">
        <v>60</v>
      </c>
      <c r="D14" s="11"/>
      <c r="E14" s="11"/>
      <c r="F14" s="49"/>
      <c r="G14" s="11"/>
      <c r="H14" s="49"/>
      <c r="I14" s="45"/>
      <c r="J14" s="7"/>
      <c r="K14" s="7"/>
      <c r="L14" s="7"/>
      <c r="M14" s="56"/>
    </row>
    <row r="15" spans="1:15" ht="15" x14ac:dyDescent="0.2">
      <c r="A15" s="276"/>
      <c r="B15" s="31"/>
      <c r="C15" s="164" t="s">
        <v>116</v>
      </c>
      <c r="D15" s="164"/>
      <c r="E15" s="164"/>
      <c r="F15" s="49"/>
      <c r="G15" s="11"/>
      <c r="H15" s="49"/>
      <c r="I15" s="45"/>
      <c r="J15" s="7"/>
      <c r="K15" s="7"/>
      <c r="L15" s="7"/>
      <c r="M15" s="56"/>
    </row>
    <row r="16" spans="1:15" ht="15" x14ac:dyDescent="0.2">
      <c r="A16" s="276"/>
      <c r="B16" s="31"/>
      <c r="C16" s="163" t="s">
        <v>56</v>
      </c>
      <c r="D16" s="163"/>
      <c r="E16" s="164"/>
      <c r="F16" s="49"/>
      <c r="G16" s="11"/>
      <c r="H16" s="49"/>
      <c r="I16" s="45"/>
      <c r="J16" s="7"/>
      <c r="K16" s="7"/>
      <c r="L16" s="7"/>
      <c r="M16" s="56"/>
    </row>
    <row r="17" spans="1:13" ht="15" x14ac:dyDescent="0.2">
      <c r="A17" s="276"/>
      <c r="B17" s="31"/>
      <c r="C17" s="163" t="s">
        <v>117</v>
      </c>
      <c r="D17" s="163"/>
      <c r="E17" s="164"/>
      <c r="F17" s="49"/>
      <c r="G17" s="11"/>
      <c r="H17" s="49"/>
      <c r="I17" s="45"/>
      <c r="J17" s="7"/>
      <c r="K17" s="7"/>
      <c r="L17" s="7"/>
      <c r="M17" s="56"/>
    </row>
    <row r="18" spans="1:13" ht="15" x14ac:dyDescent="0.2">
      <c r="A18" s="276"/>
      <c r="B18" s="31"/>
      <c r="C18" s="163" t="s">
        <v>57</v>
      </c>
      <c r="D18" s="163"/>
      <c r="E18" s="164"/>
      <c r="F18" s="49"/>
      <c r="G18" s="11"/>
      <c r="H18" s="49"/>
      <c r="I18" s="45"/>
      <c r="J18" s="7"/>
      <c r="K18" s="56"/>
      <c r="L18" s="7"/>
      <c r="M18" s="56"/>
    </row>
    <row r="19" spans="1:13" ht="15" x14ac:dyDescent="0.2">
      <c r="A19" s="276"/>
      <c r="B19" s="31"/>
      <c r="C19" s="383" t="s">
        <v>118</v>
      </c>
      <c r="D19" s="383"/>
      <c r="E19" s="383"/>
      <c r="F19" s="49"/>
      <c r="G19" s="11"/>
      <c r="H19" s="49"/>
      <c r="I19" s="45"/>
      <c r="J19" s="7"/>
      <c r="K19" s="7"/>
      <c r="L19" s="7"/>
      <c r="M19" s="56"/>
    </row>
    <row r="20" spans="1:13" ht="15" x14ac:dyDescent="0.2">
      <c r="A20" s="276"/>
      <c r="B20" s="31"/>
      <c r="C20" s="163" t="s">
        <v>119</v>
      </c>
      <c r="D20" s="163"/>
      <c r="E20" s="164"/>
      <c r="F20" s="49"/>
      <c r="G20" s="11"/>
      <c r="H20" s="49"/>
      <c r="I20" s="45"/>
      <c r="J20" s="7"/>
      <c r="K20" s="7"/>
      <c r="L20" s="7"/>
      <c r="M20" s="56"/>
    </row>
    <row r="21" spans="1:13" ht="15" x14ac:dyDescent="0.2">
      <c r="A21" s="276"/>
      <c r="B21" s="31"/>
      <c r="C21" s="163" t="s">
        <v>120</v>
      </c>
      <c r="D21" s="163"/>
      <c r="E21" s="164"/>
      <c r="F21" s="49"/>
      <c r="G21" s="11"/>
      <c r="H21" s="49"/>
      <c r="I21" s="45"/>
      <c r="J21" s="7"/>
      <c r="K21" s="7"/>
      <c r="L21" s="7"/>
      <c r="M21" s="56"/>
    </row>
    <row r="22" spans="1:13" ht="15" x14ac:dyDescent="0.2">
      <c r="A22" s="276"/>
      <c r="B22" s="31"/>
      <c r="C22" s="163"/>
      <c r="D22" s="163"/>
      <c r="E22" s="164"/>
      <c r="F22" s="49"/>
      <c r="G22" s="11"/>
      <c r="H22" s="49"/>
      <c r="I22" s="45"/>
      <c r="J22" s="7"/>
      <c r="K22" s="7"/>
      <c r="L22" s="7"/>
      <c r="M22" s="56"/>
    </row>
    <row r="23" spans="1:13" ht="15" x14ac:dyDescent="0.2">
      <c r="A23" s="276"/>
      <c r="B23" s="31"/>
      <c r="C23" s="164" t="s">
        <v>64</v>
      </c>
      <c r="D23" s="164"/>
      <c r="E23" s="164"/>
      <c r="F23" s="49"/>
      <c r="G23" s="11"/>
      <c r="H23" s="49"/>
      <c r="I23" s="45"/>
      <c r="J23" s="7"/>
      <c r="K23" s="7"/>
      <c r="L23" s="7"/>
      <c r="M23" s="56"/>
    </row>
    <row r="24" spans="1:13" ht="17.25" customHeight="1" x14ac:dyDescent="0.2">
      <c r="A24" s="276"/>
      <c r="B24" s="31"/>
      <c r="C24" s="383" t="s">
        <v>131</v>
      </c>
      <c r="D24" s="383"/>
      <c r="E24" s="383"/>
      <c r="F24" s="49"/>
      <c r="G24" s="11"/>
      <c r="H24" s="49"/>
      <c r="I24" s="45"/>
      <c r="J24" s="7"/>
      <c r="K24" s="7"/>
      <c r="L24" s="7"/>
      <c r="M24" s="56"/>
    </row>
    <row r="25" spans="1:13" ht="15" x14ac:dyDescent="0.2">
      <c r="A25" s="276"/>
      <c r="B25" s="31"/>
      <c r="C25" s="163"/>
      <c r="D25" s="163"/>
      <c r="E25" s="163"/>
      <c r="F25" s="49"/>
      <c r="G25" s="11"/>
      <c r="H25" s="49"/>
      <c r="I25" s="45"/>
      <c r="J25" s="7"/>
      <c r="K25" s="7"/>
      <c r="L25" s="7"/>
      <c r="M25" s="56"/>
    </row>
    <row r="26" spans="1:13" s="48" customFormat="1" ht="18" x14ac:dyDescent="0.2">
      <c r="A26" s="276"/>
      <c r="B26" s="126"/>
      <c r="C26" s="124" t="s">
        <v>166</v>
      </c>
      <c r="D26" s="124"/>
      <c r="E26" s="114"/>
      <c r="F26" s="49">
        <v>8.1999999999999993</v>
      </c>
      <c r="G26" s="11" t="s">
        <v>15</v>
      </c>
      <c r="H26" s="49">
        <v>30.95</v>
      </c>
      <c r="I26" s="45">
        <f>($H$26/60)*$F$26</f>
        <v>4.2298333333333336</v>
      </c>
      <c r="J26" s="11"/>
      <c r="K26" s="11"/>
      <c r="L26" s="11"/>
      <c r="M26" s="114"/>
    </row>
    <row r="27" spans="1:13" s="48" customFormat="1" ht="18" x14ac:dyDescent="0.2">
      <c r="A27" s="276"/>
      <c r="B27" s="126"/>
      <c r="C27" s="252"/>
      <c r="D27" s="252"/>
      <c r="E27" s="252"/>
      <c r="F27" s="49"/>
      <c r="G27" s="11"/>
      <c r="H27" s="49"/>
      <c r="I27" s="45"/>
      <c r="J27" s="11"/>
      <c r="K27" s="11"/>
      <c r="L27" s="11"/>
      <c r="M27" s="114"/>
    </row>
    <row r="28" spans="1:13" ht="15" x14ac:dyDescent="0.2">
      <c r="A28" s="277">
        <v>2</v>
      </c>
      <c r="B28" s="7" t="s">
        <v>44</v>
      </c>
      <c r="C28" s="186"/>
      <c r="D28" s="186"/>
      <c r="E28" s="7"/>
      <c r="F28" s="7"/>
      <c r="G28" s="7"/>
      <c r="H28" s="30"/>
      <c r="I28" s="30"/>
      <c r="J28" s="7"/>
      <c r="K28" s="7"/>
      <c r="L28" s="7"/>
      <c r="M28" s="56"/>
    </row>
    <row r="29" spans="1:13" s="48" customFormat="1" ht="46.5" customHeight="1" x14ac:dyDescent="0.2">
      <c r="A29" s="276"/>
      <c r="B29" s="11" t="s">
        <v>41</v>
      </c>
      <c r="C29" s="383" t="s">
        <v>121</v>
      </c>
      <c r="D29" s="383"/>
      <c r="E29" s="124"/>
      <c r="F29" s="187"/>
      <c r="G29" s="187"/>
      <c r="H29" s="188"/>
      <c r="I29" s="187"/>
      <c r="J29" s="11"/>
      <c r="K29" s="11"/>
      <c r="L29" s="11"/>
      <c r="M29" s="114"/>
    </row>
    <row r="30" spans="1:13" s="48" customFormat="1" ht="18" x14ac:dyDescent="0.2">
      <c r="A30" s="276"/>
      <c r="B30" s="126"/>
      <c r="C30" s="124" t="s">
        <v>127</v>
      </c>
      <c r="D30" s="124"/>
      <c r="E30" s="126"/>
      <c r="F30" s="49">
        <f>2*0.15</f>
        <v>0.3</v>
      </c>
      <c r="G30" s="11" t="s">
        <v>15</v>
      </c>
      <c r="H30" s="49">
        <v>37.36</v>
      </c>
      <c r="I30" s="49">
        <f>($H$30/60)*$F$30</f>
        <v>0.18679999999999999</v>
      </c>
      <c r="J30" s="11"/>
      <c r="K30" s="11"/>
      <c r="L30" s="11"/>
      <c r="M30" s="114"/>
    </row>
    <row r="31" spans="1:13" ht="15" x14ac:dyDescent="0.2">
      <c r="A31" s="277"/>
      <c r="B31" s="7"/>
      <c r="C31" s="189"/>
      <c r="D31" s="189"/>
      <c r="E31" s="7"/>
      <c r="F31" s="30"/>
      <c r="G31" s="7"/>
      <c r="H31" s="133"/>
      <c r="I31" s="134"/>
      <c r="J31" s="7"/>
      <c r="K31" s="7"/>
      <c r="L31" s="7"/>
      <c r="M31" s="56"/>
    </row>
    <row r="32" spans="1:13" ht="15" x14ac:dyDescent="0.2">
      <c r="A32" s="277">
        <v>3</v>
      </c>
      <c r="B32" s="7" t="s">
        <v>48</v>
      </c>
      <c r="C32" s="15"/>
      <c r="D32" s="15"/>
      <c r="E32" s="7"/>
      <c r="F32" s="30"/>
      <c r="G32" s="7"/>
      <c r="H32" s="133"/>
      <c r="I32" s="134"/>
      <c r="J32" s="7"/>
      <c r="K32" s="7"/>
      <c r="L32" s="7"/>
      <c r="M32" s="56"/>
    </row>
    <row r="33" spans="1:13" s="132" customFormat="1" ht="15" x14ac:dyDescent="0.15">
      <c r="A33" s="278"/>
      <c r="B33" s="165"/>
      <c r="C33" s="386" t="s">
        <v>122</v>
      </c>
      <c r="D33" s="386"/>
      <c r="E33" s="190"/>
      <c r="F33" s="131"/>
      <c r="G33" s="165"/>
      <c r="H33" s="191"/>
      <c r="I33" s="192"/>
      <c r="J33" s="165"/>
      <c r="K33" s="165"/>
      <c r="L33" s="165"/>
      <c r="M33" s="193"/>
    </row>
    <row r="34" spans="1:13" s="132" customFormat="1" ht="15" x14ac:dyDescent="0.15">
      <c r="A34" s="278"/>
      <c r="B34" s="165"/>
      <c r="C34" s="166"/>
      <c r="D34" s="166"/>
      <c r="E34" s="190"/>
      <c r="F34" s="131"/>
      <c r="G34" s="165"/>
      <c r="H34" s="191"/>
      <c r="I34" s="192"/>
      <c r="J34" s="165"/>
      <c r="K34" s="165"/>
      <c r="L34" s="165"/>
      <c r="M34" s="193"/>
    </row>
    <row r="35" spans="1:13" s="48" customFormat="1" ht="18" x14ac:dyDescent="0.2">
      <c r="A35" s="276"/>
      <c r="B35" s="126"/>
      <c r="C35" s="124" t="s">
        <v>123</v>
      </c>
      <c r="D35" s="124"/>
      <c r="E35" s="11"/>
      <c r="F35" s="49">
        <v>3</v>
      </c>
      <c r="G35" s="11" t="s">
        <v>15</v>
      </c>
      <c r="H35" s="49">
        <v>34.630000000000003</v>
      </c>
      <c r="I35" s="45">
        <f>($H$35/60)*$F$35</f>
        <v>1.7315</v>
      </c>
      <c r="J35" s="11"/>
      <c r="K35" s="11"/>
      <c r="L35" s="11"/>
      <c r="M35" s="114"/>
    </row>
    <row r="36" spans="1:13" ht="15" x14ac:dyDescent="0.2">
      <c r="A36" s="277"/>
      <c r="B36" s="7"/>
      <c r="C36" s="15"/>
      <c r="D36" s="15"/>
      <c r="E36" s="7"/>
      <c r="F36" s="30"/>
      <c r="G36" s="7"/>
      <c r="H36" s="133"/>
      <c r="I36" s="134"/>
      <c r="J36" s="7"/>
      <c r="K36" s="7"/>
      <c r="L36" s="7"/>
      <c r="M36" s="56"/>
    </row>
    <row r="37" spans="1:13" ht="15" x14ac:dyDescent="0.2">
      <c r="A37" s="277">
        <v>4</v>
      </c>
      <c r="B37" s="14" t="s">
        <v>6</v>
      </c>
      <c r="C37" s="15"/>
      <c r="D37" s="15"/>
      <c r="E37" s="7"/>
      <c r="F37" s="30"/>
      <c r="G37" s="7"/>
      <c r="H37" s="30"/>
      <c r="I37" s="194"/>
      <c r="J37" s="7"/>
      <c r="K37" s="7"/>
      <c r="L37" s="7"/>
      <c r="M37" s="56"/>
    </row>
    <row r="38" spans="1:13" s="48" customFormat="1" ht="18" x14ac:dyDescent="0.2">
      <c r="A38" s="276"/>
      <c r="B38" s="11" t="s">
        <v>41</v>
      </c>
      <c r="C38" s="66" t="s">
        <v>47</v>
      </c>
      <c r="D38" s="66"/>
      <c r="E38" s="126"/>
      <c r="F38" s="49">
        <v>17</v>
      </c>
      <c r="G38" s="187"/>
      <c r="H38" s="187"/>
      <c r="I38" s="195"/>
      <c r="J38" s="11"/>
      <c r="K38" s="11"/>
      <c r="L38" s="11"/>
      <c r="M38" s="114"/>
    </row>
    <row r="39" spans="1:13" ht="18" x14ac:dyDescent="0.2">
      <c r="A39" s="277"/>
      <c r="B39" s="7"/>
      <c r="C39" s="29"/>
      <c r="D39" s="29"/>
      <c r="E39" s="126"/>
      <c r="F39" s="49"/>
      <c r="G39" s="120"/>
      <c r="H39" s="120"/>
      <c r="I39" s="134"/>
      <c r="J39" s="7"/>
      <c r="K39" s="7"/>
      <c r="L39" s="7"/>
      <c r="M39" s="56"/>
    </row>
    <row r="40" spans="1:13" ht="15" x14ac:dyDescent="0.2">
      <c r="A40" s="277"/>
      <c r="B40" s="7" t="s">
        <v>42</v>
      </c>
      <c r="C40" s="398" t="s">
        <v>183</v>
      </c>
      <c r="D40" s="398"/>
      <c r="E40" s="15"/>
      <c r="F40" s="49">
        <v>15</v>
      </c>
      <c r="G40" s="7"/>
      <c r="H40" s="30"/>
      <c r="I40" s="194"/>
      <c r="J40" s="7"/>
      <c r="K40" s="7"/>
      <c r="L40" s="7"/>
      <c r="M40" s="56"/>
    </row>
    <row r="41" spans="1:13" ht="15" x14ac:dyDescent="0.2">
      <c r="A41" s="277"/>
      <c r="B41" s="7"/>
      <c r="C41" s="196"/>
      <c r="D41" s="196"/>
      <c r="E41" s="15"/>
      <c r="F41" s="49"/>
      <c r="G41" s="7"/>
      <c r="H41" s="30"/>
      <c r="I41" s="194"/>
      <c r="J41" s="7"/>
      <c r="K41" s="7"/>
      <c r="L41" s="7"/>
      <c r="M41" s="56"/>
    </row>
    <row r="42" spans="1:13" s="48" customFormat="1" ht="18" x14ac:dyDescent="0.2">
      <c r="A42" s="276"/>
      <c r="B42" s="126"/>
      <c r="C42" s="124" t="s">
        <v>141</v>
      </c>
      <c r="D42" s="124"/>
      <c r="E42" s="114"/>
      <c r="F42" s="49">
        <f>SUM($F$38:$F$40)</f>
        <v>32</v>
      </c>
      <c r="G42" s="11" t="s">
        <v>15</v>
      </c>
      <c r="H42" s="49">
        <v>37.72</v>
      </c>
      <c r="I42" s="45">
        <f>($H$42/60)*$F$40</f>
        <v>9.43</v>
      </c>
      <c r="J42" s="11"/>
      <c r="K42" s="11"/>
      <c r="L42" s="11"/>
      <c r="M42" s="114"/>
    </row>
    <row r="43" spans="1:13" s="48" customFormat="1" ht="18" x14ac:dyDescent="0.2">
      <c r="A43" s="276"/>
      <c r="B43" s="126"/>
      <c r="C43" s="124"/>
      <c r="D43" s="124"/>
      <c r="E43" s="114"/>
      <c r="F43" s="49"/>
      <c r="G43" s="11"/>
      <c r="H43" s="49"/>
      <c r="I43" s="45"/>
      <c r="J43" s="11"/>
      <c r="K43" s="11"/>
      <c r="L43" s="11"/>
      <c r="M43" s="114"/>
    </row>
    <row r="44" spans="1:13" ht="15" x14ac:dyDescent="0.2">
      <c r="A44" s="277">
        <v>5</v>
      </c>
      <c r="B44" s="14" t="s">
        <v>7</v>
      </c>
      <c r="C44" s="15"/>
      <c r="D44" s="15"/>
      <c r="E44" s="7"/>
      <c r="F44" s="30"/>
      <c r="G44" s="7"/>
      <c r="H44" s="30"/>
      <c r="I44" s="194"/>
      <c r="J44" s="7"/>
      <c r="K44" s="7"/>
      <c r="L44" s="7"/>
      <c r="M44" s="56"/>
    </row>
    <row r="45" spans="1:13" ht="18" x14ac:dyDescent="0.2">
      <c r="A45" s="277"/>
      <c r="B45" s="151"/>
      <c r="C45" s="196" t="s">
        <v>68</v>
      </c>
      <c r="D45" s="196"/>
      <c r="E45" s="7"/>
      <c r="F45" s="30"/>
      <c r="G45" s="7"/>
      <c r="H45" s="30"/>
      <c r="I45" s="45">
        <v>0.03</v>
      </c>
      <c r="J45" s="7"/>
      <c r="K45" s="7"/>
      <c r="L45" s="7"/>
      <c r="M45" s="56"/>
    </row>
    <row r="46" spans="1:13" s="56" customFormat="1" ht="15" x14ac:dyDescent="0.2">
      <c r="A46" s="277"/>
      <c r="B46" s="7"/>
      <c r="C46" s="15"/>
      <c r="D46" s="15"/>
      <c r="E46" s="7"/>
      <c r="F46" s="30"/>
      <c r="G46" s="7"/>
      <c r="H46" s="30"/>
      <c r="I46" s="194"/>
      <c r="J46" s="7"/>
      <c r="K46" s="7"/>
      <c r="L46" s="7"/>
    </row>
    <row r="47" spans="1:13" s="56" customFormat="1" ht="15" x14ac:dyDescent="0.2">
      <c r="A47" s="276">
        <v>6</v>
      </c>
      <c r="B47" s="31" t="s">
        <v>8</v>
      </c>
      <c r="C47" s="252"/>
      <c r="D47" s="252"/>
      <c r="E47" s="11"/>
      <c r="F47" s="49"/>
      <c r="G47" s="11"/>
      <c r="H47" s="49"/>
      <c r="I47" s="44"/>
      <c r="J47" s="11"/>
      <c r="K47" s="7"/>
      <c r="L47" s="7"/>
    </row>
    <row r="48" spans="1:13" s="56" customFormat="1" ht="15" x14ac:dyDescent="0.2">
      <c r="A48" s="276"/>
      <c r="B48" s="31" t="s">
        <v>41</v>
      </c>
      <c r="C48" s="252" t="s">
        <v>73</v>
      </c>
      <c r="D48" s="252"/>
      <c r="E48" s="11"/>
      <c r="F48" s="11"/>
      <c r="G48" s="11"/>
      <c r="H48" s="49"/>
      <c r="I48" s="197"/>
      <c r="J48" s="11"/>
      <c r="K48" s="7"/>
      <c r="L48" s="7"/>
    </row>
    <row r="49" spans="1:13" s="56" customFormat="1" ht="15" x14ac:dyDescent="0.2">
      <c r="A49" s="276"/>
      <c r="B49" s="31"/>
      <c r="C49" s="252"/>
      <c r="D49" s="252"/>
      <c r="E49" s="11"/>
      <c r="F49" s="11"/>
      <c r="G49" s="11"/>
      <c r="H49" s="49"/>
      <c r="I49" s="197"/>
      <c r="J49" s="11"/>
      <c r="K49" s="7"/>
      <c r="L49" s="7"/>
    </row>
    <row r="50" spans="1:13" s="56" customFormat="1" ht="15" x14ac:dyDescent="0.2">
      <c r="A50" s="276"/>
      <c r="B50" s="31" t="s">
        <v>42</v>
      </c>
      <c r="C50" s="250" t="s">
        <v>142</v>
      </c>
      <c r="D50" s="250"/>
      <c r="E50" s="11"/>
      <c r="F50" s="30"/>
      <c r="G50" s="11"/>
      <c r="H50" s="30"/>
      <c r="I50" s="45">
        <f>($F$42)*(4.9/60)</f>
        <v>2.6133333333333337</v>
      </c>
      <c r="J50" s="11"/>
      <c r="K50" s="7"/>
      <c r="L50" s="7"/>
    </row>
    <row r="51" spans="1:13" s="56" customFormat="1" ht="15" x14ac:dyDescent="0.2">
      <c r="A51" s="276"/>
      <c r="B51" s="31"/>
      <c r="C51" s="246"/>
      <c r="D51" s="246"/>
      <c r="E51" s="11"/>
      <c r="F51" s="30"/>
      <c r="G51" s="11"/>
      <c r="H51" s="30"/>
      <c r="I51" s="34"/>
      <c r="J51" s="11"/>
      <c r="K51" s="7"/>
      <c r="L51" s="7"/>
    </row>
    <row r="52" spans="1:13" s="56" customFormat="1" ht="15" x14ac:dyDescent="0.2">
      <c r="A52" s="276">
        <v>7</v>
      </c>
      <c r="B52" s="31" t="s">
        <v>98</v>
      </c>
      <c r="C52" s="247"/>
      <c r="D52" s="247"/>
      <c r="E52" s="11"/>
      <c r="F52" s="11"/>
      <c r="G52" s="11"/>
      <c r="H52" s="49"/>
      <c r="I52" s="44"/>
      <c r="J52" s="11"/>
      <c r="K52" s="7"/>
      <c r="L52" s="7"/>
    </row>
    <row r="53" spans="1:13" s="48" customFormat="1" ht="15" x14ac:dyDescent="0.2">
      <c r="A53" s="276"/>
      <c r="B53" s="11"/>
      <c r="C53" s="163" t="s">
        <v>99</v>
      </c>
      <c r="D53" s="163"/>
      <c r="E53" s="11"/>
      <c r="F53" s="11"/>
      <c r="G53" s="11"/>
      <c r="H53" s="49"/>
      <c r="I53" s="44">
        <f>$F$42*(5.92/60)</f>
        <v>3.1573333333333333</v>
      </c>
      <c r="J53" s="11"/>
      <c r="K53" s="11"/>
      <c r="L53" s="11"/>
      <c r="M53" s="114"/>
    </row>
    <row r="54" spans="1:13" s="56" customFormat="1" ht="15" x14ac:dyDescent="0.2">
      <c r="A54" s="276"/>
      <c r="B54" s="11"/>
      <c r="C54" s="252"/>
      <c r="D54" s="252"/>
      <c r="E54" s="11"/>
      <c r="F54" s="11"/>
      <c r="G54" s="11"/>
      <c r="H54" s="49"/>
      <c r="I54" s="44"/>
      <c r="J54" s="11"/>
      <c r="K54" s="7"/>
      <c r="L54" s="7"/>
    </row>
    <row r="55" spans="1:13" ht="15.75" thickBot="1" x14ac:dyDescent="0.25">
      <c r="A55" s="276">
        <v>8</v>
      </c>
      <c r="B55" s="31" t="s">
        <v>18</v>
      </c>
      <c r="C55" s="225"/>
      <c r="D55" s="225"/>
      <c r="E55" s="11"/>
      <c r="F55" s="11"/>
      <c r="G55" s="11"/>
      <c r="H55" s="49"/>
      <c r="I55" s="47">
        <f>SUM($I$13:$I$54)</f>
        <v>21.378800000000002</v>
      </c>
      <c r="J55" s="11"/>
      <c r="K55" s="7"/>
      <c r="L55" s="7"/>
      <c r="M55" s="56"/>
    </row>
    <row r="56" spans="1:13" s="115" customFormat="1" ht="15.75" thickTop="1" x14ac:dyDescent="0.2">
      <c r="A56" s="284"/>
      <c r="B56" s="284"/>
      <c r="C56" s="354"/>
      <c r="D56" s="354"/>
      <c r="E56" s="284"/>
      <c r="F56" s="284"/>
      <c r="G56" s="284"/>
      <c r="H56" s="355"/>
      <c r="I56" s="356"/>
      <c r="J56" s="284"/>
      <c r="K56" s="111"/>
      <c r="L56" s="111"/>
    </row>
    <row r="57" spans="1:13" ht="15" x14ac:dyDescent="0.2">
      <c r="A57" s="11"/>
      <c r="B57" s="11"/>
      <c r="C57" s="124"/>
      <c r="D57" s="124"/>
      <c r="E57" s="11"/>
      <c r="F57" s="11"/>
      <c r="G57" s="11"/>
      <c r="H57" s="49"/>
      <c r="I57" s="45"/>
      <c r="J57" s="11"/>
      <c r="K57" s="7"/>
      <c r="L57" s="7"/>
      <c r="M57" s="56"/>
    </row>
    <row r="58" spans="1:13" x14ac:dyDescent="0.15">
      <c r="A58" s="56"/>
      <c r="B58" s="56"/>
      <c r="C58" s="256"/>
      <c r="D58" s="256"/>
      <c r="E58" s="256"/>
      <c r="F58" s="56"/>
      <c r="G58" s="56"/>
      <c r="H58" s="56"/>
      <c r="I58" s="184"/>
      <c r="J58" s="56"/>
      <c r="K58" s="56"/>
      <c r="L58" s="56"/>
      <c r="M58" s="56"/>
    </row>
    <row r="59" spans="1:13" s="56" customFormat="1" x14ac:dyDescent="0.15">
      <c r="I59" s="184"/>
    </row>
    <row r="60" spans="1:13" x14ac:dyDescent="0.15">
      <c r="A60" s="56"/>
      <c r="B60" s="56"/>
      <c r="C60" s="56"/>
      <c r="D60" s="56"/>
      <c r="E60" s="56"/>
      <c r="F60" s="56"/>
      <c r="G60" s="56"/>
      <c r="H60" s="56"/>
      <c r="I60" s="184"/>
      <c r="J60" s="56"/>
      <c r="K60" s="56"/>
      <c r="L60" s="56"/>
      <c r="M60" s="56"/>
    </row>
    <row r="61" spans="1:13" x14ac:dyDescent="0.15">
      <c r="A61" s="56"/>
      <c r="B61" s="56"/>
      <c r="C61" s="56"/>
      <c r="D61" s="56"/>
      <c r="E61" s="56"/>
      <c r="F61" s="56"/>
      <c r="G61" s="56"/>
      <c r="H61" s="56"/>
      <c r="I61" s="184"/>
      <c r="J61" s="56"/>
      <c r="K61" s="56"/>
      <c r="L61" s="56"/>
      <c r="M61" s="56"/>
    </row>
    <row r="62" spans="1:13" x14ac:dyDescent="0.15">
      <c r="A62" s="56"/>
      <c r="B62" s="56"/>
      <c r="C62" s="56"/>
      <c r="D62" s="56"/>
      <c r="E62" s="56"/>
      <c r="F62" s="56"/>
      <c r="G62" s="56"/>
      <c r="H62" s="56"/>
      <c r="I62" s="184"/>
      <c r="J62" s="56"/>
      <c r="K62" s="56"/>
      <c r="L62" s="56"/>
      <c r="M62" s="56"/>
    </row>
    <row r="63" spans="1:13" x14ac:dyDescent="0.15">
      <c r="A63" s="56"/>
      <c r="B63" s="56"/>
      <c r="C63" s="56"/>
      <c r="D63" s="56"/>
      <c r="E63" s="56"/>
      <c r="F63" s="56"/>
      <c r="G63" s="56"/>
      <c r="H63" s="56"/>
      <c r="I63" s="184"/>
      <c r="J63" s="56"/>
      <c r="K63" s="56"/>
      <c r="L63" s="56"/>
      <c r="M63" s="56"/>
    </row>
    <row r="64" spans="1:13" x14ac:dyDescent="0.15">
      <c r="A64" s="56"/>
      <c r="B64" s="56"/>
      <c r="C64" s="56"/>
      <c r="D64" s="56"/>
      <c r="E64" s="56"/>
      <c r="F64" s="56"/>
      <c r="G64" s="56"/>
      <c r="H64" s="56"/>
      <c r="I64" s="184"/>
      <c r="J64" s="56"/>
      <c r="K64" s="56"/>
      <c r="L64" s="56"/>
      <c r="M64" s="56"/>
    </row>
    <row r="65" spans="1:13" ht="15" x14ac:dyDescent="0.2">
      <c r="A65" s="56"/>
      <c r="B65" s="56"/>
      <c r="C65" s="124" t="s">
        <v>63</v>
      </c>
      <c r="D65" s="124"/>
      <c r="E65" s="56"/>
      <c r="F65" s="56"/>
      <c r="G65" s="56"/>
      <c r="H65" s="56"/>
      <c r="I65" s="184"/>
      <c r="J65" s="56"/>
      <c r="K65" s="56"/>
      <c r="L65" s="56"/>
      <c r="M65" s="56"/>
    </row>
    <row r="66" spans="1:13" ht="30" x14ac:dyDescent="0.2">
      <c r="A66" s="56"/>
      <c r="B66" s="151">
        <v>1</v>
      </c>
      <c r="C66" s="124" t="s">
        <v>76</v>
      </c>
      <c r="D66" s="124"/>
      <c r="E66" s="56"/>
      <c r="F66" s="56"/>
      <c r="G66" s="56"/>
      <c r="H66" s="56"/>
      <c r="I66" s="184"/>
      <c r="J66" s="56"/>
      <c r="K66" s="56"/>
      <c r="L66" s="56"/>
      <c r="M66" s="56"/>
    </row>
    <row r="67" spans="1:13" ht="18" x14ac:dyDescent="0.2">
      <c r="A67" s="56"/>
      <c r="B67" s="151">
        <v>2</v>
      </c>
      <c r="C67" s="124" t="s">
        <v>75</v>
      </c>
      <c r="D67" s="124"/>
      <c r="E67" s="56"/>
      <c r="F67" s="56"/>
      <c r="G67" s="56"/>
      <c r="H67" s="56"/>
      <c r="I67" s="184"/>
      <c r="J67" s="56"/>
      <c r="K67" s="56"/>
      <c r="L67" s="56"/>
      <c r="M67" s="56"/>
    </row>
    <row r="68" spans="1:13" ht="30" x14ac:dyDescent="0.2">
      <c r="A68" s="56"/>
      <c r="B68" s="151">
        <v>3</v>
      </c>
      <c r="C68" s="124" t="s">
        <v>184</v>
      </c>
      <c r="D68" s="124"/>
      <c r="E68" s="56"/>
      <c r="F68" s="56"/>
      <c r="G68" s="56"/>
      <c r="H68" s="56"/>
      <c r="I68" s="184"/>
      <c r="J68" s="56"/>
      <c r="K68" s="56"/>
      <c r="L68" s="56"/>
      <c r="M68" s="56"/>
    </row>
    <row r="69" spans="1:13" ht="18" x14ac:dyDescent="0.2">
      <c r="A69" s="56"/>
      <c r="B69" s="151">
        <v>4</v>
      </c>
      <c r="C69" s="124" t="s">
        <v>135</v>
      </c>
      <c r="D69" s="124"/>
      <c r="E69" s="56"/>
      <c r="F69" s="56"/>
      <c r="G69" s="56"/>
      <c r="H69" s="56"/>
      <c r="I69" s="184"/>
      <c r="J69" s="56"/>
      <c r="K69" s="56"/>
      <c r="L69" s="56"/>
      <c r="M69" s="56"/>
    </row>
    <row r="70" spans="1:13" ht="18" x14ac:dyDescent="0.2">
      <c r="A70" s="56"/>
      <c r="B70" s="151">
        <v>5</v>
      </c>
      <c r="C70" s="124" t="s">
        <v>75</v>
      </c>
      <c r="D70" s="124"/>
      <c r="E70" s="56"/>
      <c r="F70" s="56"/>
      <c r="G70" s="56"/>
      <c r="H70" s="56"/>
      <c r="I70" s="184"/>
      <c r="J70" s="56"/>
      <c r="K70" s="56"/>
      <c r="L70" s="56"/>
      <c r="M70" s="56"/>
    </row>
    <row r="71" spans="1:13" ht="18" x14ac:dyDescent="0.2">
      <c r="A71" s="56"/>
      <c r="B71" s="151">
        <v>6</v>
      </c>
      <c r="C71" s="124" t="s">
        <v>78</v>
      </c>
      <c r="D71" s="124"/>
      <c r="E71" s="56"/>
      <c r="F71" s="56"/>
      <c r="G71" s="56"/>
      <c r="H71" s="56"/>
      <c r="I71" s="184"/>
      <c r="J71" s="56"/>
      <c r="K71" s="56"/>
      <c r="L71" s="56"/>
      <c r="M71" s="56"/>
    </row>
    <row r="72" spans="1:13" x14ac:dyDescent="0.15">
      <c r="A72" s="56"/>
      <c r="B72" s="56"/>
      <c r="C72" s="56"/>
      <c r="D72" s="56"/>
      <c r="E72" s="56"/>
      <c r="F72" s="56"/>
      <c r="G72" s="56"/>
      <c r="H72" s="56"/>
      <c r="I72" s="184"/>
      <c r="J72" s="56"/>
      <c r="K72" s="56"/>
      <c r="L72" s="56"/>
      <c r="M72" s="56"/>
    </row>
    <row r="73" spans="1:13" x14ac:dyDescent="0.15">
      <c r="A73" s="56"/>
      <c r="B73" s="56"/>
      <c r="C73" s="56"/>
      <c r="D73" s="56"/>
      <c r="E73" s="56"/>
      <c r="F73" s="56"/>
      <c r="G73" s="56"/>
      <c r="H73" s="56"/>
      <c r="I73" s="184"/>
      <c r="J73" s="56"/>
      <c r="K73" s="56"/>
      <c r="L73" s="56"/>
      <c r="M73" s="56"/>
    </row>
    <row r="74" spans="1:13" x14ac:dyDescent="0.15">
      <c r="A74" s="56"/>
      <c r="B74" s="56"/>
      <c r="C74" s="56"/>
      <c r="D74" s="56"/>
      <c r="E74" s="56"/>
      <c r="F74" s="56"/>
      <c r="G74" s="56"/>
      <c r="H74" s="56"/>
      <c r="I74" s="184"/>
      <c r="J74" s="56"/>
      <c r="K74" s="56"/>
      <c r="L74" s="56"/>
      <c r="M74" s="56"/>
    </row>
    <row r="75" spans="1:13" x14ac:dyDescent="0.15">
      <c r="A75" s="56"/>
      <c r="B75" s="56"/>
      <c r="C75" s="56"/>
      <c r="D75" s="56"/>
      <c r="E75" s="56"/>
      <c r="F75" s="56"/>
      <c r="G75" s="56"/>
      <c r="H75" s="56"/>
      <c r="I75" s="184"/>
      <c r="J75" s="56"/>
      <c r="K75" s="56"/>
      <c r="L75" s="56"/>
      <c r="M75" s="56"/>
    </row>
    <row r="76" spans="1:13" x14ac:dyDescent="0.15">
      <c r="A76" s="56"/>
      <c r="B76" s="56"/>
      <c r="C76" s="56"/>
      <c r="D76" s="56"/>
      <c r="E76" s="56"/>
      <c r="F76" s="56"/>
      <c r="G76" s="56"/>
      <c r="H76" s="56"/>
      <c r="I76" s="184"/>
      <c r="J76" s="56"/>
      <c r="K76" s="56"/>
      <c r="L76" s="56"/>
      <c r="M76" s="56"/>
    </row>
    <row r="77" spans="1:13" x14ac:dyDescent="0.15">
      <c r="A77" s="56"/>
      <c r="B77" s="56"/>
      <c r="C77" s="56"/>
      <c r="D77" s="56"/>
      <c r="E77" s="56"/>
      <c r="F77" s="56"/>
      <c r="G77" s="56"/>
      <c r="H77" s="56"/>
      <c r="I77" s="184"/>
      <c r="J77" s="56"/>
      <c r="K77" s="56"/>
      <c r="L77" s="56"/>
      <c r="M77" s="56"/>
    </row>
    <row r="78" spans="1:13" x14ac:dyDescent="0.15">
      <c r="A78" s="56"/>
      <c r="B78" s="56"/>
      <c r="C78" s="56"/>
      <c r="D78" s="56"/>
      <c r="E78" s="56"/>
      <c r="F78" s="56"/>
      <c r="G78" s="56"/>
      <c r="H78" s="56"/>
      <c r="I78" s="184"/>
      <c r="J78" s="56"/>
      <c r="K78" s="56"/>
      <c r="L78" s="56"/>
      <c r="M78" s="56"/>
    </row>
    <row r="79" spans="1:13" x14ac:dyDescent="0.15">
      <c r="A79" s="56"/>
      <c r="B79" s="56"/>
      <c r="C79" s="56"/>
      <c r="D79" s="56"/>
      <c r="E79" s="56"/>
      <c r="F79" s="56"/>
      <c r="G79" s="56"/>
      <c r="H79" s="56"/>
      <c r="I79" s="184"/>
      <c r="J79" s="56"/>
      <c r="K79" s="56"/>
      <c r="L79" s="56"/>
      <c r="M79" s="56"/>
    </row>
    <row r="80" spans="1:13" x14ac:dyDescent="0.15">
      <c r="A80" s="56"/>
      <c r="B80" s="56"/>
      <c r="C80" s="56"/>
      <c r="D80" s="56"/>
      <c r="E80" s="56"/>
      <c r="F80" s="56"/>
      <c r="G80" s="56"/>
      <c r="H80" s="56"/>
      <c r="I80" s="184"/>
      <c r="J80" s="56"/>
      <c r="K80" s="56"/>
      <c r="L80" s="56"/>
      <c r="M80" s="56"/>
    </row>
    <row r="81" spans="1:13" x14ac:dyDescent="0.15">
      <c r="A81" s="56"/>
      <c r="B81" s="56"/>
      <c r="C81" s="56"/>
      <c r="D81" s="56"/>
      <c r="E81" s="56"/>
      <c r="F81" s="56"/>
      <c r="G81" s="56"/>
      <c r="H81" s="56"/>
      <c r="I81" s="184"/>
      <c r="J81" s="56"/>
      <c r="K81" s="56"/>
      <c r="L81" s="56"/>
      <c r="M81" s="56"/>
    </row>
    <row r="82" spans="1:13" x14ac:dyDescent="0.15">
      <c r="A82" s="56"/>
      <c r="B82" s="56"/>
      <c r="C82" s="56"/>
      <c r="D82" s="56"/>
      <c r="E82" s="56"/>
      <c r="F82" s="56"/>
      <c r="G82" s="56"/>
      <c r="H82" s="56"/>
      <c r="I82" s="184"/>
      <c r="J82" s="56"/>
      <c r="K82" s="56"/>
      <c r="L82" s="56"/>
      <c r="M82" s="56"/>
    </row>
    <row r="83" spans="1:13" x14ac:dyDescent="0.15">
      <c r="A83" s="56"/>
      <c r="B83" s="56"/>
      <c r="C83" s="56"/>
      <c r="D83" s="56"/>
      <c r="E83" s="56"/>
      <c r="F83" s="56"/>
      <c r="G83" s="56"/>
      <c r="H83" s="56"/>
      <c r="I83" s="184"/>
      <c r="J83" s="56"/>
      <c r="K83" s="56"/>
      <c r="L83" s="56"/>
      <c r="M83" s="56"/>
    </row>
    <row r="84" spans="1:13" x14ac:dyDescent="0.15">
      <c r="A84" s="56"/>
      <c r="B84" s="56"/>
      <c r="C84" s="56"/>
      <c r="D84" s="56"/>
      <c r="E84" s="56"/>
      <c r="F84" s="56"/>
      <c r="G84" s="56"/>
      <c r="H84" s="56"/>
      <c r="I84" s="184"/>
      <c r="J84" s="56"/>
      <c r="K84" s="56"/>
      <c r="L84" s="56"/>
      <c r="M84" s="56"/>
    </row>
    <row r="85" spans="1:13" x14ac:dyDescent="0.15">
      <c r="A85" s="56"/>
      <c r="B85" s="56"/>
      <c r="C85" s="56"/>
      <c r="D85" s="56"/>
      <c r="E85" s="56"/>
      <c r="F85" s="56"/>
      <c r="G85" s="56"/>
      <c r="H85" s="56"/>
      <c r="I85" s="184"/>
      <c r="J85" s="56"/>
      <c r="K85" s="56"/>
      <c r="L85" s="56"/>
      <c r="M85" s="56"/>
    </row>
    <row r="86" spans="1:13" x14ac:dyDescent="0.15">
      <c r="A86" s="56"/>
      <c r="B86" s="56"/>
      <c r="C86" s="56"/>
      <c r="D86" s="56"/>
      <c r="E86" s="56"/>
      <c r="F86" s="56"/>
      <c r="G86" s="56"/>
      <c r="H86" s="56"/>
      <c r="I86" s="184"/>
      <c r="J86" s="56"/>
      <c r="K86" s="56"/>
      <c r="L86" s="56"/>
      <c r="M86" s="56"/>
    </row>
    <row r="87" spans="1:13" x14ac:dyDescent="0.15">
      <c r="A87" s="56"/>
      <c r="B87" s="56"/>
      <c r="C87" s="56"/>
      <c r="D87" s="56"/>
      <c r="E87" s="56"/>
      <c r="F87" s="56"/>
      <c r="G87" s="56"/>
      <c r="H87" s="56"/>
      <c r="I87" s="184"/>
      <c r="J87" s="56"/>
      <c r="K87" s="56"/>
      <c r="L87" s="56"/>
      <c r="M87" s="56"/>
    </row>
    <row r="88" spans="1:13" x14ac:dyDescent="0.15">
      <c r="A88" s="56"/>
      <c r="B88" s="56"/>
      <c r="C88" s="56"/>
      <c r="D88" s="56"/>
      <c r="E88" s="56"/>
      <c r="F88" s="56"/>
      <c r="G88" s="56"/>
      <c r="H88" s="56"/>
      <c r="I88" s="184"/>
      <c r="J88" s="56"/>
      <c r="K88" s="56"/>
      <c r="L88" s="56"/>
      <c r="M88" s="56"/>
    </row>
    <row r="89" spans="1:13" x14ac:dyDescent="0.15">
      <c r="A89" s="56"/>
      <c r="B89" s="56"/>
      <c r="C89" s="56"/>
      <c r="D89" s="56"/>
      <c r="E89" s="56"/>
      <c r="F89" s="56"/>
      <c r="G89" s="56"/>
      <c r="H89" s="56"/>
      <c r="I89" s="184"/>
      <c r="J89" s="56"/>
      <c r="K89" s="56"/>
      <c r="L89" s="56"/>
      <c r="M89" s="56"/>
    </row>
    <row r="90" spans="1:13" x14ac:dyDescent="0.15">
      <c r="A90" s="56"/>
      <c r="B90" s="56"/>
      <c r="C90" s="56"/>
      <c r="D90" s="56"/>
      <c r="E90" s="56"/>
      <c r="F90" s="56"/>
      <c r="G90" s="56"/>
      <c r="H90" s="56"/>
      <c r="I90" s="184"/>
      <c r="J90" s="56"/>
      <c r="K90" s="56"/>
      <c r="L90" s="56"/>
      <c r="M90" s="56"/>
    </row>
    <row r="91" spans="1:13" s="56" customFormat="1" x14ac:dyDescent="0.15">
      <c r="I91" s="184"/>
    </row>
    <row r="92" spans="1:13" s="56" customFormat="1" x14ac:dyDescent="0.15">
      <c r="I92" s="184"/>
    </row>
    <row r="93" spans="1:13" s="56" customFormat="1" x14ac:dyDescent="0.15">
      <c r="I93" s="184"/>
    </row>
    <row r="94" spans="1:13" s="115" customFormat="1" x14ac:dyDescent="0.15">
      <c r="I94" s="117"/>
    </row>
    <row r="95" spans="1:13" s="56" customFormat="1" x14ac:dyDescent="0.15">
      <c r="I95" s="184"/>
    </row>
    <row r="96" spans="1:13" s="56" customFormat="1" x14ac:dyDescent="0.15">
      <c r="I96" s="184"/>
    </row>
    <row r="97" spans="9:9" s="56" customFormat="1" x14ac:dyDescent="0.15">
      <c r="I97" s="184"/>
    </row>
    <row r="98" spans="9:9" s="56" customFormat="1" x14ac:dyDescent="0.15">
      <c r="I98" s="184"/>
    </row>
    <row r="99" spans="9:9" s="56" customFormat="1" x14ac:dyDescent="0.15">
      <c r="I99" s="184"/>
    </row>
    <row r="100" spans="9:9" s="56" customFormat="1" x14ac:dyDescent="0.15">
      <c r="I100" s="184"/>
    </row>
    <row r="101" spans="9:9" s="56" customFormat="1" x14ac:dyDescent="0.15">
      <c r="I101" s="184"/>
    </row>
    <row r="102" spans="9:9" s="56" customFormat="1" x14ac:dyDescent="0.15">
      <c r="I102" s="184"/>
    </row>
    <row r="103" spans="9:9" s="56" customFormat="1" x14ac:dyDescent="0.15">
      <c r="I103" s="184"/>
    </row>
    <row r="104" spans="9:9" s="56" customFormat="1" x14ac:dyDescent="0.15">
      <c r="I104" s="184"/>
    </row>
  </sheetData>
  <mergeCells count="6">
    <mergeCell ref="C40:D40"/>
    <mergeCell ref="F10:G10"/>
    <mergeCell ref="C19:E19"/>
    <mergeCell ref="C24:E24"/>
    <mergeCell ref="C29:D29"/>
    <mergeCell ref="C33:D33"/>
  </mergeCells>
  <phoneticPr fontId="4" type="noConversion"/>
  <printOptions horizontalCentered="1"/>
  <pageMargins left="0.25" right="0.25" top="0.75" bottom="0.5" header="0.3" footer="0.3"/>
  <pageSetup scale="52" fitToHeight="0" orientation="landscape" r:id="rId1"/>
  <headerFooter alignWithMargins="0">
    <oddFooter xml:space="preserve">&amp;LSUPPORTING SCHEDULES:&amp;RRECAP SCHEDULES: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0"/>
  <sheetViews>
    <sheetView tabSelected="1" view="pageBreakPreview" zoomScale="90" zoomScaleNormal="75" zoomScaleSheetLayoutView="90" workbookViewId="0">
      <selection activeCell="C83" sqref="C83"/>
    </sheetView>
  </sheetViews>
  <sheetFormatPr defaultColWidth="9" defaultRowHeight="15" x14ac:dyDescent="0.2"/>
  <cols>
    <col min="1" max="1" width="12" style="118" customWidth="1"/>
    <col min="2" max="2" width="9" style="118"/>
    <col min="3" max="3" width="75.5" style="118" customWidth="1"/>
    <col min="4" max="4" width="37.625" style="118" customWidth="1"/>
    <col min="5" max="5" width="23.375" style="118" customWidth="1"/>
    <col min="6" max="6" width="16" style="135" customWidth="1"/>
    <col min="7" max="7" width="12.75" style="118" customWidth="1"/>
    <col min="8" max="8" width="14.75" style="118" customWidth="1"/>
    <col min="9" max="9" width="19.25" style="118" customWidth="1"/>
    <col min="10" max="10" width="23.625" style="118" customWidth="1"/>
    <col min="11" max="11" width="20.875" style="118" customWidth="1"/>
    <col min="12" max="16384" width="9" style="118"/>
  </cols>
  <sheetData>
    <row r="1" spans="1:13" s="119" customFormat="1" x14ac:dyDescent="0.2">
      <c r="F1" s="176"/>
    </row>
    <row r="2" spans="1:13" s="119" customFormat="1" x14ac:dyDescent="0.2">
      <c r="A2" s="271" t="s">
        <v>0</v>
      </c>
      <c r="B2" s="7"/>
      <c r="C2" s="15"/>
      <c r="D2" s="16" t="s">
        <v>272</v>
      </c>
      <c r="E2" s="16"/>
      <c r="F2" s="331"/>
      <c r="G2" s="105"/>
      <c r="H2" s="105"/>
      <c r="I2" s="167" t="s">
        <v>273</v>
      </c>
      <c r="K2" s="7"/>
    </row>
    <row r="3" spans="1:13" x14ac:dyDescent="0.2">
      <c r="A3" s="75"/>
      <c r="B3" s="75"/>
      <c r="C3" s="279"/>
      <c r="D3" s="313"/>
      <c r="E3" s="280"/>
      <c r="F3" s="350"/>
      <c r="G3" s="282"/>
      <c r="H3" s="282"/>
      <c r="I3" s="75"/>
      <c r="J3" s="138"/>
      <c r="K3" s="7"/>
      <c r="L3" s="119"/>
      <c r="M3" s="119"/>
    </row>
    <row r="4" spans="1:13" x14ac:dyDescent="0.2">
      <c r="A4" s="112" t="s">
        <v>1</v>
      </c>
      <c r="B4" s="7"/>
      <c r="C4" s="15"/>
      <c r="D4" s="16" t="s">
        <v>32</v>
      </c>
      <c r="E4" s="314"/>
      <c r="F4" s="331"/>
      <c r="G4" s="105"/>
      <c r="H4" s="312"/>
      <c r="I4" s="112" t="str">
        <f>+Input!B2</f>
        <v>TYPE OF DATA SHOWN:</v>
      </c>
      <c r="J4" s="119"/>
      <c r="K4" s="7"/>
      <c r="L4" s="119"/>
      <c r="M4" s="119"/>
    </row>
    <row r="5" spans="1:13" x14ac:dyDescent="0.2">
      <c r="A5" s="7"/>
      <c r="B5" s="7"/>
      <c r="C5" s="15"/>
      <c r="D5" s="16" t="s">
        <v>271</v>
      </c>
      <c r="E5" s="314"/>
      <c r="F5" s="331"/>
      <c r="G5" s="105"/>
      <c r="H5" s="105"/>
      <c r="I5" s="167" t="str">
        <f>+Input!B3</f>
        <v>HISTORIC BASE YEAR DATA:  12/31/19</v>
      </c>
      <c r="J5" s="119"/>
      <c r="K5" s="7"/>
      <c r="L5" s="119"/>
      <c r="M5" s="119"/>
    </row>
    <row r="6" spans="1:13" x14ac:dyDescent="0.2">
      <c r="A6" s="112" t="s">
        <v>235</v>
      </c>
      <c r="B6" s="7"/>
      <c r="C6" s="15"/>
      <c r="D6" s="16" t="s">
        <v>270</v>
      </c>
      <c r="E6" s="314"/>
      <c r="F6" s="331"/>
      <c r="G6" s="105"/>
      <c r="H6" s="312"/>
      <c r="I6" s="167" t="str">
        <f>+Input!B4</f>
        <v>WITNESS:  M. WHITAKER</v>
      </c>
      <c r="J6" s="119"/>
      <c r="K6" s="7"/>
      <c r="L6" s="119"/>
      <c r="M6" s="119"/>
    </row>
    <row r="7" spans="1:13" x14ac:dyDescent="0.2">
      <c r="A7" s="7"/>
      <c r="B7" s="7"/>
      <c r="C7" s="15"/>
      <c r="D7" s="15"/>
      <c r="E7" s="119"/>
      <c r="F7" s="176"/>
      <c r="G7" s="119"/>
      <c r="H7" s="119"/>
      <c r="I7" s="119"/>
      <c r="J7" s="7"/>
      <c r="K7" s="7"/>
      <c r="L7" s="119"/>
      <c r="M7" s="119"/>
    </row>
    <row r="8" spans="1:13" s="119" customFormat="1" x14ac:dyDescent="0.2">
      <c r="A8" s="267" t="str">
        <f>+Input!A2</f>
        <v>DOCKET NO.:  20200051-GU</v>
      </c>
      <c r="B8" s="111"/>
      <c r="C8" s="303"/>
      <c r="D8" s="303"/>
      <c r="E8" s="138"/>
      <c r="F8" s="281"/>
      <c r="G8" s="280"/>
      <c r="H8" s="286"/>
      <c r="I8" s="280"/>
      <c r="J8" s="111"/>
      <c r="K8" s="7"/>
    </row>
    <row r="9" spans="1:13" s="119" customFormat="1" x14ac:dyDescent="0.2">
      <c r="A9" s="121"/>
      <c r="B9" s="121"/>
      <c r="C9" s="145"/>
      <c r="D9" s="145"/>
      <c r="E9" s="121"/>
      <c r="F9" s="150"/>
      <c r="G9" s="121"/>
      <c r="H9" s="121"/>
      <c r="I9" s="121"/>
      <c r="J9" s="121"/>
      <c r="K9" s="7"/>
    </row>
    <row r="10" spans="1:13" s="138" customFormat="1" ht="30" x14ac:dyDescent="0.2">
      <c r="A10" s="275" t="s">
        <v>297</v>
      </c>
      <c r="B10" s="111"/>
      <c r="C10" s="267" t="s">
        <v>3</v>
      </c>
      <c r="D10" s="267"/>
      <c r="F10" s="406" t="s">
        <v>4</v>
      </c>
      <c r="G10" s="406"/>
      <c r="H10" s="154" t="s">
        <v>40</v>
      </c>
      <c r="I10" s="147" t="s">
        <v>5</v>
      </c>
      <c r="K10" s="111"/>
    </row>
    <row r="11" spans="1:13" s="119" customFormat="1" x14ac:dyDescent="0.2">
      <c r="A11" s="277"/>
      <c r="B11" s="121"/>
      <c r="C11" s="145"/>
      <c r="D11" s="145"/>
      <c r="E11" s="121"/>
      <c r="F11" s="121"/>
      <c r="G11" s="121"/>
      <c r="H11" s="149"/>
      <c r="I11" s="150"/>
      <c r="K11" s="7"/>
    </row>
    <row r="12" spans="1:13" s="119" customFormat="1" x14ac:dyDescent="0.2">
      <c r="A12" s="277">
        <v>1</v>
      </c>
      <c r="B12" s="167" t="s">
        <v>269</v>
      </c>
      <c r="C12" s="7"/>
      <c r="D12" s="7"/>
      <c r="E12" s="172"/>
      <c r="F12" s="7"/>
      <c r="G12" s="7"/>
      <c r="H12" s="30"/>
      <c r="I12" s="34"/>
      <c r="K12" s="7"/>
    </row>
    <row r="13" spans="1:13" ht="15.75" x14ac:dyDescent="0.25">
      <c r="A13" s="277"/>
      <c r="B13" s="7"/>
      <c r="C13" s="167" t="s">
        <v>268</v>
      </c>
      <c r="D13" s="167"/>
      <c r="E13" s="172"/>
      <c r="F13" s="7"/>
      <c r="G13" s="170"/>
      <c r="H13" s="30"/>
      <c r="I13" s="34"/>
      <c r="J13" s="119"/>
      <c r="K13" s="7"/>
      <c r="L13" s="119"/>
      <c r="M13" s="119"/>
    </row>
    <row r="14" spans="1:13" ht="15.75" x14ac:dyDescent="0.25">
      <c r="A14" s="277"/>
      <c r="B14" s="7"/>
      <c r="C14" s="112" t="s">
        <v>267</v>
      </c>
      <c r="D14" s="112"/>
      <c r="E14" s="172"/>
      <c r="F14" s="7"/>
      <c r="G14" s="170"/>
      <c r="H14" s="30"/>
      <c r="I14" s="34"/>
      <c r="J14" s="119"/>
      <c r="K14" s="7"/>
      <c r="L14" s="119"/>
      <c r="M14" s="119"/>
    </row>
    <row r="15" spans="1:13" ht="15.75" x14ac:dyDescent="0.25">
      <c r="A15" s="277"/>
      <c r="B15" s="7"/>
      <c r="C15" s="167" t="s">
        <v>266</v>
      </c>
      <c r="D15" s="167"/>
      <c r="E15" s="172"/>
      <c r="F15" s="7"/>
      <c r="G15" s="170"/>
      <c r="H15" s="30"/>
      <c r="I15" s="177"/>
      <c r="J15" s="119"/>
      <c r="K15" s="7"/>
      <c r="L15" s="119"/>
      <c r="M15" s="119"/>
    </row>
    <row r="16" spans="1:13" ht="15.75" x14ac:dyDescent="0.25">
      <c r="A16" s="277"/>
      <c r="B16" s="7"/>
      <c r="C16" s="167" t="s">
        <v>265</v>
      </c>
      <c r="D16" s="167"/>
      <c r="E16" s="172"/>
      <c r="F16" s="7"/>
      <c r="G16" s="170"/>
      <c r="H16" s="30"/>
      <c r="I16" s="177"/>
      <c r="J16" s="119"/>
      <c r="K16" s="7"/>
      <c r="L16" s="119"/>
      <c r="M16" s="119"/>
    </row>
    <row r="17" spans="1:13" ht="15.75" x14ac:dyDescent="0.25">
      <c r="A17" s="277"/>
      <c r="B17" s="7"/>
      <c r="C17" s="167" t="s">
        <v>264</v>
      </c>
      <c r="D17" s="167"/>
      <c r="E17" s="172"/>
      <c r="F17" s="7"/>
      <c r="G17" s="170"/>
      <c r="H17" s="170"/>
      <c r="I17" s="177"/>
      <c r="J17" s="119"/>
      <c r="K17" s="7"/>
      <c r="L17" s="119"/>
      <c r="M17" s="119"/>
    </row>
    <row r="18" spans="1:13" x14ac:dyDescent="0.2">
      <c r="A18" s="277"/>
      <c r="B18" s="7"/>
      <c r="C18" s="167" t="s">
        <v>263</v>
      </c>
      <c r="D18" s="167"/>
      <c r="E18" s="172"/>
      <c r="F18" s="176"/>
      <c r="G18" s="119"/>
      <c r="H18" s="119"/>
      <c r="I18" s="119"/>
      <c r="J18" s="119"/>
      <c r="K18" s="7"/>
      <c r="L18" s="119"/>
      <c r="M18" s="119"/>
    </row>
    <row r="19" spans="1:13" x14ac:dyDescent="0.2">
      <c r="A19" s="277"/>
      <c r="B19" s="7"/>
      <c r="C19" s="112" t="s">
        <v>262</v>
      </c>
      <c r="D19" s="112"/>
      <c r="E19" s="172"/>
      <c r="F19" s="7">
        <v>15</v>
      </c>
      <c r="G19" s="7" t="s">
        <v>15</v>
      </c>
      <c r="H19" s="143">
        <v>49.95</v>
      </c>
      <c r="I19" s="143">
        <f>(49.95/60)*$F$19</f>
        <v>12.487500000000001</v>
      </c>
      <c r="J19" s="119"/>
      <c r="K19" s="7"/>
      <c r="L19" s="119"/>
      <c r="M19" s="119"/>
    </row>
    <row r="20" spans="1:13" ht="19.5" thickBot="1" x14ac:dyDescent="0.3">
      <c r="A20" s="277"/>
      <c r="B20" s="169"/>
      <c r="C20" s="15"/>
      <c r="D20" s="15"/>
      <c r="E20" s="178"/>
      <c r="F20" s="137">
        <f>SUM(F19:F19)</f>
        <v>15</v>
      </c>
      <c r="G20" s="7"/>
      <c r="H20" s="119"/>
      <c r="I20" s="119"/>
      <c r="J20" s="119"/>
      <c r="K20" s="7"/>
      <c r="L20" s="119"/>
      <c r="M20" s="119"/>
    </row>
    <row r="21" spans="1:13" ht="19.5" thickTop="1" x14ac:dyDescent="0.25">
      <c r="A21" s="277"/>
      <c r="B21" s="169"/>
      <c r="C21" s="15"/>
      <c r="D21" s="15"/>
      <c r="E21" s="178"/>
      <c r="F21" s="7"/>
      <c r="G21" s="7"/>
      <c r="H21" s="119"/>
      <c r="I21" s="30"/>
      <c r="J21" s="179"/>
      <c r="K21" s="7"/>
      <c r="L21" s="119"/>
      <c r="M21" s="119"/>
    </row>
    <row r="22" spans="1:13" x14ac:dyDescent="0.2">
      <c r="A22" s="277">
        <v>2</v>
      </c>
      <c r="B22" s="112" t="s">
        <v>261</v>
      </c>
      <c r="C22" s="7"/>
      <c r="D22" s="7"/>
      <c r="E22" s="172"/>
      <c r="F22" s="7"/>
      <c r="G22" s="7"/>
      <c r="H22" s="119"/>
      <c r="I22" s="30"/>
      <c r="J22" s="119"/>
      <c r="K22" s="7"/>
      <c r="L22" s="119"/>
      <c r="M22" s="119"/>
    </row>
    <row r="23" spans="1:13" ht="37.5" customHeight="1" x14ac:dyDescent="0.2">
      <c r="A23" s="277"/>
      <c r="B23" s="7"/>
      <c r="C23" s="404" t="s">
        <v>288</v>
      </c>
      <c r="D23" s="404"/>
      <c r="E23" s="172"/>
      <c r="F23" s="7">
        <v>10</v>
      </c>
      <c r="G23" s="7" t="s">
        <v>15</v>
      </c>
      <c r="H23" s="143">
        <f>28.69*1.03*1.03*1.37</f>
        <v>41.698992770000011</v>
      </c>
      <c r="I23" s="143">
        <f>(32.93/60)*$F$23</f>
        <v>5.4883333333333333</v>
      </c>
      <c r="J23" s="119"/>
      <c r="K23" s="7"/>
      <c r="L23" s="119"/>
      <c r="M23" s="119"/>
    </row>
    <row r="24" spans="1:13" x14ac:dyDescent="0.2">
      <c r="A24" s="277"/>
      <c r="B24" s="7"/>
      <c r="C24" s="119"/>
      <c r="D24" s="119"/>
      <c r="E24" s="172"/>
      <c r="F24" s="7"/>
      <c r="G24" s="7"/>
      <c r="H24" s="119"/>
      <c r="I24" s="30"/>
      <c r="J24" s="119"/>
      <c r="K24" s="7"/>
      <c r="L24" s="119"/>
      <c r="M24" s="119"/>
    </row>
    <row r="25" spans="1:13" x14ac:dyDescent="0.2">
      <c r="A25" s="277"/>
      <c r="B25" s="7"/>
      <c r="C25" s="112"/>
      <c r="D25" s="112"/>
      <c r="E25" s="172"/>
      <c r="F25" s="7"/>
      <c r="G25" s="7"/>
      <c r="H25" s="119"/>
      <c r="I25" s="30"/>
      <c r="J25" s="119"/>
      <c r="K25" s="7"/>
      <c r="L25" s="119"/>
      <c r="M25" s="119"/>
    </row>
    <row r="26" spans="1:13" ht="34.5" customHeight="1" x14ac:dyDescent="0.2">
      <c r="A26" s="277"/>
      <c r="B26" s="7"/>
      <c r="C26" s="398" t="s">
        <v>289</v>
      </c>
      <c r="D26" s="398"/>
      <c r="E26" s="172"/>
      <c r="F26" s="7">
        <v>10</v>
      </c>
      <c r="G26" s="7" t="s">
        <v>15</v>
      </c>
      <c r="H26" s="143">
        <f>H19</f>
        <v>49.95</v>
      </c>
      <c r="I26" s="143">
        <f>(49.45/60)*$F$26</f>
        <v>8.2416666666666671</v>
      </c>
      <c r="J26" s="119"/>
      <c r="K26" s="7"/>
      <c r="L26" s="119"/>
      <c r="M26" s="119"/>
    </row>
    <row r="27" spans="1:13" x14ac:dyDescent="0.2">
      <c r="A27" s="277"/>
      <c r="B27" s="7"/>
      <c r="C27" s="105"/>
      <c r="D27" s="105"/>
      <c r="E27" s="105"/>
      <c r="F27" s="119"/>
      <c r="G27" s="119"/>
      <c r="H27" s="119"/>
      <c r="I27" s="119"/>
      <c r="J27" s="119"/>
      <c r="K27" s="7"/>
      <c r="L27" s="119"/>
      <c r="M27" s="119"/>
    </row>
    <row r="28" spans="1:13" ht="18.75" customHeight="1" x14ac:dyDescent="0.2">
      <c r="A28" s="277"/>
      <c r="B28" s="7"/>
      <c r="C28" s="405" t="s">
        <v>290</v>
      </c>
      <c r="D28" s="405"/>
      <c r="E28" s="172"/>
      <c r="F28" s="7"/>
      <c r="G28" s="7"/>
      <c r="H28" s="119"/>
      <c r="I28" s="30"/>
      <c r="J28" s="119"/>
      <c r="K28" s="7"/>
      <c r="L28" s="119"/>
      <c r="M28" s="119"/>
    </row>
    <row r="29" spans="1:13" x14ac:dyDescent="0.2">
      <c r="A29" s="277"/>
      <c r="B29" s="7"/>
      <c r="C29" s="112"/>
      <c r="D29" s="112"/>
      <c r="E29" s="172"/>
      <c r="F29" s="7">
        <v>8</v>
      </c>
      <c r="G29" s="7" t="s">
        <v>15</v>
      </c>
      <c r="H29" s="143">
        <f>H19</f>
        <v>49.95</v>
      </c>
      <c r="I29" s="143">
        <f>(49.45/60)*$F$29*0.5</f>
        <v>3.2966666666666669</v>
      </c>
      <c r="J29" s="119"/>
      <c r="K29" s="7"/>
      <c r="L29" s="119"/>
      <c r="M29" s="119"/>
    </row>
    <row r="30" spans="1:13" ht="15.75" thickBot="1" x14ac:dyDescent="0.25">
      <c r="A30" s="277"/>
      <c r="B30" s="7"/>
      <c r="C30" s="167"/>
      <c r="D30" s="167"/>
      <c r="E30" s="172"/>
      <c r="F30" s="137">
        <f>SUM(F23:F29)</f>
        <v>28</v>
      </c>
      <c r="G30" s="7"/>
      <c r="H30" s="7"/>
      <c r="I30" s="119"/>
      <c r="J30" s="119"/>
      <c r="K30" s="7"/>
      <c r="L30" s="119"/>
      <c r="M30" s="119"/>
    </row>
    <row r="31" spans="1:13" ht="15.75" thickTop="1" x14ac:dyDescent="0.2">
      <c r="A31" s="277"/>
      <c r="B31" s="7"/>
      <c r="C31" s="167"/>
      <c r="D31" s="167"/>
      <c r="E31" s="172"/>
      <c r="F31" s="7"/>
      <c r="G31" s="7"/>
      <c r="H31" s="7"/>
      <c r="I31" s="119"/>
      <c r="J31" s="119"/>
      <c r="K31" s="7"/>
      <c r="L31" s="119"/>
      <c r="M31" s="119"/>
    </row>
    <row r="32" spans="1:13" x14ac:dyDescent="0.2">
      <c r="A32" s="277">
        <v>3</v>
      </c>
      <c r="B32" s="112" t="s">
        <v>8</v>
      </c>
      <c r="C32" s="7"/>
      <c r="D32" s="7"/>
      <c r="E32" s="172"/>
      <c r="F32" s="7"/>
      <c r="G32" s="7"/>
      <c r="H32" s="30"/>
      <c r="I32" s="30"/>
      <c r="J32" s="119"/>
      <c r="K32" s="7"/>
      <c r="L32" s="119"/>
      <c r="M32" s="119"/>
    </row>
    <row r="33" spans="1:13" x14ac:dyDescent="0.2">
      <c r="A33" s="277"/>
      <c r="B33" s="7"/>
      <c r="C33" s="7" t="s">
        <v>73</v>
      </c>
      <c r="D33" s="7"/>
      <c r="E33" s="172"/>
      <c r="F33" s="7"/>
      <c r="G33" s="119"/>
      <c r="H33" s="119"/>
      <c r="I33" s="181">
        <v>0</v>
      </c>
      <c r="J33" s="119"/>
      <c r="K33" s="7"/>
      <c r="L33" s="119"/>
      <c r="M33" s="119"/>
    </row>
    <row r="34" spans="1:13" x14ac:dyDescent="0.2">
      <c r="A34" s="277"/>
      <c r="B34" s="7"/>
      <c r="C34" s="7"/>
      <c r="D34" s="7"/>
      <c r="E34" s="172"/>
      <c r="F34" s="7"/>
      <c r="G34" s="119"/>
      <c r="H34" s="119"/>
      <c r="I34" s="30"/>
      <c r="J34" s="119"/>
      <c r="K34" s="7"/>
      <c r="L34" s="119"/>
      <c r="M34" s="119"/>
    </row>
    <row r="35" spans="1:13" x14ac:dyDescent="0.2">
      <c r="A35" s="277"/>
      <c r="B35" s="7"/>
      <c r="C35" s="7"/>
      <c r="D35" s="7"/>
      <c r="E35" s="172"/>
      <c r="F35" s="7"/>
      <c r="G35" s="119"/>
      <c r="H35" s="119"/>
      <c r="I35" s="30"/>
      <c r="J35" s="119"/>
      <c r="K35" s="7"/>
      <c r="L35" s="119"/>
      <c r="M35" s="119"/>
    </row>
    <row r="36" spans="1:13" x14ac:dyDescent="0.2">
      <c r="A36" s="277">
        <v>4</v>
      </c>
      <c r="B36" s="112" t="s">
        <v>260</v>
      </c>
      <c r="C36" s="7"/>
      <c r="D36" s="7"/>
      <c r="E36" s="119"/>
      <c r="F36" s="30"/>
      <c r="G36" s="7"/>
      <c r="H36" s="30"/>
      <c r="I36" s="30"/>
      <c r="J36" s="119"/>
      <c r="K36" s="7"/>
      <c r="L36" s="119"/>
      <c r="M36" s="119"/>
    </row>
    <row r="37" spans="1:13" x14ac:dyDescent="0.2">
      <c r="A37" s="277"/>
      <c r="B37" s="7"/>
      <c r="C37" s="398" t="s">
        <v>99</v>
      </c>
      <c r="D37" s="398"/>
      <c r="E37" s="119"/>
      <c r="F37" s="30"/>
      <c r="G37" s="7"/>
      <c r="H37" s="30"/>
      <c r="I37" s="143">
        <v>22.08</v>
      </c>
      <c r="J37" s="119"/>
      <c r="K37" s="7"/>
      <c r="L37" s="119"/>
      <c r="M37" s="119"/>
    </row>
    <row r="38" spans="1:13" x14ac:dyDescent="0.2">
      <c r="A38" s="277"/>
      <c r="B38" s="7"/>
      <c r="C38" s="172"/>
      <c r="D38" s="172"/>
      <c r="E38" s="7"/>
      <c r="F38" s="30"/>
      <c r="G38" s="7"/>
      <c r="H38" s="30"/>
      <c r="I38" s="30"/>
      <c r="J38" s="119"/>
      <c r="K38" s="7"/>
      <c r="L38" s="119"/>
      <c r="M38" s="119"/>
    </row>
    <row r="39" spans="1:13" ht="15.75" thickBot="1" x14ac:dyDescent="0.25">
      <c r="A39" s="277">
        <v>5</v>
      </c>
      <c r="B39" s="167" t="s">
        <v>259</v>
      </c>
      <c r="C39" s="172"/>
      <c r="D39" s="172"/>
      <c r="E39" s="7"/>
      <c r="F39" s="119"/>
      <c r="G39" s="7"/>
      <c r="H39" s="30"/>
      <c r="I39" s="136">
        <f>SUM($I$19:$I$37)</f>
        <v>51.594166666666666</v>
      </c>
      <c r="J39" s="119"/>
      <c r="K39" s="7"/>
      <c r="L39" s="119"/>
      <c r="M39" s="119"/>
    </row>
    <row r="40" spans="1:13" ht="15.75" thickTop="1" x14ac:dyDescent="0.2">
      <c r="A40" s="277"/>
      <c r="B40" s="167"/>
      <c r="C40" s="172"/>
      <c r="D40" s="172"/>
      <c r="E40" s="7"/>
      <c r="F40" s="119"/>
      <c r="G40" s="7"/>
      <c r="H40" s="30"/>
      <c r="I40" s="143"/>
      <c r="J40" s="119"/>
      <c r="K40" s="7"/>
      <c r="L40" s="119"/>
      <c r="M40" s="119"/>
    </row>
    <row r="41" spans="1:13" x14ac:dyDescent="0.2">
      <c r="A41" s="277"/>
      <c r="B41" s="167"/>
      <c r="C41" s="172"/>
      <c r="D41" s="172"/>
      <c r="E41" s="7"/>
      <c r="F41" s="119"/>
      <c r="G41" s="7"/>
      <c r="H41" s="30"/>
      <c r="I41" s="143"/>
      <c r="J41" s="119"/>
      <c r="K41" s="7"/>
      <c r="L41" s="119"/>
      <c r="M41" s="119"/>
    </row>
    <row r="42" spans="1:13" x14ac:dyDescent="0.2">
      <c r="A42" s="277"/>
      <c r="B42" s="167"/>
      <c r="C42" s="172"/>
      <c r="D42" s="172"/>
      <c r="E42" s="7"/>
      <c r="F42" s="119"/>
      <c r="G42" s="7"/>
      <c r="H42" s="30"/>
      <c r="I42" s="143"/>
      <c r="J42" s="119"/>
      <c r="K42" s="7"/>
      <c r="L42" s="119"/>
      <c r="M42" s="119"/>
    </row>
    <row r="43" spans="1:13" x14ac:dyDescent="0.2">
      <c r="A43" s="277"/>
      <c r="B43" s="167"/>
      <c r="C43" s="172"/>
      <c r="D43" s="172"/>
      <c r="E43" s="7"/>
      <c r="F43" s="119"/>
      <c r="G43" s="7"/>
      <c r="H43" s="30"/>
      <c r="I43" s="143"/>
      <c r="J43" s="119"/>
      <c r="K43" s="7"/>
      <c r="L43" s="119"/>
      <c r="M43" s="119"/>
    </row>
    <row r="44" spans="1:13" x14ac:dyDescent="0.2">
      <c r="A44" s="277"/>
      <c r="B44" s="167"/>
      <c r="C44" s="172"/>
      <c r="D44" s="172"/>
      <c r="E44" s="7"/>
      <c r="F44" s="119"/>
      <c r="G44" s="7"/>
      <c r="H44" s="30"/>
      <c r="I44" s="143"/>
      <c r="J44" s="119"/>
      <c r="K44" s="7"/>
      <c r="L44" s="119"/>
      <c r="M44" s="119"/>
    </row>
    <row r="45" spans="1:13" x14ac:dyDescent="0.2">
      <c r="A45" s="277"/>
      <c r="B45" s="7"/>
      <c r="C45" s="167"/>
      <c r="D45" s="167"/>
      <c r="E45" s="172"/>
      <c r="F45" s="119"/>
      <c r="G45" s="119"/>
      <c r="H45" s="119"/>
      <c r="I45" s="119"/>
      <c r="J45" s="119"/>
      <c r="K45" s="7"/>
      <c r="L45" s="119"/>
      <c r="M45" s="119"/>
    </row>
    <row r="46" spans="1:13" s="119" customFormat="1" x14ac:dyDescent="0.2">
      <c r="A46" s="277"/>
      <c r="B46" s="7"/>
      <c r="C46" s="167"/>
      <c r="D46" s="167"/>
      <c r="E46" s="172"/>
      <c r="I46" s="269"/>
      <c r="K46" s="7"/>
    </row>
    <row r="47" spans="1:13" s="138" customFormat="1" x14ac:dyDescent="0.2">
      <c r="A47" s="275"/>
      <c r="B47" s="111"/>
      <c r="C47" s="111"/>
      <c r="D47" s="111"/>
      <c r="E47" s="111"/>
      <c r="F47" s="111"/>
      <c r="G47" s="111"/>
      <c r="H47" s="111"/>
      <c r="I47" s="374"/>
      <c r="K47" s="111"/>
    </row>
    <row r="48" spans="1:13" s="119" customFormat="1" x14ac:dyDescent="0.2">
      <c r="A48" s="351"/>
      <c r="F48" s="176"/>
    </row>
    <row r="49" spans="1:13" s="119" customFormat="1" x14ac:dyDescent="0.2">
      <c r="A49" s="351"/>
      <c r="F49" s="176"/>
    </row>
    <row r="50" spans="1:13" s="119" customFormat="1" x14ac:dyDescent="0.2">
      <c r="A50" s="351"/>
      <c r="F50" s="176"/>
    </row>
    <row r="51" spans="1:13" s="119" customFormat="1" x14ac:dyDescent="0.2">
      <c r="A51" s="351"/>
      <c r="F51" s="176"/>
    </row>
    <row r="52" spans="1:13" s="119" customFormat="1" x14ac:dyDescent="0.2">
      <c r="F52" s="176"/>
    </row>
    <row r="53" spans="1:13" x14ac:dyDescent="0.2">
      <c r="A53" s="119"/>
      <c r="B53" s="119"/>
      <c r="C53" s="119"/>
      <c r="D53" s="119"/>
      <c r="E53" s="119"/>
      <c r="F53" s="176"/>
      <c r="G53" s="119"/>
      <c r="H53" s="119"/>
      <c r="I53" s="119"/>
      <c r="J53" s="119"/>
      <c r="K53" s="119"/>
      <c r="L53" s="119"/>
      <c r="M53" s="119"/>
    </row>
    <row r="54" spans="1:13" s="119" customFormat="1" x14ac:dyDescent="0.2">
      <c r="F54" s="176"/>
    </row>
    <row r="55" spans="1:13" x14ac:dyDescent="0.2">
      <c r="A55" s="119"/>
      <c r="B55" s="119"/>
      <c r="C55" s="119"/>
      <c r="D55" s="119"/>
      <c r="E55" s="119"/>
      <c r="F55" s="176"/>
      <c r="G55" s="119"/>
      <c r="H55" s="119"/>
      <c r="I55" s="119"/>
      <c r="J55" s="119"/>
      <c r="K55" s="119"/>
      <c r="L55" s="119"/>
      <c r="M55" s="119"/>
    </row>
    <row r="56" spans="1:13" x14ac:dyDescent="0.2">
      <c r="A56" s="119"/>
      <c r="B56" s="119"/>
      <c r="C56" s="119"/>
      <c r="D56" s="119"/>
      <c r="E56" s="119"/>
      <c r="F56" s="176"/>
      <c r="G56" s="119"/>
      <c r="H56" s="119"/>
      <c r="I56" s="119"/>
      <c r="J56" s="119"/>
      <c r="K56" s="119"/>
      <c r="L56" s="119"/>
      <c r="M56" s="119"/>
    </row>
    <row r="57" spans="1:13" x14ac:dyDescent="0.2">
      <c r="A57" s="119"/>
      <c r="B57" s="119"/>
      <c r="C57" s="119"/>
      <c r="D57" s="119"/>
      <c r="E57" s="119"/>
      <c r="F57" s="176"/>
      <c r="G57" s="119"/>
      <c r="H57" s="119"/>
      <c r="I57" s="119"/>
      <c r="J57" s="119"/>
      <c r="K57" s="119"/>
      <c r="L57" s="119"/>
      <c r="M57" s="119"/>
    </row>
    <row r="58" spans="1:13" x14ac:dyDescent="0.2">
      <c r="A58" s="119"/>
      <c r="B58" s="119"/>
      <c r="C58" s="255"/>
      <c r="D58" s="255"/>
      <c r="E58" s="255"/>
      <c r="F58" s="176"/>
      <c r="G58" s="119"/>
      <c r="H58" s="119"/>
      <c r="I58" s="119"/>
      <c r="J58" s="119"/>
      <c r="K58" s="119"/>
      <c r="L58" s="119"/>
      <c r="M58" s="119"/>
    </row>
    <row r="59" spans="1:13" s="119" customFormat="1" x14ac:dyDescent="0.2">
      <c r="F59" s="176"/>
    </row>
    <row r="60" spans="1:13" x14ac:dyDescent="0.2">
      <c r="A60" s="119"/>
      <c r="B60" s="119"/>
      <c r="C60" s="119"/>
      <c r="D60" s="119"/>
      <c r="E60" s="119"/>
      <c r="F60" s="176"/>
      <c r="G60" s="119"/>
      <c r="H60" s="119"/>
      <c r="I60" s="119"/>
      <c r="J60" s="119"/>
      <c r="K60" s="119"/>
      <c r="L60" s="119"/>
      <c r="M60" s="119"/>
    </row>
    <row r="61" spans="1:13" x14ac:dyDescent="0.2">
      <c r="A61" s="119"/>
      <c r="B61" s="119"/>
      <c r="C61" s="119"/>
      <c r="D61" s="119"/>
      <c r="E61" s="119"/>
      <c r="F61" s="176"/>
      <c r="G61" s="119"/>
      <c r="H61" s="119"/>
      <c r="I61" s="119"/>
      <c r="J61" s="119"/>
      <c r="K61" s="119"/>
      <c r="L61" s="119"/>
      <c r="M61" s="119"/>
    </row>
    <row r="62" spans="1:13" x14ac:dyDescent="0.2">
      <c r="A62" s="119"/>
      <c r="B62" s="119"/>
      <c r="C62" s="119"/>
      <c r="D62" s="119"/>
      <c r="E62" s="119"/>
      <c r="F62" s="176"/>
      <c r="G62" s="119"/>
      <c r="H62" s="119"/>
      <c r="I62" s="119"/>
      <c r="J62" s="119"/>
      <c r="K62" s="119"/>
      <c r="L62" s="119"/>
      <c r="M62" s="119"/>
    </row>
    <row r="63" spans="1:13" x14ac:dyDescent="0.2">
      <c r="A63" s="119"/>
      <c r="B63" s="119"/>
      <c r="C63" s="119"/>
      <c r="D63" s="119"/>
      <c r="E63" s="119"/>
      <c r="F63" s="176"/>
      <c r="G63" s="119"/>
      <c r="H63" s="119"/>
      <c r="I63" s="119"/>
      <c r="J63" s="119"/>
      <c r="K63" s="119"/>
      <c r="L63" s="119"/>
      <c r="M63" s="119"/>
    </row>
    <row r="64" spans="1:13" x14ac:dyDescent="0.2">
      <c r="A64" s="119"/>
      <c r="B64" s="119"/>
      <c r="C64" s="119"/>
      <c r="D64" s="119"/>
      <c r="E64" s="119"/>
      <c r="F64" s="176"/>
      <c r="G64" s="119"/>
      <c r="H64" s="119"/>
      <c r="I64" s="119"/>
      <c r="J64" s="119"/>
      <c r="K64" s="119"/>
      <c r="L64" s="119"/>
      <c r="M64" s="119"/>
    </row>
    <row r="65" spans="1:13" x14ac:dyDescent="0.2">
      <c r="A65" s="119"/>
      <c r="B65" s="119"/>
      <c r="C65" s="119"/>
      <c r="D65" s="119"/>
      <c r="E65" s="119"/>
      <c r="F65" s="176"/>
      <c r="G65" s="119"/>
      <c r="H65" s="119"/>
      <c r="I65" s="119"/>
      <c r="J65" s="119"/>
      <c r="K65" s="119"/>
      <c r="L65" s="119"/>
      <c r="M65" s="119"/>
    </row>
    <row r="66" spans="1:13" x14ac:dyDescent="0.2">
      <c r="A66" s="119"/>
      <c r="B66" s="119"/>
      <c r="C66" s="119"/>
      <c r="D66" s="119"/>
      <c r="E66" s="119"/>
      <c r="F66" s="176"/>
      <c r="G66" s="119"/>
      <c r="H66" s="119"/>
      <c r="I66" s="119"/>
      <c r="J66" s="119"/>
      <c r="K66" s="119"/>
      <c r="L66" s="119"/>
      <c r="M66" s="119"/>
    </row>
    <row r="67" spans="1:13" x14ac:dyDescent="0.2">
      <c r="A67" s="119"/>
      <c r="B67" s="119"/>
      <c r="C67" s="119"/>
      <c r="D67" s="119"/>
      <c r="E67" s="119"/>
      <c r="F67" s="176"/>
      <c r="G67" s="119"/>
      <c r="H67" s="119"/>
      <c r="I67" s="119"/>
      <c r="J67" s="119"/>
      <c r="K67" s="119"/>
      <c r="L67" s="119"/>
      <c r="M67" s="119"/>
    </row>
    <row r="68" spans="1:13" x14ac:dyDescent="0.2">
      <c r="A68" s="119"/>
      <c r="B68" s="119"/>
      <c r="C68" s="119"/>
      <c r="D68" s="119"/>
      <c r="E68" s="119"/>
      <c r="F68" s="176"/>
      <c r="G68" s="119"/>
      <c r="H68" s="119"/>
      <c r="I68" s="119"/>
      <c r="J68" s="119"/>
      <c r="K68" s="119"/>
      <c r="L68" s="119"/>
      <c r="M68" s="119"/>
    </row>
    <row r="69" spans="1:13" x14ac:dyDescent="0.2">
      <c r="A69" s="119"/>
      <c r="B69" s="119"/>
      <c r="C69" s="119"/>
      <c r="D69" s="119"/>
      <c r="E69" s="119"/>
      <c r="F69" s="176"/>
      <c r="G69" s="119"/>
      <c r="H69" s="119"/>
      <c r="I69" s="119"/>
      <c r="J69" s="119"/>
      <c r="K69" s="119"/>
      <c r="L69" s="119"/>
      <c r="M69" s="119"/>
    </row>
    <row r="70" spans="1:13" x14ac:dyDescent="0.2">
      <c r="A70" s="119"/>
      <c r="B70" s="119"/>
      <c r="C70" s="119"/>
      <c r="D70" s="119"/>
      <c r="E70" s="119"/>
      <c r="F70" s="176"/>
      <c r="G70" s="119"/>
      <c r="H70" s="119"/>
      <c r="I70" s="119"/>
      <c r="J70" s="119"/>
      <c r="K70" s="119"/>
      <c r="L70" s="119"/>
      <c r="M70" s="119"/>
    </row>
    <row r="71" spans="1:13" x14ac:dyDescent="0.2">
      <c r="A71" s="119"/>
      <c r="B71" s="119"/>
      <c r="C71" s="119"/>
      <c r="D71" s="119"/>
      <c r="E71" s="119"/>
      <c r="F71" s="176"/>
      <c r="G71" s="119"/>
      <c r="H71" s="119"/>
      <c r="I71" s="119"/>
      <c r="J71" s="119"/>
      <c r="K71" s="119"/>
      <c r="L71" s="119"/>
      <c r="M71" s="119"/>
    </row>
    <row r="72" spans="1:13" x14ac:dyDescent="0.2">
      <c r="A72" s="119"/>
      <c r="B72" s="119"/>
      <c r="C72" s="119"/>
      <c r="D72" s="119"/>
      <c r="E72" s="119"/>
      <c r="F72" s="176"/>
      <c r="G72" s="119"/>
      <c r="H72" s="119"/>
      <c r="I72" s="119"/>
      <c r="J72" s="119"/>
      <c r="K72" s="119"/>
      <c r="L72" s="119"/>
      <c r="M72" s="119"/>
    </row>
    <row r="73" spans="1:13" x14ac:dyDescent="0.2">
      <c r="A73" s="119"/>
      <c r="B73" s="119"/>
      <c r="C73" s="119"/>
      <c r="D73" s="119"/>
      <c r="E73" s="119"/>
      <c r="F73" s="176"/>
      <c r="G73" s="119"/>
      <c r="H73" s="119"/>
      <c r="I73" s="119"/>
      <c r="J73" s="119"/>
      <c r="K73" s="119"/>
      <c r="L73" s="119"/>
      <c r="M73" s="119"/>
    </row>
    <row r="74" spans="1:13" x14ac:dyDescent="0.2">
      <c r="A74" s="119"/>
      <c r="B74" s="119"/>
      <c r="C74" s="119"/>
      <c r="D74" s="119"/>
      <c r="E74" s="119"/>
      <c r="F74" s="176"/>
      <c r="G74" s="119"/>
      <c r="H74" s="119"/>
      <c r="I74" s="119"/>
      <c r="J74" s="119"/>
      <c r="K74" s="119"/>
      <c r="L74" s="119"/>
      <c r="M74" s="119"/>
    </row>
    <row r="75" spans="1:13" x14ac:dyDescent="0.2">
      <c r="A75" s="119"/>
      <c r="B75" s="119"/>
      <c r="C75" s="119"/>
      <c r="D75" s="119"/>
      <c r="E75" s="119"/>
      <c r="F75" s="176"/>
      <c r="G75" s="119"/>
      <c r="H75" s="119"/>
      <c r="I75" s="119"/>
      <c r="J75" s="119"/>
      <c r="K75" s="119"/>
      <c r="L75" s="119"/>
      <c r="M75" s="119"/>
    </row>
    <row r="76" spans="1:13" x14ac:dyDescent="0.2">
      <c r="A76" s="119"/>
      <c r="B76" s="119"/>
      <c r="C76" s="119"/>
      <c r="D76" s="119"/>
      <c r="E76" s="119"/>
      <c r="F76" s="176"/>
      <c r="G76" s="119"/>
      <c r="H76" s="119"/>
      <c r="I76" s="119"/>
      <c r="J76" s="119"/>
      <c r="K76" s="119"/>
      <c r="L76" s="119"/>
      <c r="M76" s="119"/>
    </row>
    <row r="77" spans="1:13" x14ac:dyDescent="0.2">
      <c r="A77" s="119"/>
      <c r="B77" s="119"/>
      <c r="C77" s="119"/>
      <c r="D77" s="119"/>
      <c r="E77" s="119"/>
      <c r="F77" s="176"/>
      <c r="G77" s="119"/>
      <c r="H77" s="119"/>
      <c r="I77" s="119"/>
      <c r="J77" s="119"/>
      <c r="K77" s="119"/>
      <c r="L77" s="119"/>
      <c r="M77" s="119"/>
    </row>
    <row r="78" spans="1:13" x14ac:dyDescent="0.2">
      <c r="A78" s="119"/>
      <c r="B78" s="119"/>
      <c r="C78" s="119"/>
      <c r="D78" s="119"/>
      <c r="E78" s="119"/>
      <c r="F78" s="176"/>
      <c r="G78" s="119"/>
      <c r="H78" s="119"/>
      <c r="I78" s="119"/>
      <c r="J78" s="119"/>
      <c r="K78" s="119"/>
      <c r="L78" s="119"/>
      <c r="M78" s="119"/>
    </row>
    <row r="79" spans="1:13" x14ac:dyDescent="0.2">
      <c r="A79" s="119"/>
      <c r="B79" s="119"/>
      <c r="C79" s="119"/>
      <c r="D79" s="119"/>
      <c r="E79" s="119"/>
      <c r="F79" s="176"/>
      <c r="G79" s="119"/>
      <c r="H79" s="119"/>
      <c r="I79" s="119"/>
      <c r="J79" s="119"/>
      <c r="K79" s="119"/>
      <c r="L79" s="119"/>
      <c r="M79" s="119"/>
    </row>
    <row r="80" spans="1:13" x14ac:dyDescent="0.2">
      <c r="A80" s="119"/>
      <c r="B80" s="119"/>
      <c r="C80" s="119"/>
      <c r="D80" s="119"/>
      <c r="E80" s="119"/>
      <c r="F80" s="176"/>
      <c r="G80" s="119"/>
      <c r="H80" s="119"/>
      <c r="I80" s="119"/>
      <c r="J80" s="119"/>
      <c r="K80" s="119"/>
      <c r="L80" s="119"/>
      <c r="M80" s="119"/>
    </row>
    <row r="81" spans="1:13" x14ac:dyDescent="0.2">
      <c r="A81" s="119"/>
      <c r="B81" s="119"/>
      <c r="C81" s="119"/>
      <c r="D81" s="119"/>
      <c r="E81" s="119"/>
      <c r="F81" s="176"/>
      <c r="G81" s="119"/>
      <c r="H81" s="119"/>
      <c r="I81" s="119"/>
      <c r="J81" s="119"/>
      <c r="K81" s="119"/>
      <c r="L81" s="119"/>
      <c r="M81" s="119"/>
    </row>
    <row r="82" spans="1:13" x14ac:dyDescent="0.2">
      <c r="A82" s="119"/>
      <c r="B82" s="119"/>
      <c r="C82" s="119"/>
      <c r="D82" s="119"/>
      <c r="E82" s="119"/>
      <c r="F82" s="176"/>
      <c r="G82" s="119"/>
      <c r="H82" s="119"/>
      <c r="I82" s="119"/>
      <c r="J82" s="119"/>
      <c r="K82" s="119"/>
      <c r="L82" s="119"/>
      <c r="M82" s="119"/>
    </row>
    <row r="83" spans="1:13" x14ac:dyDescent="0.2">
      <c r="A83" s="119"/>
      <c r="B83" s="119"/>
      <c r="C83" s="119"/>
      <c r="D83" s="119"/>
      <c r="E83" s="119"/>
      <c r="F83" s="176"/>
      <c r="G83" s="119"/>
      <c r="H83" s="119"/>
      <c r="I83" s="119"/>
      <c r="J83" s="119"/>
      <c r="K83" s="119"/>
      <c r="L83" s="119"/>
      <c r="M83" s="119"/>
    </row>
    <row r="84" spans="1:13" x14ac:dyDescent="0.2">
      <c r="A84" s="119"/>
      <c r="B84" s="119"/>
      <c r="C84" s="119"/>
      <c r="D84" s="119"/>
      <c r="E84" s="119"/>
      <c r="F84" s="176"/>
      <c r="G84" s="119"/>
      <c r="H84" s="119"/>
      <c r="I84" s="119"/>
      <c r="J84" s="119"/>
      <c r="K84" s="119"/>
      <c r="L84" s="119"/>
      <c r="M84" s="119"/>
    </row>
    <row r="85" spans="1:13" x14ac:dyDescent="0.2">
      <c r="A85" s="119"/>
      <c r="B85" s="119"/>
      <c r="C85" s="119"/>
      <c r="D85" s="119"/>
      <c r="E85" s="119"/>
      <c r="F85" s="176"/>
      <c r="G85" s="119"/>
      <c r="H85" s="119"/>
      <c r="I85" s="119"/>
      <c r="J85" s="119"/>
      <c r="K85" s="119"/>
      <c r="L85" s="119"/>
      <c r="M85" s="119"/>
    </row>
    <row r="86" spans="1:13" x14ac:dyDescent="0.2">
      <c r="A86" s="119"/>
      <c r="B86" s="119"/>
      <c r="C86" s="119"/>
      <c r="D86" s="119"/>
      <c r="E86" s="119"/>
      <c r="F86" s="176"/>
      <c r="G86" s="119"/>
      <c r="H86" s="119"/>
      <c r="I86" s="119"/>
      <c r="J86" s="119"/>
      <c r="K86" s="119"/>
      <c r="L86" s="119"/>
      <c r="M86" s="119"/>
    </row>
    <row r="87" spans="1:13" x14ac:dyDescent="0.2">
      <c r="A87" s="119"/>
      <c r="B87" s="119"/>
      <c r="C87" s="119"/>
      <c r="D87" s="119"/>
      <c r="E87" s="119"/>
      <c r="F87" s="176"/>
      <c r="G87" s="119"/>
      <c r="H87" s="119"/>
      <c r="I87" s="119"/>
      <c r="J87" s="119"/>
      <c r="K87" s="119"/>
      <c r="L87" s="119"/>
      <c r="M87" s="119"/>
    </row>
    <row r="88" spans="1:13" x14ac:dyDescent="0.2">
      <c r="A88" s="119"/>
      <c r="B88" s="119"/>
      <c r="C88" s="119"/>
      <c r="D88" s="119"/>
      <c r="E88" s="119"/>
      <c r="F88" s="176"/>
      <c r="G88" s="119"/>
      <c r="H88" s="119"/>
      <c r="I88" s="119"/>
      <c r="J88" s="119"/>
      <c r="K88" s="119"/>
      <c r="L88" s="119"/>
      <c r="M88" s="119"/>
    </row>
    <row r="89" spans="1:13" x14ac:dyDescent="0.2">
      <c r="A89" s="119"/>
      <c r="B89" s="119"/>
      <c r="C89" s="119"/>
      <c r="D89" s="119"/>
      <c r="E89" s="119"/>
      <c r="F89" s="176"/>
      <c r="G89" s="119"/>
      <c r="H89" s="119"/>
      <c r="I89" s="119"/>
      <c r="J89" s="119"/>
      <c r="K89" s="119"/>
      <c r="L89" s="119"/>
      <c r="M89" s="119"/>
    </row>
    <row r="90" spans="1:13" x14ac:dyDescent="0.2">
      <c r="A90" s="119"/>
      <c r="B90" s="119"/>
      <c r="C90" s="119"/>
      <c r="D90" s="119"/>
      <c r="E90" s="119"/>
      <c r="F90" s="176"/>
      <c r="G90" s="119"/>
      <c r="H90" s="119"/>
      <c r="I90" s="119"/>
      <c r="J90" s="119"/>
      <c r="K90" s="119"/>
      <c r="L90" s="119"/>
      <c r="M90" s="119"/>
    </row>
    <row r="91" spans="1:13" x14ac:dyDescent="0.2">
      <c r="A91" s="119"/>
      <c r="B91" s="119"/>
      <c r="C91" s="119"/>
      <c r="D91" s="119"/>
      <c r="E91" s="119"/>
      <c r="F91" s="176"/>
      <c r="G91" s="119"/>
      <c r="H91" s="119"/>
      <c r="I91" s="119"/>
      <c r="J91" s="119"/>
      <c r="K91" s="119"/>
      <c r="L91" s="119"/>
      <c r="M91" s="119"/>
    </row>
    <row r="92" spans="1:13" x14ac:dyDescent="0.2">
      <c r="A92" s="119"/>
      <c r="B92" s="119"/>
      <c r="C92" s="119"/>
      <c r="D92" s="119"/>
      <c r="E92" s="119"/>
      <c r="F92" s="176"/>
      <c r="G92" s="119"/>
      <c r="H92" s="119"/>
      <c r="I92" s="119"/>
      <c r="J92" s="119"/>
      <c r="K92" s="119"/>
      <c r="L92" s="119"/>
      <c r="M92" s="119"/>
    </row>
    <row r="93" spans="1:13" x14ac:dyDescent="0.2">
      <c r="A93" s="119"/>
      <c r="B93" s="119"/>
      <c r="C93" s="119"/>
      <c r="D93" s="119"/>
      <c r="E93" s="119"/>
      <c r="F93" s="176"/>
      <c r="G93" s="119"/>
      <c r="H93" s="119"/>
      <c r="I93" s="119"/>
      <c r="J93" s="119"/>
      <c r="K93" s="119"/>
      <c r="L93" s="119"/>
      <c r="M93" s="119"/>
    </row>
    <row r="94" spans="1:13" s="138" customFormat="1" x14ac:dyDescent="0.2">
      <c r="F94" s="374"/>
    </row>
    <row r="95" spans="1:13" x14ac:dyDescent="0.2">
      <c r="A95" s="119"/>
      <c r="B95" s="119"/>
      <c r="C95" s="119"/>
      <c r="D95" s="119"/>
      <c r="E95" s="119"/>
      <c r="F95" s="176"/>
      <c r="G95" s="119"/>
      <c r="H95" s="119"/>
      <c r="I95" s="119"/>
      <c r="J95" s="119"/>
      <c r="K95" s="119"/>
      <c r="L95" s="119"/>
      <c r="M95" s="119"/>
    </row>
    <row r="96" spans="1:13" x14ac:dyDescent="0.2">
      <c r="A96" s="119"/>
      <c r="B96" s="119"/>
      <c r="C96" s="119"/>
      <c r="D96" s="119"/>
      <c r="E96" s="119"/>
      <c r="F96" s="176"/>
      <c r="G96" s="119"/>
      <c r="H96" s="119"/>
      <c r="I96" s="119"/>
      <c r="J96" s="119"/>
      <c r="K96" s="119"/>
      <c r="L96" s="119"/>
      <c r="M96" s="119"/>
    </row>
    <row r="97" spans="1:13" x14ac:dyDescent="0.2">
      <c r="A97" s="119"/>
      <c r="B97" s="119"/>
      <c r="C97" s="119"/>
      <c r="D97" s="119"/>
      <c r="E97" s="119"/>
      <c r="F97" s="176"/>
      <c r="G97" s="119"/>
      <c r="H97" s="119"/>
      <c r="I97" s="119"/>
      <c r="J97" s="119"/>
      <c r="K97" s="119"/>
      <c r="L97" s="119"/>
      <c r="M97" s="119"/>
    </row>
    <row r="98" spans="1:13" x14ac:dyDescent="0.2">
      <c r="A98" s="119"/>
      <c r="B98" s="119"/>
      <c r="C98" s="119"/>
      <c r="D98" s="119"/>
      <c r="E98" s="119"/>
      <c r="F98" s="176"/>
      <c r="G98" s="119"/>
      <c r="H98" s="119"/>
      <c r="I98" s="119"/>
      <c r="J98" s="119"/>
      <c r="K98" s="119"/>
      <c r="L98" s="119"/>
      <c r="M98" s="119"/>
    </row>
    <row r="99" spans="1:13" x14ac:dyDescent="0.2">
      <c r="A99" s="119"/>
      <c r="B99" s="119"/>
      <c r="C99" s="119"/>
      <c r="D99" s="119"/>
      <c r="E99" s="119"/>
      <c r="F99" s="176"/>
      <c r="G99" s="119"/>
      <c r="H99" s="119"/>
      <c r="I99" s="119"/>
      <c r="J99" s="119"/>
      <c r="K99" s="119"/>
      <c r="L99" s="119"/>
      <c r="M99" s="119"/>
    </row>
    <row r="100" spans="1:13" s="182" customFormat="1" ht="15.75" thickBot="1" x14ac:dyDescent="0.25">
      <c r="F100" s="183"/>
    </row>
  </sheetData>
  <mergeCells count="5">
    <mergeCell ref="C23:D23"/>
    <mergeCell ref="C26:D26"/>
    <mergeCell ref="C28:D28"/>
    <mergeCell ref="C37:D37"/>
    <mergeCell ref="F10:G10"/>
  </mergeCells>
  <printOptions horizontalCentered="1"/>
  <pageMargins left="0.25" right="0.25" top="0.75" bottom="0.5" header="0.3" footer="0.3"/>
  <pageSetup scale="56" fitToHeight="0" orientation="landscape" r:id="rId1"/>
  <headerFooter alignWithMargins="0">
    <oddFooter xml:space="preserve">&amp;LSUPPORTING SCHEDULES:&amp;RRECAP SCHEDULES: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
  <sheetViews>
    <sheetView tabSelected="1" view="pageBreakPreview" zoomScale="70" zoomScaleNormal="75" zoomScaleSheetLayoutView="70" workbookViewId="0">
      <selection activeCell="C83" sqref="C83"/>
    </sheetView>
  </sheetViews>
  <sheetFormatPr defaultColWidth="9" defaultRowHeight="15" x14ac:dyDescent="0.2"/>
  <cols>
    <col min="1" max="1" width="12" style="1" customWidth="1"/>
    <col min="2" max="2" width="9" style="1"/>
    <col min="3" max="3" width="25.375" style="1" customWidth="1"/>
    <col min="4" max="4" width="37.625" style="1" customWidth="1"/>
    <col min="5" max="5" width="48.25" style="38" customWidth="1"/>
    <col min="6" max="6" width="9" style="1"/>
    <col min="7" max="7" width="12.75" style="1" customWidth="1"/>
    <col min="8" max="9" width="25" style="1" customWidth="1"/>
    <col min="10" max="10" width="24.75" style="1" customWidth="1"/>
    <col min="11" max="11" width="20.875" style="1" customWidth="1"/>
    <col min="12" max="16384" width="9" style="1"/>
  </cols>
  <sheetData>
    <row r="1" spans="1:13" s="7" customFormat="1" x14ac:dyDescent="0.2">
      <c r="E1" s="34"/>
    </row>
    <row r="2" spans="1:13" s="7" customFormat="1" x14ac:dyDescent="0.2">
      <c r="A2" s="271" t="s">
        <v>0</v>
      </c>
      <c r="C2" s="15"/>
      <c r="E2" s="277" t="s">
        <v>286</v>
      </c>
      <c r="H2" s="167"/>
      <c r="I2" s="167" t="s">
        <v>287</v>
      </c>
    </row>
    <row r="3" spans="1:13" x14ac:dyDescent="0.2">
      <c r="A3" s="75"/>
      <c r="B3" s="75"/>
      <c r="C3" s="279"/>
      <c r="D3" s="75"/>
      <c r="E3" s="275"/>
      <c r="F3" s="75"/>
      <c r="G3" s="75"/>
      <c r="H3" s="75"/>
      <c r="I3" s="75"/>
      <c r="J3" s="111"/>
      <c r="K3" s="7"/>
      <c r="L3" s="7"/>
      <c r="M3" s="7"/>
    </row>
    <row r="4" spans="1:13" x14ac:dyDescent="0.2">
      <c r="A4" s="112" t="s">
        <v>1</v>
      </c>
      <c r="B4" s="7"/>
      <c r="C4" s="15"/>
      <c r="D4" s="7"/>
      <c r="E4" s="277" t="s">
        <v>285</v>
      </c>
      <c r="F4" s="16"/>
      <c r="G4" s="17"/>
      <c r="H4" s="7"/>
      <c r="I4" s="112" t="str">
        <f>+Input!B2</f>
        <v>TYPE OF DATA SHOWN:</v>
      </c>
      <c r="J4" s="7"/>
      <c r="K4" s="7"/>
      <c r="L4" s="7"/>
      <c r="M4" s="7"/>
    </row>
    <row r="5" spans="1:13" x14ac:dyDescent="0.2">
      <c r="A5" s="7"/>
      <c r="B5" s="7"/>
      <c r="C5" s="15"/>
      <c r="D5" s="7"/>
      <c r="E5" s="277" t="s">
        <v>284</v>
      </c>
      <c r="F5" s="16"/>
      <c r="G5" s="16"/>
      <c r="H5" s="17"/>
      <c r="I5" s="167" t="str">
        <f>+Input!B3</f>
        <v>HISTORIC BASE YEAR DATA:  12/31/19</v>
      </c>
      <c r="J5" s="7"/>
      <c r="K5" s="7"/>
      <c r="L5" s="7"/>
      <c r="M5" s="7"/>
    </row>
    <row r="6" spans="1:13" x14ac:dyDescent="0.2">
      <c r="A6" s="112" t="s">
        <v>235</v>
      </c>
      <c r="B6" s="7"/>
      <c r="C6" s="15"/>
      <c r="D6" s="7"/>
      <c r="E6" s="168"/>
      <c r="F6" s="16"/>
      <c r="G6" s="17"/>
      <c r="H6" s="7"/>
      <c r="I6" s="167" t="str">
        <f>+Input!B4</f>
        <v>WITNESS:  M. WHITAKER</v>
      </c>
      <c r="J6" s="7"/>
      <c r="K6" s="7"/>
      <c r="L6" s="7"/>
      <c r="M6" s="7"/>
    </row>
    <row r="7" spans="1:13" x14ac:dyDescent="0.2">
      <c r="A7" s="7"/>
      <c r="B7" s="7"/>
      <c r="C7" s="15"/>
      <c r="D7" s="7"/>
      <c r="E7" s="34"/>
      <c r="F7" s="7"/>
      <c r="G7" s="7"/>
      <c r="H7" s="7"/>
      <c r="I7" s="7"/>
      <c r="J7" s="7"/>
      <c r="K7" s="7"/>
      <c r="L7" s="7"/>
      <c r="M7" s="7"/>
    </row>
    <row r="8" spans="1:13" s="7" customFormat="1" x14ac:dyDescent="0.2">
      <c r="A8" s="267" t="str">
        <f>+Input!A2</f>
        <v>DOCKET NO.:  20200051-GU</v>
      </c>
      <c r="B8" s="111"/>
      <c r="C8" s="303"/>
      <c r="D8" s="275"/>
      <c r="E8" s="281"/>
      <c r="F8" s="280"/>
      <c r="G8" s="286"/>
      <c r="H8" s="280"/>
      <c r="I8" s="111"/>
      <c r="J8" s="111"/>
    </row>
    <row r="9" spans="1:13" s="7" customFormat="1" x14ac:dyDescent="0.2">
      <c r="A9" s="121"/>
      <c r="B9" s="121"/>
      <c r="C9" s="145"/>
      <c r="D9" s="121"/>
      <c r="E9" s="150"/>
      <c r="F9" s="121"/>
      <c r="G9" s="121"/>
      <c r="H9" s="121"/>
      <c r="I9" s="121"/>
      <c r="J9" s="121"/>
    </row>
    <row r="10" spans="1:13" x14ac:dyDescent="0.2">
      <c r="A10" s="275" t="s">
        <v>297</v>
      </c>
      <c r="B10" s="267"/>
      <c r="C10" s="111"/>
      <c r="D10" s="267" t="s">
        <v>3</v>
      </c>
      <c r="E10" s="352" t="s">
        <v>283</v>
      </c>
      <c r="F10" s="111"/>
      <c r="G10" s="267"/>
      <c r="H10" s="111"/>
      <c r="I10" s="111"/>
      <c r="J10" s="111"/>
      <c r="K10" s="7"/>
      <c r="L10" s="7"/>
      <c r="M10" s="7"/>
    </row>
    <row r="11" spans="1:13" s="7" customFormat="1" x14ac:dyDescent="0.2">
      <c r="A11" s="277"/>
      <c r="B11" s="121"/>
      <c r="C11" s="121"/>
      <c r="D11" s="121"/>
      <c r="E11" s="121"/>
      <c r="F11" s="121"/>
      <c r="G11" s="121"/>
      <c r="H11" s="121"/>
      <c r="I11" s="121"/>
      <c r="J11" s="121"/>
    </row>
    <row r="12" spans="1:13" s="7" customFormat="1" x14ac:dyDescent="0.2">
      <c r="A12" s="277"/>
    </row>
    <row r="13" spans="1:13" x14ac:dyDescent="0.2">
      <c r="A13" s="277"/>
      <c r="B13" s="7"/>
      <c r="C13" s="7"/>
      <c r="D13" s="7"/>
      <c r="E13" s="7"/>
      <c r="F13" s="7"/>
      <c r="G13" s="7"/>
      <c r="H13" s="7"/>
      <c r="I13" s="7"/>
      <c r="J13" s="7"/>
      <c r="K13" s="7"/>
      <c r="L13" s="7"/>
      <c r="M13" s="7"/>
    </row>
    <row r="14" spans="1:13" x14ac:dyDescent="0.2">
      <c r="A14" s="277">
        <v>1</v>
      </c>
      <c r="B14" s="7"/>
      <c r="C14" s="7"/>
      <c r="D14" s="112" t="s">
        <v>282</v>
      </c>
      <c r="E14" s="7" t="s">
        <v>281</v>
      </c>
      <c r="F14" s="7"/>
      <c r="G14" s="7"/>
      <c r="H14" s="140">
        <v>298191.03999999998</v>
      </c>
      <c r="I14" s="140"/>
      <c r="J14" s="7"/>
      <c r="K14" s="7"/>
      <c r="L14" s="7"/>
      <c r="M14" s="7"/>
    </row>
    <row r="15" spans="1:13" ht="18.75" x14ac:dyDescent="0.25">
      <c r="A15" s="277"/>
      <c r="B15" s="169"/>
      <c r="C15" s="7"/>
      <c r="D15" s="112"/>
      <c r="E15" s="7" t="s">
        <v>280</v>
      </c>
      <c r="F15" s="7"/>
      <c r="G15" s="7"/>
      <c r="H15" s="141">
        <v>441210.98</v>
      </c>
      <c r="I15" s="141"/>
      <c r="J15" s="7"/>
      <c r="K15" s="7"/>
      <c r="L15" s="7"/>
      <c r="M15" s="7"/>
    </row>
    <row r="16" spans="1:13" ht="18.75" x14ac:dyDescent="0.25">
      <c r="A16" s="277"/>
      <c r="B16" s="169"/>
      <c r="C16" s="7"/>
      <c r="D16" s="112"/>
      <c r="E16" s="167" t="s">
        <v>279</v>
      </c>
      <c r="F16" s="7"/>
      <c r="G16" s="7"/>
      <c r="H16" s="142">
        <v>8887.51</v>
      </c>
      <c r="I16" s="141"/>
      <c r="J16" s="7"/>
      <c r="K16" s="7"/>
      <c r="L16" s="7"/>
      <c r="M16" s="7"/>
    </row>
    <row r="17" spans="1:13" x14ac:dyDescent="0.2">
      <c r="A17" s="277"/>
      <c r="B17" s="112"/>
      <c r="C17" s="7"/>
      <c r="D17" s="112"/>
      <c r="E17" s="7"/>
      <c r="F17" s="7"/>
      <c r="G17" s="7"/>
      <c r="H17" s="143"/>
      <c r="I17" s="143"/>
      <c r="J17" s="7"/>
      <c r="K17" s="7"/>
      <c r="L17" s="7"/>
      <c r="M17" s="7"/>
    </row>
    <row r="18" spans="1:13" x14ac:dyDescent="0.2">
      <c r="A18" s="277"/>
      <c r="B18" s="7"/>
      <c r="C18" s="7"/>
      <c r="D18" s="112"/>
      <c r="E18" s="7"/>
      <c r="F18" s="7"/>
      <c r="G18" s="7"/>
      <c r="H18" s="140">
        <f>SUM($H$14:$H$16)</f>
        <v>748289.53</v>
      </c>
      <c r="I18" s="140"/>
      <c r="J18" s="7"/>
      <c r="K18" s="7"/>
      <c r="L18" s="7"/>
      <c r="M18" s="7"/>
    </row>
    <row r="19" spans="1:13" x14ac:dyDescent="0.2">
      <c r="A19" s="277"/>
      <c r="B19" s="7"/>
      <c r="C19" s="7"/>
      <c r="D19" s="112"/>
      <c r="E19" s="7" t="s">
        <v>278</v>
      </c>
      <c r="F19" s="7"/>
      <c r="G19" s="7"/>
      <c r="H19" s="141">
        <f>$H$18*1.009511</f>
        <v>755406.5117198301</v>
      </c>
      <c r="I19" s="141"/>
      <c r="J19" s="7"/>
      <c r="K19" s="7"/>
      <c r="L19" s="7"/>
      <c r="M19" s="7"/>
    </row>
    <row r="20" spans="1:13" ht="15.75" x14ac:dyDescent="0.25">
      <c r="A20" s="277"/>
      <c r="B20" s="7"/>
      <c r="C20" s="7"/>
      <c r="D20" s="112"/>
      <c r="E20" s="7"/>
      <c r="F20" s="170"/>
      <c r="G20" s="7"/>
      <c r="H20" s="141"/>
      <c r="I20" s="141"/>
      <c r="J20" s="7"/>
      <c r="K20" s="7"/>
      <c r="L20" s="7"/>
      <c r="M20" s="7"/>
    </row>
    <row r="21" spans="1:13" x14ac:dyDescent="0.2">
      <c r="A21" s="277"/>
      <c r="B21" s="7"/>
      <c r="C21" s="7"/>
      <c r="D21" s="112"/>
      <c r="E21" s="7"/>
      <c r="F21" s="7"/>
      <c r="G21" s="7"/>
      <c r="H21" s="143"/>
      <c r="I21" s="143"/>
      <c r="J21" s="7"/>
      <c r="K21" s="7"/>
      <c r="L21" s="7"/>
      <c r="M21" s="7"/>
    </row>
    <row r="22" spans="1:13" x14ac:dyDescent="0.2">
      <c r="A22" s="277">
        <v>2</v>
      </c>
      <c r="B22" s="7"/>
      <c r="C22" s="7"/>
      <c r="D22" s="112" t="s">
        <v>277</v>
      </c>
      <c r="E22" s="7"/>
      <c r="F22" s="7"/>
      <c r="G22" s="7"/>
      <c r="H22" s="143"/>
      <c r="I22" s="143"/>
      <c r="J22" s="7"/>
      <c r="K22" s="7"/>
      <c r="L22" s="7"/>
      <c r="M22" s="7"/>
    </row>
    <row r="23" spans="1:13" x14ac:dyDescent="0.2">
      <c r="A23" s="277"/>
      <c r="B23" s="7"/>
      <c r="C23" s="171"/>
      <c r="D23" s="7"/>
      <c r="E23" s="167" t="s">
        <v>276</v>
      </c>
      <c r="F23" s="7"/>
      <c r="G23" s="7"/>
      <c r="H23" s="143">
        <v>292</v>
      </c>
      <c r="I23" s="143"/>
      <c r="J23" s="7"/>
      <c r="K23" s="7"/>
      <c r="L23" s="7"/>
      <c r="M23" s="7"/>
    </row>
    <row r="24" spans="1:13" x14ac:dyDescent="0.2">
      <c r="A24" s="7"/>
      <c r="B24" s="7"/>
      <c r="C24" s="171"/>
      <c r="D24" s="7"/>
      <c r="E24" s="7" t="s">
        <v>275</v>
      </c>
      <c r="F24" s="7"/>
      <c r="G24" s="7"/>
      <c r="H24" s="140">
        <f>$H$19/$H$23</f>
        <v>2587.00860178024</v>
      </c>
      <c r="I24" s="140"/>
      <c r="J24" s="7"/>
      <c r="K24" s="7"/>
      <c r="L24" s="7"/>
      <c r="M24" s="7"/>
    </row>
    <row r="25" spans="1:13" x14ac:dyDescent="0.2">
      <c r="A25" s="7"/>
      <c r="B25" s="7"/>
      <c r="C25" s="7"/>
      <c r="D25" s="7"/>
      <c r="E25" s="7"/>
      <c r="F25" s="7"/>
      <c r="G25" s="7"/>
      <c r="H25" s="143"/>
      <c r="I25" s="143"/>
      <c r="J25" s="7"/>
      <c r="K25" s="7"/>
      <c r="L25" s="7"/>
      <c r="M25" s="7"/>
    </row>
    <row r="26" spans="1:13" ht="15.75" thickBot="1" x14ac:dyDescent="0.25">
      <c r="A26" s="7"/>
      <c r="B26" s="7"/>
      <c r="C26" s="7"/>
      <c r="D26" s="7"/>
      <c r="E26" s="7" t="s">
        <v>274</v>
      </c>
      <c r="F26" s="7"/>
      <c r="G26" s="7"/>
      <c r="H26" s="139">
        <f>$H$24/12</f>
        <v>215.58405014835333</v>
      </c>
      <c r="I26" s="140"/>
      <c r="J26" s="7"/>
      <c r="K26" s="7"/>
      <c r="L26" s="7"/>
      <c r="M26" s="7"/>
    </row>
    <row r="27" spans="1:13" ht="15.75" thickTop="1" x14ac:dyDescent="0.2">
      <c r="A27" s="7"/>
      <c r="B27" s="7"/>
      <c r="C27" s="257"/>
      <c r="D27" s="257"/>
      <c r="E27" s="257"/>
      <c r="F27" s="7"/>
      <c r="G27" s="7"/>
      <c r="H27" s="7"/>
      <c r="I27" s="7"/>
      <c r="J27" s="7"/>
      <c r="K27" s="7"/>
      <c r="L27" s="7"/>
      <c r="M27" s="7"/>
    </row>
    <row r="28" spans="1:13" x14ac:dyDescent="0.2">
      <c r="A28" s="7"/>
      <c r="B28" s="7"/>
      <c r="C28" s="112"/>
      <c r="D28" s="172"/>
      <c r="E28" s="7"/>
      <c r="F28" s="7"/>
      <c r="G28" s="7"/>
      <c r="H28" s="30"/>
      <c r="I28" s="30"/>
      <c r="J28" s="7"/>
      <c r="K28" s="7"/>
      <c r="L28" s="7"/>
      <c r="M28" s="7"/>
    </row>
    <row r="29" spans="1:13" x14ac:dyDescent="0.2">
      <c r="A29" s="7"/>
      <c r="B29" s="7"/>
      <c r="C29" s="112"/>
      <c r="D29" s="172"/>
      <c r="E29" s="7"/>
      <c r="F29" s="7"/>
      <c r="G29" s="7"/>
      <c r="H29" s="30"/>
      <c r="I29" s="30"/>
      <c r="J29" s="7"/>
      <c r="K29" s="7"/>
      <c r="L29" s="7"/>
      <c r="M29" s="7"/>
    </row>
    <row r="30" spans="1:13" x14ac:dyDescent="0.2">
      <c r="A30" s="7"/>
      <c r="B30" s="7"/>
      <c r="C30" s="167"/>
      <c r="D30" s="172"/>
      <c r="E30" s="7"/>
      <c r="F30" s="7"/>
      <c r="G30" s="7"/>
      <c r="H30" s="30"/>
      <c r="I30" s="30"/>
      <c r="J30" s="7"/>
      <c r="K30" s="7"/>
      <c r="L30" s="7"/>
      <c r="M30" s="7"/>
    </row>
    <row r="31" spans="1:13" x14ac:dyDescent="0.2">
      <c r="A31" s="7"/>
      <c r="B31" s="7"/>
      <c r="C31" s="167"/>
      <c r="D31" s="172"/>
      <c r="E31" s="7"/>
      <c r="F31" s="7"/>
      <c r="G31" s="7"/>
      <c r="H31" s="30"/>
      <c r="I31" s="30"/>
      <c r="J31" s="7"/>
      <c r="K31" s="7"/>
      <c r="L31" s="7"/>
      <c r="M31" s="7"/>
    </row>
    <row r="32" spans="1:13" x14ac:dyDescent="0.2">
      <c r="A32" s="7"/>
      <c r="B32" s="7"/>
      <c r="C32" s="167"/>
      <c r="D32" s="172"/>
      <c r="E32" s="7"/>
      <c r="F32" s="7"/>
      <c r="G32" s="7"/>
      <c r="H32" s="7"/>
      <c r="I32" s="7"/>
      <c r="J32" s="7"/>
      <c r="K32" s="7"/>
      <c r="L32" s="7"/>
      <c r="M32" s="7"/>
    </row>
    <row r="33" spans="1:13" x14ac:dyDescent="0.2">
      <c r="A33" s="7"/>
      <c r="B33" s="7"/>
      <c r="C33" s="167"/>
      <c r="D33" s="172"/>
      <c r="E33" s="7"/>
      <c r="F33" s="7"/>
      <c r="G33" s="7"/>
      <c r="H33" s="7"/>
      <c r="I33" s="7"/>
      <c r="J33" s="7"/>
      <c r="K33" s="7"/>
      <c r="L33" s="7"/>
      <c r="M33" s="7"/>
    </row>
    <row r="34" spans="1:13" x14ac:dyDescent="0.2">
      <c r="A34" s="7"/>
      <c r="B34" s="7"/>
      <c r="C34" s="167"/>
      <c r="D34" s="172"/>
      <c r="E34" s="7"/>
      <c r="F34" s="7"/>
      <c r="G34" s="7"/>
      <c r="H34" s="7"/>
      <c r="I34" s="7"/>
      <c r="J34" s="7"/>
      <c r="K34" s="7"/>
      <c r="L34" s="7"/>
      <c r="M34" s="7"/>
    </row>
    <row r="35" spans="1:13" x14ac:dyDescent="0.2">
      <c r="A35" s="7"/>
      <c r="B35" s="7"/>
      <c r="C35" s="7"/>
      <c r="D35" s="7"/>
      <c r="E35" s="7"/>
      <c r="F35" s="7"/>
      <c r="G35" s="7"/>
      <c r="H35" s="34"/>
      <c r="I35" s="34"/>
      <c r="J35" s="7"/>
      <c r="K35" s="7"/>
      <c r="L35" s="7"/>
      <c r="M35" s="7"/>
    </row>
    <row r="36" spans="1:13" x14ac:dyDescent="0.2">
      <c r="A36" s="7"/>
      <c r="B36" s="7"/>
      <c r="C36" s="7"/>
      <c r="D36" s="7"/>
      <c r="E36" s="34"/>
      <c r="F36" s="7"/>
      <c r="G36" s="7"/>
      <c r="H36" s="7"/>
      <c r="I36" s="7"/>
      <c r="J36" s="7"/>
      <c r="K36" s="7"/>
      <c r="L36" s="7"/>
      <c r="M36" s="7"/>
    </row>
    <row r="37" spans="1:13" x14ac:dyDescent="0.2">
      <c r="A37" s="7"/>
      <c r="B37" s="7"/>
      <c r="C37" s="7"/>
      <c r="D37" s="7"/>
      <c r="E37" s="34"/>
      <c r="F37" s="7"/>
      <c r="G37" s="7"/>
      <c r="H37" s="7"/>
      <c r="I37" s="7"/>
      <c r="J37" s="7"/>
      <c r="K37" s="7"/>
      <c r="L37" s="7"/>
      <c r="M37" s="7"/>
    </row>
    <row r="38" spans="1:13" s="7" customFormat="1" x14ac:dyDescent="0.2">
      <c r="E38" s="34"/>
    </row>
    <row r="39" spans="1:13" s="111" customFormat="1" x14ac:dyDescent="0.2">
      <c r="E39" s="304"/>
    </row>
    <row r="40" spans="1:13" s="7" customFormat="1" x14ac:dyDescent="0.2">
      <c r="E40" s="34"/>
    </row>
    <row r="41" spans="1:13" s="7" customFormat="1" x14ac:dyDescent="0.2">
      <c r="E41" s="34"/>
    </row>
    <row r="42" spans="1:13" s="7" customFormat="1" x14ac:dyDescent="0.2">
      <c r="E42" s="34"/>
    </row>
    <row r="43" spans="1:13" s="7" customFormat="1" x14ac:dyDescent="0.2">
      <c r="E43" s="34"/>
    </row>
    <row r="44" spans="1:13" s="7" customFormat="1" x14ac:dyDescent="0.2">
      <c r="E44" s="34"/>
    </row>
    <row r="45" spans="1:13" s="7" customFormat="1" x14ac:dyDescent="0.2">
      <c r="E45" s="34"/>
    </row>
    <row r="46" spans="1:13" s="7" customFormat="1" x14ac:dyDescent="0.2">
      <c r="E46" s="34"/>
    </row>
    <row r="47" spans="1:13" s="7" customFormat="1" x14ac:dyDescent="0.2">
      <c r="E47" s="34"/>
    </row>
    <row r="48" spans="1:13" s="7" customFormat="1" x14ac:dyDescent="0.2">
      <c r="E48" s="34"/>
    </row>
    <row r="49" spans="1:13" s="7" customFormat="1" x14ac:dyDescent="0.2">
      <c r="E49" s="34"/>
    </row>
    <row r="50" spans="1:13" s="7" customFormat="1" x14ac:dyDescent="0.2">
      <c r="E50" s="34"/>
    </row>
    <row r="51" spans="1:13" s="7" customFormat="1" x14ac:dyDescent="0.2">
      <c r="E51" s="34"/>
    </row>
    <row r="52" spans="1:13" s="7" customFormat="1" x14ac:dyDescent="0.2">
      <c r="E52" s="34"/>
    </row>
    <row r="53" spans="1:13" x14ac:dyDescent="0.2">
      <c r="A53" s="7"/>
      <c r="B53" s="7"/>
      <c r="C53" s="7"/>
      <c r="D53" s="7"/>
      <c r="E53" s="34"/>
      <c r="F53" s="7"/>
      <c r="G53" s="7"/>
      <c r="H53" s="7"/>
      <c r="I53" s="7"/>
      <c r="J53" s="7"/>
      <c r="K53" s="7"/>
      <c r="L53" s="7"/>
      <c r="M53" s="7"/>
    </row>
    <row r="54" spans="1:13" s="7" customFormat="1" x14ac:dyDescent="0.2">
      <c r="E54" s="34"/>
    </row>
    <row r="55" spans="1:13" x14ac:dyDescent="0.2">
      <c r="A55" s="7"/>
      <c r="B55" s="7"/>
      <c r="C55" s="7"/>
      <c r="D55" s="7"/>
      <c r="E55" s="34"/>
      <c r="F55" s="7"/>
      <c r="G55" s="7"/>
      <c r="H55" s="7"/>
      <c r="I55" s="7"/>
      <c r="J55" s="7"/>
      <c r="K55" s="7"/>
      <c r="L55" s="7"/>
      <c r="M55" s="7"/>
    </row>
    <row r="56" spans="1:13" x14ac:dyDescent="0.2">
      <c r="A56" s="7"/>
      <c r="B56" s="7"/>
      <c r="C56" s="7"/>
      <c r="D56" s="7"/>
      <c r="E56" s="34"/>
      <c r="F56" s="7"/>
      <c r="G56" s="7"/>
      <c r="H56" s="7"/>
      <c r="I56" s="7"/>
      <c r="J56" s="7"/>
      <c r="K56" s="7"/>
      <c r="L56" s="7"/>
      <c r="M56" s="7"/>
    </row>
    <row r="57" spans="1:13" x14ac:dyDescent="0.2">
      <c r="A57" s="7"/>
      <c r="B57" s="7"/>
      <c r="C57" s="7"/>
      <c r="D57" s="7"/>
      <c r="E57" s="34"/>
      <c r="F57" s="7"/>
      <c r="G57" s="7"/>
      <c r="H57" s="7"/>
      <c r="I57" s="7"/>
      <c r="J57" s="7"/>
      <c r="K57" s="7"/>
      <c r="L57" s="7"/>
      <c r="M57" s="7"/>
    </row>
    <row r="58" spans="1:13" s="7" customFormat="1" x14ac:dyDescent="0.2">
      <c r="C58" s="105"/>
      <c r="D58" s="105"/>
      <c r="E58" s="105"/>
    </row>
    <row r="59" spans="1:13" x14ac:dyDescent="0.2">
      <c r="A59" s="7"/>
      <c r="B59" s="7"/>
      <c r="C59" s="7"/>
      <c r="D59" s="7"/>
      <c r="E59" s="34"/>
      <c r="F59" s="7"/>
      <c r="G59" s="7"/>
      <c r="H59" s="7"/>
      <c r="I59" s="7"/>
      <c r="J59" s="7"/>
      <c r="K59" s="7"/>
      <c r="L59" s="7"/>
      <c r="M59" s="7"/>
    </row>
    <row r="60" spans="1:13" x14ac:dyDescent="0.2">
      <c r="A60" s="7"/>
      <c r="B60" s="7"/>
      <c r="C60" s="7"/>
      <c r="D60" s="7"/>
      <c r="E60" s="34"/>
      <c r="F60" s="7"/>
      <c r="G60" s="7"/>
      <c r="H60" s="7"/>
      <c r="I60" s="7"/>
      <c r="J60" s="7"/>
      <c r="K60" s="7"/>
      <c r="L60" s="7"/>
      <c r="M60" s="7"/>
    </row>
    <row r="61" spans="1:13" x14ac:dyDescent="0.2">
      <c r="A61" s="7"/>
      <c r="B61" s="7"/>
      <c r="C61" s="7"/>
      <c r="D61" s="7"/>
      <c r="E61" s="34"/>
      <c r="F61" s="7"/>
      <c r="G61" s="7"/>
      <c r="H61" s="7"/>
      <c r="I61" s="7"/>
      <c r="J61" s="7"/>
      <c r="K61" s="7"/>
      <c r="L61" s="7"/>
      <c r="M61" s="7"/>
    </row>
    <row r="62" spans="1:13" x14ac:dyDescent="0.2">
      <c r="A62" s="7"/>
      <c r="B62" s="7"/>
      <c r="C62" s="7"/>
      <c r="D62" s="7"/>
      <c r="E62" s="34"/>
      <c r="F62" s="7"/>
      <c r="G62" s="7"/>
      <c r="H62" s="7"/>
      <c r="I62" s="7"/>
      <c r="J62" s="7"/>
      <c r="K62" s="7"/>
      <c r="L62" s="7"/>
      <c r="M62" s="7"/>
    </row>
    <row r="63" spans="1:13" x14ac:dyDescent="0.2">
      <c r="A63" s="7"/>
      <c r="B63" s="7"/>
      <c r="C63" s="7"/>
      <c r="D63" s="7"/>
      <c r="E63" s="34"/>
      <c r="F63" s="7"/>
      <c r="G63" s="7"/>
      <c r="H63" s="7"/>
      <c r="I63" s="7"/>
      <c r="J63" s="7"/>
      <c r="K63" s="7"/>
      <c r="L63" s="7"/>
      <c r="M63" s="7"/>
    </row>
    <row r="64" spans="1:13" x14ac:dyDescent="0.2">
      <c r="A64" s="7"/>
      <c r="B64" s="7"/>
      <c r="C64" s="7"/>
      <c r="D64" s="7"/>
      <c r="E64" s="34"/>
      <c r="F64" s="7"/>
      <c r="G64" s="7"/>
      <c r="H64" s="7"/>
      <c r="I64" s="7"/>
      <c r="J64" s="7"/>
      <c r="K64" s="7"/>
      <c r="L64" s="7"/>
      <c r="M64" s="7"/>
    </row>
    <row r="65" spans="1:13" x14ac:dyDescent="0.2">
      <c r="A65" s="7"/>
      <c r="B65" s="7"/>
      <c r="C65" s="7"/>
      <c r="D65" s="7"/>
      <c r="E65" s="34"/>
      <c r="F65" s="7"/>
      <c r="G65" s="7"/>
      <c r="H65" s="7"/>
      <c r="I65" s="7"/>
      <c r="J65" s="7"/>
      <c r="K65" s="7"/>
      <c r="L65" s="7"/>
      <c r="M65" s="7"/>
    </row>
    <row r="66" spans="1:13" x14ac:dyDescent="0.2">
      <c r="A66" s="7"/>
      <c r="B66" s="7"/>
      <c r="C66" s="7"/>
      <c r="D66" s="7"/>
      <c r="E66" s="34"/>
      <c r="F66" s="7"/>
      <c r="G66" s="7"/>
      <c r="H66" s="7"/>
      <c r="I66" s="7"/>
      <c r="J66" s="7"/>
      <c r="K66" s="7"/>
      <c r="L66" s="7"/>
      <c r="M66" s="7"/>
    </row>
    <row r="67" spans="1:13" x14ac:dyDescent="0.2">
      <c r="A67" s="7"/>
      <c r="B67" s="7"/>
      <c r="C67" s="7"/>
      <c r="D67" s="7"/>
      <c r="E67" s="34"/>
      <c r="F67" s="7"/>
      <c r="G67" s="7"/>
      <c r="H67" s="7"/>
      <c r="I67" s="7"/>
      <c r="J67" s="7"/>
      <c r="K67" s="7"/>
      <c r="L67" s="7"/>
      <c r="M67" s="7"/>
    </row>
    <row r="68" spans="1:13" x14ac:dyDescent="0.2">
      <c r="A68" s="7"/>
      <c r="B68" s="7"/>
      <c r="C68" s="7"/>
      <c r="D68" s="7"/>
      <c r="E68" s="34"/>
      <c r="F68" s="7"/>
      <c r="G68" s="7"/>
      <c r="H68" s="7"/>
      <c r="I68" s="7"/>
      <c r="J68" s="7"/>
      <c r="K68" s="7"/>
      <c r="L68" s="7"/>
      <c r="M68" s="7"/>
    </row>
    <row r="69" spans="1:13" x14ac:dyDescent="0.2">
      <c r="A69" s="7"/>
      <c r="B69" s="7"/>
      <c r="C69" s="7"/>
      <c r="D69" s="7"/>
      <c r="E69" s="34"/>
      <c r="F69" s="7"/>
      <c r="G69" s="7"/>
      <c r="H69" s="7"/>
      <c r="I69" s="7"/>
      <c r="J69" s="7"/>
      <c r="K69" s="7"/>
      <c r="L69" s="7"/>
      <c r="M69" s="7"/>
    </row>
    <row r="70" spans="1:13" x14ac:dyDescent="0.2">
      <c r="A70" s="7"/>
      <c r="B70" s="7"/>
      <c r="C70" s="7"/>
      <c r="D70" s="7"/>
      <c r="E70" s="34"/>
      <c r="F70" s="7"/>
      <c r="G70" s="7"/>
      <c r="H70" s="7"/>
      <c r="I70" s="7"/>
      <c r="J70" s="7"/>
      <c r="K70" s="7"/>
      <c r="L70" s="7"/>
      <c r="M70" s="7"/>
    </row>
    <row r="71" spans="1:13" x14ac:dyDescent="0.2">
      <c r="A71" s="7"/>
      <c r="B71" s="7"/>
      <c r="C71" s="7"/>
      <c r="D71" s="7"/>
      <c r="E71" s="34"/>
      <c r="F71" s="7"/>
      <c r="G71" s="7"/>
      <c r="H71" s="7"/>
      <c r="I71" s="7"/>
      <c r="J71" s="7"/>
      <c r="K71" s="7"/>
      <c r="L71" s="7"/>
      <c r="M71" s="7"/>
    </row>
    <row r="72" spans="1:13" x14ac:dyDescent="0.2">
      <c r="A72" s="7"/>
      <c r="B72" s="7"/>
      <c r="C72" s="7"/>
      <c r="D72" s="7"/>
      <c r="E72" s="34"/>
      <c r="F72" s="7"/>
      <c r="G72" s="7"/>
      <c r="H72" s="7"/>
      <c r="I72" s="7"/>
      <c r="J72" s="7"/>
      <c r="K72" s="7"/>
      <c r="L72" s="7"/>
      <c r="M72" s="7"/>
    </row>
    <row r="73" spans="1:13" x14ac:dyDescent="0.2">
      <c r="A73" s="7"/>
      <c r="B73" s="7"/>
      <c r="C73" s="7"/>
      <c r="D73" s="7"/>
      <c r="E73" s="34"/>
      <c r="F73" s="7"/>
      <c r="G73" s="7"/>
      <c r="H73" s="7"/>
      <c r="I73" s="7"/>
      <c r="J73" s="7"/>
      <c r="K73" s="7"/>
      <c r="L73" s="7"/>
      <c r="M73" s="7"/>
    </row>
    <row r="74" spans="1:13" x14ac:dyDescent="0.2">
      <c r="A74" s="7"/>
      <c r="B74" s="7"/>
      <c r="C74" s="7"/>
      <c r="D74" s="7"/>
      <c r="E74" s="34"/>
      <c r="F74" s="7"/>
      <c r="G74" s="7"/>
      <c r="H74" s="7"/>
      <c r="I74" s="7"/>
      <c r="J74" s="7"/>
      <c r="K74" s="7"/>
      <c r="L74" s="7"/>
      <c r="M74" s="7"/>
    </row>
    <row r="75" spans="1:13" x14ac:dyDescent="0.2">
      <c r="A75" s="7"/>
      <c r="B75" s="7"/>
      <c r="C75" s="7"/>
      <c r="D75" s="7"/>
      <c r="E75" s="34"/>
      <c r="F75" s="7"/>
      <c r="G75" s="7"/>
      <c r="H75" s="7"/>
      <c r="I75" s="7"/>
      <c r="J75" s="7"/>
      <c r="K75" s="7"/>
      <c r="L75" s="7"/>
      <c r="M75" s="7"/>
    </row>
    <row r="76" spans="1:13" x14ac:dyDescent="0.2">
      <c r="A76" s="7"/>
      <c r="B76" s="7"/>
      <c r="C76" s="7"/>
      <c r="D76" s="7"/>
      <c r="E76" s="34"/>
      <c r="F76" s="7"/>
      <c r="G76" s="7"/>
      <c r="H76" s="7"/>
      <c r="I76" s="7"/>
      <c r="J76" s="7"/>
      <c r="K76" s="7"/>
      <c r="L76" s="7"/>
      <c r="M76" s="7"/>
    </row>
    <row r="77" spans="1:13" x14ac:dyDescent="0.2">
      <c r="A77" s="7"/>
      <c r="B77" s="7"/>
      <c r="C77" s="7"/>
      <c r="D77" s="7"/>
      <c r="E77" s="34"/>
      <c r="F77" s="7"/>
      <c r="G77" s="7"/>
      <c r="H77" s="7"/>
      <c r="I77" s="7"/>
      <c r="J77" s="7"/>
      <c r="K77" s="7"/>
      <c r="L77" s="7"/>
      <c r="M77" s="7"/>
    </row>
    <row r="78" spans="1:13" x14ac:dyDescent="0.2">
      <c r="A78" s="7"/>
      <c r="B78" s="7"/>
      <c r="C78" s="7"/>
      <c r="D78" s="7"/>
      <c r="E78" s="34"/>
      <c r="F78" s="7"/>
      <c r="G78" s="7"/>
      <c r="H78" s="7"/>
      <c r="I78" s="7"/>
      <c r="J78" s="7"/>
      <c r="K78" s="7"/>
      <c r="L78" s="7"/>
      <c r="M78" s="7"/>
    </row>
    <row r="79" spans="1:13" x14ac:dyDescent="0.2">
      <c r="A79" s="7"/>
      <c r="B79" s="7"/>
      <c r="C79" s="7"/>
      <c r="D79" s="7"/>
      <c r="E79" s="34"/>
      <c r="F79" s="7"/>
      <c r="G79" s="7"/>
      <c r="H79" s="7"/>
      <c r="I79" s="7"/>
      <c r="J79" s="7"/>
      <c r="K79" s="7"/>
      <c r="L79" s="7"/>
      <c r="M79" s="7"/>
    </row>
    <row r="80" spans="1:13" x14ac:dyDescent="0.2">
      <c r="A80" s="7"/>
      <c r="B80" s="7"/>
      <c r="C80" s="7"/>
      <c r="D80" s="7"/>
      <c r="E80" s="34"/>
      <c r="F80" s="7"/>
      <c r="G80" s="7"/>
      <c r="H80" s="7"/>
      <c r="I80" s="7"/>
      <c r="J80" s="7"/>
      <c r="K80" s="7"/>
      <c r="L80" s="7"/>
      <c r="M80" s="7"/>
    </row>
    <row r="81" spans="1:13" x14ac:dyDescent="0.2">
      <c r="A81" s="7"/>
      <c r="B81" s="7"/>
      <c r="C81" s="7"/>
      <c r="D81" s="7"/>
      <c r="E81" s="34"/>
      <c r="F81" s="7"/>
      <c r="G81" s="7"/>
      <c r="H81" s="7"/>
      <c r="I81" s="7"/>
      <c r="J81" s="7"/>
      <c r="K81" s="7"/>
      <c r="L81" s="7"/>
      <c r="M81" s="7"/>
    </row>
    <row r="82" spans="1:13" x14ac:dyDescent="0.2">
      <c r="A82" s="7"/>
      <c r="B82" s="7"/>
      <c r="C82" s="7"/>
      <c r="D82" s="7"/>
      <c r="E82" s="34"/>
      <c r="F82" s="7"/>
      <c r="G82" s="7"/>
      <c r="H82" s="7"/>
      <c r="I82" s="7"/>
      <c r="J82" s="7"/>
      <c r="K82" s="7"/>
      <c r="L82" s="7"/>
      <c r="M82" s="7"/>
    </row>
    <row r="83" spans="1:13" x14ac:dyDescent="0.2">
      <c r="A83" s="7"/>
      <c r="B83" s="7"/>
      <c r="C83" s="7"/>
      <c r="D83" s="7"/>
      <c r="E83" s="34"/>
      <c r="F83" s="7"/>
      <c r="G83" s="7"/>
      <c r="H83" s="7"/>
      <c r="I83" s="7"/>
      <c r="J83" s="7"/>
      <c r="K83" s="7"/>
      <c r="L83" s="7"/>
      <c r="M83" s="7"/>
    </row>
    <row r="84" spans="1:13" x14ac:dyDescent="0.2">
      <c r="A84" s="7"/>
      <c r="B84" s="7"/>
      <c r="C84" s="7"/>
      <c r="D84" s="7"/>
      <c r="E84" s="34"/>
      <c r="F84" s="7"/>
      <c r="G84" s="7"/>
      <c r="H84" s="7"/>
      <c r="I84" s="7"/>
      <c r="J84" s="7"/>
      <c r="K84" s="7"/>
      <c r="L84" s="7"/>
      <c r="M84" s="7"/>
    </row>
    <row r="85" spans="1:13" x14ac:dyDescent="0.2">
      <c r="A85" s="7"/>
      <c r="B85" s="7"/>
      <c r="C85" s="7"/>
      <c r="D85" s="7"/>
      <c r="E85" s="34"/>
      <c r="F85" s="7"/>
      <c r="G85" s="7"/>
      <c r="H85" s="7"/>
      <c r="I85" s="7"/>
      <c r="J85" s="7"/>
      <c r="K85" s="7"/>
      <c r="L85" s="7"/>
      <c r="M85" s="7"/>
    </row>
    <row r="86" spans="1:13" x14ac:dyDescent="0.2">
      <c r="A86" s="7"/>
      <c r="B86" s="7"/>
      <c r="C86" s="7"/>
      <c r="D86" s="7"/>
      <c r="E86" s="34"/>
      <c r="F86" s="7"/>
      <c r="G86" s="7"/>
      <c r="H86" s="7"/>
      <c r="I86" s="7"/>
      <c r="J86" s="7"/>
      <c r="K86" s="7"/>
      <c r="L86" s="7"/>
      <c r="M86" s="7"/>
    </row>
    <row r="87" spans="1:13" x14ac:dyDescent="0.2">
      <c r="A87" s="7"/>
      <c r="B87" s="7"/>
      <c r="C87" s="7"/>
      <c r="D87" s="7"/>
      <c r="E87" s="34"/>
      <c r="F87" s="7"/>
      <c r="G87" s="7"/>
      <c r="H87" s="7"/>
      <c r="I87" s="7"/>
      <c r="J87" s="7"/>
      <c r="K87" s="7"/>
      <c r="L87" s="7"/>
      <c r="M87" s="7"/>
    </row>
    <row r="88" spans="1:13" x14ac:dyDescent="0.2">
      <c r="A88" s="7"/>
      <c r="B88" s="7"/>
      <c r="C88" s="7"/>
      <c r="D88" s="7"/>
      <c r="E88" s="34"/>
      <c r="F88" s="7"/>
      <c r="G88" s="7"/>
      <c r="H88" s="7"/>
      <c r="I88" s="7"/>
      <c r="J88" s="7"/>
      <c r="K88" s="7"/>
      <c r="L88" s="7"/>
      <c r="M88" s="7"/>
    </row>
    <row r="89" spans="1:13" x14ac:dyDescent="0.2">
      <c r="A89" s="7"/>
      <c r="B89" s="7"/>
      <c r="C89" s="7"/>
      <c r="D89" s="7"/>
      <c r="E89" s="34"/>
      <c r="F89" s="7"/>
      <c r="G89" s="7"/>
      <c r="H89" s="7"/>
      <c r="I89" s="7"/>
      <c r="J89" s="7"/>
      <c r="K89" s="7"/>
      <c r="L89" s="7"/>
      <c r="M89" s="7"/>
    </row>
    <row r="90" spans="1:13" x14ac:dyDescent="0.2">
      <c r="A90" s="7"/>
      <c r="B90" s="7"/>
      <c r="C90" s="7"/>
      <c r="D90" s="7"/>
      <c r="E90" s="34"/>
      <c r="F90" s="7"/>
      <c r="G90" s="7"/>
      <c r="H90" s="7"/>
      <c r="I90" s="7"/>
      <c r="J90" s="7"/>
      <c r="K90" s="7"/>
      <c r="L90" s="7"/>
      <c r="M90" s="7"/>
    </row>
    <row r="91" spans="1:13" x14ac:dyDescent="0.2">
      <c r="A91" s="7"/>
      <c r="B91" s="7"/>
      <c r="C91" s="7"/>
      <c r="D91" s="7"/>
      <c r="E91" s="34"/>
      <c r="F91" s="7"/>
      <c r="G91" s="7"/>
      <c r="H91" s="7"/>
      <c r="I91" s="7"/>
      <c r="J91" s="7"/>
      <c r="K91" s="7"/>
      <c r="L91" s="7"/>
      <c r="M91" s="7"/>
    </row>
    <row r="92" spans="1:13" x14ac:dyDescent="0.2">
      <c r="A92" s="7"/>
      <c r="B92" s="7"/>
      <c r="C92" s="7"/>
      <c r="D92" s="7"/>
      <c r="E92" s="34"/>
      <c r="F92" s="7"/>
      <c r="G92" s="7"/>
      <c r="H92" s="7"/>
      <c r="I92" s="7"/>
      <c r="J92" s="7"/>
      <c r="K92" s="7"/>
      <c r="L92" s="7"/>
      <c r="M92" s="7"/>
    </row>
    <row r="93" spans="1:13" x14ac:dyDescent="0.2">
      <c r="A93" s="7"/>
      <c r="B93" s="7"/>
      <c r="C93" s="7"/>
      <c r="D93" s="7"/>
      <c r="E93" s="34"/>
      <c r="F93" s="7"/>
      <c r="G93" s="7"/>
      <c r="H93" s="7"/>
      <c r="I93" s="7"/>
      <c r="J93" s="7"/>
      <c r="K93" s="7"/>
      <c r="L93" s="7"/>
      <c r="M93" s="7"/>
    </row>
    <row r="94" spans="1:13" s="111" customFormat="1" x14ac:dyDescent="0.2">
      <c r="E94" s="304"/>
    </row>
    <row r="95" spans="1:13" x14ac:dyDescent="0.2">
      <c r="A95" s="7"/>
      <c r="B95" s="7"/>
      <c r="C95" s="7"/>
      <c r="D95" s="7"/>
      <c r="E95" s="34"/>
      <c r="F95" s="7"/>
      <c r="G95" s="7"/>
      <c r="H95" s="7"/>
      <c r="I95" s="7"/>
      <c r="J95" s="7"/>
      <c r="K95" s="7"/>
      <c r="L95" s="7"/>
      <c r="M95" s="7"/>
    </row>
    <row r="96" spans="1:13" x14ac:dyDescent="0.2">
      <c r="A96" s="7"/>
      <c r="B96" s="7"/>
      <c r="C96" s="7"/>
      <c r="D96" s="7"/>
      <c r="E96" s="34"/>
      <c r="F96" s="7"/>
      <c r="G96" s="7"/>
      <c r="H96" s="7"/>
      <c r="I96" s="7"/>
      <c r="J96" s="7"/>
      <c r="K96" s="7"/>
      <c r="L96" s="7"/>
      <c r="M96" s="7"/>
    </row>
    <row r="97" spans="1:13" x14ac:dyDescent="0.2">
      <c r="A97" s="7"/>
      <c r="B97" s="7"/>
      <c r="C97" s="7"/>
      <c r="D97" s="7"/>
      <c r="E97" s="34"/>
      <c r="F97" s="7"/>
      <c r="G97" s="7"/>
      <c r="H97" s="7"/>
      <c r="I97" s="7"/>
      <c r="J97" s="7"/>
      <c r="K97" s="7"/>
      <c r="L97" s="7"/>
      <c r="M97" s="7"/>
    </row>
    <row r="98" spans="1:13" x14ac:dyDescent="0.2">
      <c r="A98" s="7"/>
      <c r="B98" s="7"/>
      <c r="C98" s="7"/>
      <c r="D98" s="7"/>
      <c r="E98" s="34"/>
      <c r="F98" s="7"/>
      <c r="G98" s="7"/>
      <c r="H98" s="7"/>
      <c r="I98" s="7"/>
      <c r="J98" s="7"/>
      <c r="K98" s="7"/>
      <c r="L98" s="7"/>
      <c r="M98" s="7"/>
    </row>
    <row r="99" spans="1:13" s="173" customFormat="1" ht="15.75" thickBot="1" x14ac:dyDescent="0.25">
      <c r="E99" s="174"/>
    </row>
  </sheetData>
  <printOptions horizontalCentered="1"/>
  <pageMargins left="0.25" right="0.25" top="0.75" bottom="0.5" header="0.3" footer="0.3"/>
  <pageSetup scale="59" fitToHeight="0" orientation="landscape" r:id="rId1"/>
  <headerFooter alignWithMargins="0">
    <oddFooter xml:space="preserve">&amp;LSUPPORTING SCHEDULES:&amp;RRECAP SCHEDULES: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workbookViewId="0">
      <selection activeCell="B3" sqref="B3"/>
    </sheetView>
  </sheetViews>
  <sheetFormatPr defaultRowHeight="12" x14ac:dyDescent="0.15"/>
  <cols>
    <col min="1" max="1" width="50.625" customWidth="1"/>
  </cols>
  <sheetData>
    <row r="1" spans="1:7" ht="15" x14ac:dyDescent="0.2">
      <c r="A1" s="106"/>
      <c r="B1" s="108"/>
      <c r="C1" s="1"/>
      <c r="D1" s="107"/>
      <c r="E1" s="107"/>
      <c r="F1" s="107"/>
    </row>
    <row r="2" spans="1:7" ht="15" x14ac:dyDescent="0.2">
      <c r="A2" s="112" t="s">
        <v>239</v>
      </c>
      <c r="B2" s="109" t="s">
        <v>233</v>
      </c>
      <c r="C2" s="107"/>
      <c r="D2" s="107"/>
      <c r="E2" s="107"/>
      <c r="F2" s="107"/>
    </row>
    <row r="3" spans="1:7" ht="15" x14ac:dyDescent="0.2">
      <c r="A3" s="106"/>
      <c r="B3" s="110" t="s">
        <v>237</v>
      </c>
      <c r="C3" s="107"/>
      <c r="D3" s="107"/>
      <c r="E3" s="107"/>
      <c r="F3" s="107"/>
    </row>
    <row r="4" spans="1:7" ht="15" x14ac:dyDescent="0.2">
      <c r="A4" s="1"/>
      <c r="B4" s="110" t="s">
        <v>238</v>
      </c>
      <c r="C4" s="107"/>
      <c r="D4" s="107"/>
      <c r="E4" s="107"/>
      <c r="F4" s="107"/>
    </row>
    <row r="5" spans="1:7" ht="15" x14ac:dyDescent="0.2">
      <c r="A5" s="106"/>
      <c r="B5" s="1"/>
      <c r="C5" s="1"/>
      <c r="D5" s="107"/>
      <c r="E5" s="107"/>
      <c r="F5" s="107"/>
    </row>
    <row r="6" spans="1:7" ht="15" x14ac:dyDescent="0.2">
      <c r="A6" s="1"/>
      <c r="B6" s="121"/>
      <c r="C6" s="7"/>
      <c r="D6" s="122"/>
      <c r="E6" s="122"/>
      <c r="F6" s="122"/>
      <c r="G6" s="123"/>
    </row>
    <row r="7" spans="1:7" x14ac:dyDescent="0.15">
      <c r="B7" s="123"/>
      <c r="C7" s="123"/>
      <c r="D7" s="123"/>
      <c r="E7" s="123"/>
      <c r="F7" s="122"/>
      <c r="G7" s="123"/>
    </row>
    <row r="8" spans="1:7" x14ac:dyDescent="0.15">
      <c r="B8" s="123"/>
      <c r="C8" s="123"/>
      <c r="D8" s="123"/>
      <c r="E8" s="123"/>
      <c r="F8" s="123"/>
      <c r="G8" s="123"/>
    </row>
    <row r="9" spans="1:7" ht="14.25" x14ac:dyDescent="0.2">
      <c r="B9" s="109"/>
      <c r="C9" s="107"/>
      <c r="D9" s="107"/>
      <c r="E9" s="107"/>
    </row>
    <row r="10" spans="1:7" ht="14.25" x14ac:dyDescent="0.2">
      <c r="B10" s="110"/>
      <c r="C10" s="107"/>
      <c r="D10" s="107"/>
      <c r="E10" s="107"/>
    </row>
    <row r="11" spans="1:7" ht="14.25" x14ac:dyDescent="0.2">
      <c r="B11" s="110"/>
      <c r="C11" s="107"/>
      <c r="D11" s="107"/>
      <c r="E11" s="107"/>
    </row>
  </sheetData>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X107"/>
  <sheetViews>
    <sheetView view="pageBreakPreview" zoomScale="60" zoomScaleNormal="100" workbookViewId="0">
      <selection activeCell="O7" sqref="O7:O18"/>
    </sheetView>
  </sheetViews>
  <sheetFormatPr defaultColWidth="8.875" defaultRowHeight="12.75" x14ac:dyDescent="0.2"/>
  <cols>
    <col min="1" max="3" width="8.875" style="78"/>
    <col min="4" max="4" width="26.5" style="78" customWidth="1"/>
    <col min="5" max="5" width="11.125" style="78" customWidth="1"/>
    <col min="6" max="6" width="5.125" style="78" customWidth="1"/>
    <col min="7" max="7" width="11.5" style="78" customWidth="1"/>
    <col min="8" max="8" width="2.625" style="78" customWidth="1"/>
    <col min="9" max="9" width="12.375" style="78" customWidth="1"/>
    <col min="10" max="10" width="2.625" style="78" customWidth="1"/>
    <col min="11" max="11" width="12" style="78" customWidth="1"/>
    <col min="12" max="12" width="3.125" style="78" customWidth="1"/>
    <col min="13" max="13" width="15.375" style="78" customWidth="1"/>
    <col min="14" max="14" width="3" style="78" customWidth="1"/>
    <col min="15" max="15" width="12.5" style="78" customWidth="1"/>
    <col min="16" max="16" width="3" style="78" customWidth="1"/>
    <col min="17" max="19" width="11.625" style="78" customWidth="1"/>
    <col min="20" max="20" width="8.875" style="78"/>
    <col min="21" max="23" width="11.625" style="78" customWidth="1"/>
    <col min="24" max="16384" width="8.875" style="78"/>
  </cols>
  <sheetData>
    <row r="4" spans="4:23" x14ac:dyDescent="0.2">
      <c r="U4" s="381" t="s">
        <v>197</v>
      </c>
      <c r="V4" s="381"/>
      <c r="W4" s="381"/>
    </row>
    <row r="5" spans="4:23" x14ac:dyDescent="0.2">
      <c r="E5" s="79">
        <v>2019</v>
      </c>
      <c r="Q5" s="382" t="s">
        <v>198</v>
      </c>
      <c r="R5" s="382"/>
      <c r="S5" s="382"/>
      <c r="U5" s="381"/>
      <c r="V5" s="381"/>
      <c r="W5" s="381"/>
    </row>
    <row r="6" spans="4:23" ht="25.5" x14ac:dyDescent="0.2">
      <c r="E6" s="80" t="s">
        <v>145</v>
      </c>
      <c r="G6" s="81" t="s">
        <v>146</v>
      </c>
      <c r="I6" s="80" t="s">
        <v>199</v>
      </c>
      <c r="K6" s="81" t="s">
        <v>200</v>
      </c>
      <c r="M6" s="95" t="s">
        <v>201</v>
      </c>
      <c r="O6" s="81" t="s">
        <v>202</v>
      </c>
      <c r="Q6" s="82" t="s">
        <v>203</v>
      </c>
      <c r="R6" s="82" t="s">
        <v>204</v>
      </c>
      <c r="S6" s="82" t="s">
        <v>205</v>
      </c>
      <c r="U6" s="82" t="s">
        <v>203</v>
      </c>
      <c r="V6" s="82" t="s">
        <v>204</v>
      </c>
      <c r="W6" s="82" t="s">
        <v>205</v>
      </c>
    </row>
    <row r="7" spans="4:23" ht="15" x14ac:dyDescent="0.25">
      <c r="D7" s="78" t="s">
        <v>206</v>
      </c>
      <c r="E7" s="83">
        <v>50</v>
      </c>
      <c r="G7" s="84">
        <f>Summary!C5</f>
        <v>62.270825200000012</v>
      </c>
      <c r="I7" s="85">
        <f>+G7-E7</f>
        <v>12.270825200000012</v>
      </c>
      <c r="K7" s="86">
        <f>+G7/E7-1</f>
        <v>0.24541650400000026</v>
      </c>
      <c r="M7" s="96">
        <v>63</v>
      </c>
      <c r="O7" s="85">
        <f>+M7-E7</f>
        <v>13</v>
      </c>
      <c r="Q7" s="83">
        <v>80</v>
      </c>
      <c r="R7" s="83">
        <v>52</v>
      </c>
      <c r="S7" s="83">
        <v>52</v>
      </c>
      <c r="U7" s="83">
        <v>100</v>
      </c>
      <c r="V7" s="83">
        <v>69</v>
      </c>
      <c r="W7" s="83">
        <f>S7*1.5</f>
        <v>78</v>
      </c>
    </row>
    <row r="8" spans="4:23" ht="15" x14ac:dyDescent="0.25">
      <c r="D8" s="78" t="s">
        <v>207</v>
      </c>
      <c r="E8" s="83">
        <v>75</v>
      </c>
      <c r="G8" s="84">
        <f>Summary!C6</f>
        <v>99.834981066666671</v>
      </c>
      <c r="I8" s="85">
        <f t="shared" ref="I8:I18" si="0">+G8-E8</f>
        <v>24.834981066666671</v>
      </c>
      <c r="K8" s="86">
        <f t="shared" ref="K8:K18" si="1">+G8/E8-1</f>
        <v>0.33113308088888904</v>
      </c>
      <c r="M8" s="96">
        <v>100</v>
      </c>
      <c r="O8" s="85">
        <f t="shared" ref="O8:O18" si="2">+M8-E8</f>
        <v>25</v>
      </c>
      <c r="Q8" s="83">
        <v>150</v>
      </c>
      <c r="R8" s="83">
        <v>75</v>
      </c>
      <c r="S8" s="83">
        <v>75</v>
      </c>
      <c r="U8" s="83">
        <v>200</v>
      </c>
      <c r="V8" s="83">
        <v>96</v>
      </c>
      <c r="W8" s="83">
        <f>S8*1.5</f>
        <v>112.5</v>
      </c>
    </row>
    <row r="9" spans="4:23" ht="15" x14ac:dyDescent="0.25">
      <c r="D9" s="78" t="s">
        <v>208</v>
      </c>
      <c r="E9" s="83">
        <v>15</v>
      </c>
      <c r="G9" s="84">
        <f>Summary!C7</f>
        <v>28.184580533333332</v>
      </c>
      <c r="I9" s="85">
        <f t="shared" si="0"/>
        <v>13.184580533333332</v>
      </c>
      <c r="K9" s="86">
        <f t="shared" si="1"/>
        <v>0.87897203555555548</v>
      </c>
      <c r="M9" s="96">
        <v>29</v>
      </c>
      <c r="O9" s="85">
        <f t="shared" si="2"/>
        <v>14</v>
      </c>
      <c r="Q9" s="87"/>
      <c r="R9" s="87"/>
      <c r="S9" s="87"/>
      <c r="U9" s="87"/>
      <c r="V9" s="87"/>
      <c r="W9" s="87"/>
    </row>
    <row r="10" spans="4:23" ht="15" x14ac:dyDescent="0.25">
      <c r="D10" s="78" t="s">
        <v>209</v>
      </c>
      <c r="E10" s="83">
        <v>30</v>
      </c>
      <c r="G10" s="84">
        <f>Summary!C8</f>
        <v>33.499407733333335</v>
      </c>
      <c r="I10" s="85">
        <f t="shared" si="0"/>
        <v>3.4994077333333351</v>
      </c>
      <c r="K10" s="86">
        <f t="shared" si="1"/>
        <v>0.11664692444444458</v>
      </c>
      <c r="M10" s="96">
        <v>34</v>
      </c>
      <c r="O10" s="85">
        <f t="shared" si="2"/>
        <v>4</v>
      </c>
      <c r="Q10" s="87"/>
      <c r="R10" s="87"/>
      <c r="S10" s="87"/>
      <c r="U10" s="87"/>
      <c r="V10" s="87"/>
      <c r="W10" s="87"/>
    </row>
    <row r="11" spans="4:23" ht="15" x14ac:dyDescent="0.25">
      <c r="D11" s="78" t="s">
        <v>210</v>
      </c>
      <c r="E11" s="83">
        <v>70</v>
      </c>
      <c r="G11" s="84">
        <f>Summary!C9</f>
        <v>86.849354174666672</v>
      </c>
      <c r="I11" s="85">
        <f t="shared" si="0"/>
        <v>16.849354174666672</v>
      </c>
      <c r="K11" s="86">
        <f t="shared" si="1"/>
        <v>0.2407050596380953</v>
      </c>
      <c r="M11" s="96">
        <v>87</v>
      </c>
      <c r="O11" s="85">
        <f t="shared" si="2"/>
        <v>17</v>
      </c>
      <c r="Q11" s="83">
        <v>40</v>
      </c>
      <c r="R11" s="83">
        <v>81</v>
      </c>
      <c r="S11" s="83">
        <f>S7</f>
        <v>52</v>
      </c>
      <c r="T11" s="88"/>
      <c r="U11" s="83">
        <v>50</v>
      </c>
      <c r="V11" s="83">
        <v>98</v>
      </c>
      <c r="W11" s="83">
        <f t="shared" ref="W11:W18" si="3">S11*1.5</f>
        <v>78</v>
      </c>
    </row>
    <row r="12" spans="4:23" ht="15" x14ac:dyDescent="0.25">
      <c r="D12" s="78" t="s">
        <v>211</v>
      </c>
      <c r="E12" s="83">
        <v>100</v>
      </c>
      <c r="G12" s="84">
        <f>Summary!C10</f>
        <v>99.704253566666665</v>
      </c>
      <c r="I12" s="85">
        <f t="shared" si="0"/>
        <v>-0.29574643333333483</v>
      </c>
      <c r="K12" s="86">
        <f t="shared" si="1"/>
        <v>-2.9574643333333261E-3</v>
      </c>
      <c r="M12" s="96">
        <v>100</v>
      </c>
      <c r="O12" s="85">
        <f t="shared" si="2"/>
        <v>0</v>
      </c>
      <c r="Q12" s="83">
        <v>80</v>
      </c>
      <c r="R12" s="83">
        <v>104</v>
      </c>
      <c r="S12" s="83">
        <f>S8</f>
        <v>75</v>
      </c>
      <c r="T12" s="88"/>
      <c r="U12" s="83">
        <v>100</v>
      </c>
      <c r="V12" s="83">
        <v>125</v>
      </c>
      <c r="W12" s="83">
        <f t="shared" si="3"/>
        <v>112.5</v>
      </c>
    </row>
    <row r="13" spans="4:23" ht="15" x14ac:dyDescent="0.25">
      <c r="D13" s="78" t="s">
        <v>208</v>
      </c>
      <c r="E13" s="83">
        <v>15</v>
      </c>
      <c r="G13" s="84">
        <f>Summary!C11</f>
        <v>27.595532607999999</v>
      </c>
      <c r="I13" s="85">
        <f t="shared" si="0"/>
        <v>12.595532607999999</v>
      </c>
      <c r="K13" s="86">
        <f t="shared" si="1"/>
        <v>0.83970217386666657</v>
      </c>
      <c r="M13" s="96">
        <v>28</v>
      </c>
      <c r="O13" s="85">
        <f t="shared" si="2"/>
        <v>13</v>
      </c>
      <c r="Q13" s="87"/>
      <c r="R13" s="87"/>
      <c r="S13" s="87"/>
      <c r="U13" s="87"/>
      <c r="V13" s="87"/>
      <c r="W13" s="87"/>
    </row>
    <row r="14" spans="4:23" ht="15" x14ac:dyDescent="0.25">
      <c r="D14" s="78" t="s">
        <v>209</v>
      </c>
      <c r="E14" s="83">
        <v>20</v>
      </c>
      <c r="G14" s="84">
        <f>Summary!C12</f>
        <v>31.501247733333333</v>
      </c>
      <c r="I14" s="85">
        <f t="shared" si="0"/>
        <v>11.501247733333333</v>
      </c>
      <c r="K14" s="86">
        <f t="shared" si="1"/>
        <v>0.57506238666666665</v>
      </c>
      <c r="M14" s="96">
        <v>32</v>
      </c>
      <c r="O14" s="85">
        <f t="shared" si="2"/>
        <v>12</v>
      </c>
      <c r="Q14" s="87"/>
      <c r="R14" s="87"/>
      <c r="S14" s="87"/>
      <c r="U14" s="87"/>
      <c r="V14" s="87"/>
      <c r="W14" s="87"/>
    </row>
    <row r="15" spans="4:23" ht="15" x14ac:dyDescent="0.25">
      <c r="D15" s="78" t="s">
        <v>212</v>
      </c>
      <c r="E15" s="83">
        <v>20</v>
      </c>
      <c r="G15" s="84">
        <f>Summary!C13</f>
        <v>29.524545833333327</v>
      </c>
      <c r="I15" s="85">
        <f t="shared" si="0"/>
        <v>9.5245458333333275</v>
      </c>
      <c r="K15" s="86">
        <f t="shared" si="1"/>
        <v>0.47622729166666633</v>
      </c>
      <c r="M15" s="96">
        <v>30</v>
      </c>
      <c r="O15" s="85">
        <f t="shared" si="2"/>
        <v>10</v>
      </c>
      <c r="Q15" s="83">
        <v>35</v>
      </c>
      <c r="R15" s="83">
        <v>29</v>
      </c>
      <c r="S15" s="83">
        <v>21</v>
      </c>
      <c r="T15" s="88"/>
      <c r="U15" s="83">
        <v>45</v>
      </c>
      <c r="V15" s="83">
        <v>35</v>
      </c>
      <c r="W15" s="83">
        <f t="shared" si="3"/>
        <v>31.5</v>
      </c>
    </row>
    <row r="16" spans="4:23" ht="15" x14ac:dyDescent="0.25">
      <c r="D16" s="78" t="s">
        <v>213</v>
      </c>
      <c r="E16" s="83">
        <v>28</v>
      </c>
      <c r="G16" s="84">
        <f>Summary!C14</f>
        <v>23.254666666666669</v>
      </c>
      <c r="I16" s="85">
        <f t="shared" si="0"/>
        <v>-4.7453333333333312</v>
      </c>
      <c r="K16" s="86">
        <f t="shared" si="1"/>
        <v>-0.16947619047619045</v>
      </c>
      <c r="M16" s="96">
        <v>24</v>
      </c>
      <c r="O16" s="85">
        <f t="shared" si="2"/>
        <v>-4</v>
      </c>
      <c r="Q16" s="83">
        <v>20</v>
      </c>
      <c r="R16" s="83">
        <v>23</v>
      </c>
      <c r="S16" s="83">
        <v>13</v>
      </c>
      <c r="T16" s="88"/>
      <c r="U16" s="83">
        <v>20</v>
      </c>
      <c r="V16" s="83">
        <v>29</v>
      </c>
      <c r="W16" s="83">
        <f t="shared" si="3"/>
        <v>19.5</v>
      </c>
    </row>
    <row r="17" spans="4:24" ht="15" x14ac:dyDescent="0.25">
      <c r="D17" s="78" t="s">
        <v>214</v>
      </c>
      <c r="E17" s="83">
        <v>20</v>
      </c>
      <c r="G17" s="84">
        <f>Summary!C15</f>
        <v>26.731499999999997</v>
      </c>
      <c r="I17" s="85">
        <f t="shared" si="0"/>
        <v>6.7314999999999969</v>
      </c>
      <c r="K17" s="86">
        <f t="shared" si="1"/>
        <v>0.33657499999999985</v>
      </c>
      <c r="M17" s="96">
        <v>27</v>
      </c>
      <c r="O17" s="85">
        <f t="shared" si="2"/>
        <v>7</v>
      </c>
      <c r="Q17" s="83">
        <v>25</v>
      </c>
      <c r="R17" s="83">
        <v>25</v>
      </c>
      <c r="S17" s="83">
        <v>28</v>
      </c>
      <c r="T17" s="88"/>
      <c r="U17" s="83">
        <v>32</v>
      </c>
      <c r="V17" s="83">
        <v>25</v>
      </c>
      <c r="W17" s="83">
        <v>28</v>
      </c>
    </row>
    <row r="18" spans="4:24" ht="15" x14ac:dyDescent="0.25">
      <c r="D18" s="78" t="s">
        <v>215</v>
      </c>
      <c r="E18" s="83">
        <v>25</v>
      </c>
      <c r="G18" s="84">
        <f>Summary!C16</f>
        <v>21.378800000000002</v>
      </c>
      <c r="I18" s="85">
        <f t="shared" si="0"/>
        <v>-3.6211999999999982</v>
      </c>
      <c r="K18" s="86">
        <f t="shared" si="1"/>
        <v>-0.14484799999999998</v>
      </c>
      <c r="M18" s="96">
        <v>22</v>
      </c>
      <c r="O18" s="85">
        <f t="shared" si="2"/>
        <v>-3</v>
      </c>
      <c r="Q18" s="83">
        <v>20</v>
      </c>
      <c r="R18" s="83">
        <v>23</v>
      </c>
      <c r="S18" s="83">
        <v>20</v>
      </c>
      <c r="T18" s="88"/>
      <c r="U18" s="83">
        <v>20</v>
      </c>
      <c r="V18" s="83">
        <v>29</v>
      </c>
      <c r="W18" s="83">
        <f t="shared" si="3"/>
        <v>30</v>
      </c>
      <c r="X18" s="78" t="s">
        <v>2</v>
      </c>
    </row>
    <row r="19" spans="4:24" x14ac:dyDescent="0.2">
      <c r="D19" s="78" t="s">
        <v>2</v>
      </c>
      <c r="E19" s="84" t="s">
        <v>2</v>
      </c>
    </row>
    <row r="20" spans="4:24" x14ac:dyDescent="0.2">
      <c r="E20" s="84"/>
      <c r="Q20" s="78" t="s">
        <v>216</v>
      </c>
    </row>
    <row r="21" spans="4:24" x14ac:dyDescent="0.2">
      <c r="E21" s="84"/>
    </row>
    <row r="22" spans="4:24" x14ac:dyDescent="0.2">
      <c r="E22" s="84"/>
    </row>
    <row r="23" spans="4:24" ht="25.5" x14ac:dyDescent="0.2">
      <c r="D23" s="78" t="s">
        <v>2</v>
      </c>
      <c r="E23" s="81" t="s">
        <v>201</v>
      </c>
      <c r="G23" s="80" t="s">
        <v>203</v>
      </c>
      <c r="I23" s="80" t="s">
        <v>204</v>
      </c>
      <c r="K23" s="80" t="s">
        <v>205</v>
      </c>
    </row>
    <row r="24" spans="4:24" ht="15" x14ac:dyDescent="0.25">
      <c r="D24" s="78" t="s">
        <v>206</v>
      </c>
      <c r="E24" s="84">
        <f>M7</f>
        <v>63</v>
      </c>
      <c r="G24" s="84">
        <v>80</v>
      </c>
      <c r="I24" s="84">
        <v>52</v>
      </c>
      <c r="K24" s="89">
        <v>52</v>
      </c>
    </row>
    <row r="25" spans="4:24" ht="15" x14ac:dyDescent="0.25">
      <c r="D25" s="78" t="s">
        <v>207</v>
      </c>
      <c r="E25" s="84">
        <f t="shared" ref="E25:E35" si="4">M8</f>
        <v>100</v>
      </c>
      <c r="G25" s="90">
        <v>150</v>
      </c>
      <c r="I25" s="84">
        <v>75</v>
      </c>
      <c r="K25" s="89">
        <v>75</v>
      </c>
    </row>
    <row r="26" spans="4:24" ht="15" x14ac:dyDescent="0.25">
      <c r="D26" s="78" t="s">
        <v>208</v>
      </c>
      <c r="E26" s="84">
        <f t="shared" si="4"/>
        <v>29</v>
      </c>
      <c r="G26" s="91">
        <v>80</v>
      </c>
      <c r="I26" s="91">
        <v>52</v>
      </c>
      <c r="K26" s="92">
        <v>52</v>
      </c>
    </row>
    <row r="27" spans="4:24" ht="15" x14ac:dyDescent="0.25">
      <c r="D27" s="78" t="s">
        <v>209</v>
      </c>
      <c r="E27" s="84">
        <f t="shared" si="4"/>
        <v>34</v>
      </c>
      <c r="G27" s="91">
        <v>150</v>
      </c>
      <c r="I27" s="91">
        <v>75</v>
      </c>
      <c r="K27" s="92">
        <v>75</v>
      </c>
    </row>
    <row r="28" spans="4:24" ht="15" x14ac:dyDescent="0.25">
      <c r="D28" s="78" t="s">
        <v>210</v>
      </c>
      <c r="E28" s="84">
        <f t="shared" si="4"/>
        <v>87</v>
      </c>
      <c r="G28" s="90">
        <v>40</v>
      </c>
      <c r="I28" s="84">
        <v>81</v>
      </c>
      <c r="K28" s="89">
        <f>K24</f>
        <v>52</v>
      </c>
    </row>
    <row r="29" spans="4:24" ht="15" x14ac:dyDescent="0.25">
      <c r="D29" s="78" t="s">
        <v>211</v>
      </c>
      <c r="E29" s="84">
        <f t="shared" si="4"/>
        <v>100</v>
      </c>
      <c r="G29" s="84">
        <v>80</v>
      </c>
      <c r="I29" s="84">
        <v>104</v>
      </c>
      <c r="K29" s="89">
        <f>K25</f>
        <v>75</v>
      </c>
    </row>
    <row r="30" spans="4:24" ht="15" x14ac:dyDescent="0.25">
      <c r="D30" s="78" t="s">
        <v>208</v>
      </c>
      <c r="E30" s="84">
        <f t="shared" si="4"/>
        <v>28</v>
      </c>
      <c r="G30" s="91">
        <v>40</v>
      </c>
      <c r="I30" s="91">
        <v>81</v>
      </c>
      <c r="K30" s="92">
        <f>K26</f>
        <v>52</v>
      </c>
    </row>
    <row r="31" spans="4:24" ht="15" x14ac:dyDescent="0.25">
      <c r="D31" s="78" t="s">
        <v>209</v>
      </c>
      <c r="E31" s="84">
        <f t="shared" si="4"/>
        <v>32</v>
      </c>
      <c r="G31" s="91">
        <v>80</v>
      </c>
      <c r="I31" s="91">
        <v>104</v>
      </c>
      <c r="K31" s="92">
        <f>K27</f>
        <v>75</v>
      </c>
    </row>
    <row r="32" spans="4:24" ht="15" x14ac:dyDescent="0.25">
      <c r="D32" s="78" t="s">
        <v>212</v>
      </c>
      <c r="E32" s="84">
        <f t="shared" si="4"/>
        <v>30</v>
      </c>
      <c r="G32" s="84">
        <v>35</v>
      </c>
      <c r="I32" s="84">
        <v>29</v>
      </c>
      <c r="K32" s="89">
        <v>21</v>
      </c>
    </row>
    <row r="33" spans="4:11" ht="15" x14ac:dyDescent="0.25">
      <c r="D33" s="78" t="s">
        <v>213</v>
      </c>
      <c r="E33" s="84">
        <f t="shared" si="4"/>
        <v>24</v>
      </c>
      <c r="G33" s="84">
        <v>20</v>
      </c>
      <c r="I33" s="84">
        <v>23</v>
      </c>
      <c r="K33" s="89">
        <v>13</v>
      </c>
    </row>
    <row r="34" spans="4:11" ht="15" x14ac:dyDescent="0.25">
      <c r="D34" s="78" t="s">
        <v>214</v>
      </c>
      <c r="E34" s="84">
        <f t="shared" si="4"/>
        <v>27</v>
      </c>
      <c r="G34" s="87">
        <f>+Q17</f>
        <v>25</v>
      </c>
      <c r="I34" s="87">
        <f>+R18</f>
        <v>23</v>
      </c>
      <c r="K34" s="89">
        <v>28</v>
      </c>
    </row>
    <row r="35" spans="4:11" ht="15" x14ac:dyDescent="0.25">
      <c r="D35" s="78" t="s">
        <v>215</v>
      </c>
      <c r="E35" s="84">
        <f t="shared" si="4"/>
        <v>22</v>
      </c>
      <c r="G35" s="84">
        <v>20</v>
      </c>
      <c r="I35" s="84">
        <v>23</v>
      </c>
      <c r="K35" s="89">
        <v>20</v>
      </c>
    </row>
    <row r="36" spans="4:11" x14ac:dyDescent="0.2">
      <c r="D36" s="78" t="s">
        <v>2</v>
      </c>
    </row>
    <row r="37" spans="4:11" x14ac:dyDescent="0.2">
      <c r="D37" s="78" t="s">
        <v>2</v>
      </c>
    </row>
    <row r="38" spans="4:11" x14ac:dyDescent="0.2">
      <c r="D38" s="78" t="s">
        <v>2</v>
      </c>
    </row>
    <row r="39" spans="4:11" x14ac:dyDescent="0.2">
      <c r="D39" s="93" t="s">
        <v>2</v>
      </c>
      <c r="E39" s="78" t="s">
        <v>217</v>
      </c>
    </row>
    <row r="40" spans="4:11" x14ac:dyDescent="0.2">
      <c r="D40" s="94" t="s">
        <v>2</v>
      </c>
      <c r="E40" s="78" t="s">
        <v>218</v>
      </c>
    </row>
    <row r="41" spans="4:11" ht="15" x14ac:dyDescent="0.25">
      <c r="D41" s="88" t="s">
        <v>219</v>
      </c>
      <c r="E41" s="78" t="s">
        <v>220</v>
      </c>
    </row>
    <row r="42" spans="4:11" x14ac:dyDescent="0.2">
      <c r="D42" s="78" t="s">
        <v>2</v>
      </c>
    </row>
    <row r="43" spans="4:11" x14ac:dyDescent="0.2">
      <c r="D43" s="78" t="s">
        <v>2</v>
      </c>
    </row>
    <row r="44" spans="4:11" x14ac:dyDescent="0.2">
      <c r="D44" s="78" t="s">
        <v>2</v>
      </c>
    </row>
    <row r="45" spans="4:11" x14ac:dyDescent="0.2">
      <c r="D45" s="78" t="s">
        <v>2</v>
      </c>
    </row>
    <row r="46" spans="4:11" x14ac:dyDescent="0.2">
      <c r="D46" s="78" t="s">
        <v>2</v>
      </c>
    </row>
    <row r="47" spans="4:11" x14ac:dyDescent="0.2">
      <c r="D47" s="78" t="s">
        <v>2</v>
      </c>
    </row>
    <row r="48" spans="4:11" x14ac:dyDescent="0.2">
      <c r="D48" s="78" t="s">
        <v>2</v>
      </c>
    </row>
    <row r="49" spans="4:4" x14ac:dyDescent="0.2">
      <c r="D49" s="78" t="s">
        <v>2</v>
      </c>
    </row>
    <row r="50" spans="4:4" x14ac:dyDescent="0.2">
      <c r="D50" s="78" t="s">
        <v>2</v>
      </c>
    </row>
    <row r="51" spans="4:4" x14ac:dyDescent="0.2">
      <c r="D51" s="78" t="s">
        <v>2</v>
      </c>
    </row>
    <row r="52" spans="4:4" x14ac:dyDescent="0.2">
      <c r="D52" s="78" t="s">
        <v>2</v>
      </c>
    </row>
    <row r="53" spans="4:4" x14ac:dyDescent="0.2">
      <c r="D53" s="78" t="s">
        <v>2</v>
      </c>
    </row>
    <row r="54" spans="4:4" x14ac:dyDescent="0.2">
      <c r="D54" s="78" t="s">
        <v>2</v>
      </c>
    </row>
    <row r="55" spans="4:4" x14ac:dyDescent="0.2">
      <c r="D55" s="78" t="s">
        <v>2</v>
      </c>
    </row>
    <row r="56" spans="4:4" x14ac:dyDescent="0.2">
      <c r="D56" s="78" t="s">
        <v>2</v>
      </c>
    </row>
    <row r="57" spans="4:4" x14ac:dyDescent="0.2">
      <c r="D57" s="78" t="s">
        <v>2</v>
      </c>
    </row>
    <row r="58" spans="4:4" x14ac:dyDescent="0.2">
      <c r="D58" s="78" t="s">
        <v>2</v>
      </c>
    </row>
    <row r="59" spans="4:4" x14ac:dyDescent="0.2">
      <c r="D59" s="78" t="s">
        <v>2</v>
      </c>
    </row>
    <row r="60" spans="4:4" x14ac:dyDescent="0.2">
      <c r="D60" s="78" t="s">
        <v>2</v>
      </c>
    </row>
    <row r="61" spans="4:4" x14ac:dyDescent="0.2">
      <c r="D61" s="78" t="s">
        <v>2</v>
      </c>
    </row>
    <row r="62" spans="4:4" x14ac:dyDescent="0.2">
      <c r="D62" s="78" t="s">
        <v>2</v>
      </c>
    </row>
    <row r="63" spans="4:4" x14ac:dyDescent="0.2">
      <c r="D63" s="78" t="s">
        <v>2</v>
      </c>
    </row>
    <row r="64" spans="4:4" x14ac:dyDescent="0.2">
      <c r="D64" s="78" t="s">
        <v>2</v>
      </c>
    </row>
    <row r="65" spans="4:4" x14ac:dyDescent="0.2">
      <c r="D65" s="78" t="s">
        <v>2</v>
      </c>
    </row>
    <row r="66" spans="4:4" x14ac:dyDescent="0.2">
      <c r="D66" s="78" t="s">
        <v>2</v>
      </c>
    </row>
    <row r="67" spans="4:4" x14ac:dyDescent="0.2">
      <c r="D67" s="78" t="s">
        <v>2</v>
      </c>
    </row>
    <row r="68" spans="4:4" x14ac:dyDescent="0.2">
      <c r="D68" s="78" t="s">
        <v>2</v>
      </c>
    </row>
    <row r="69" spans="4:4" x14ac:dyDescent="0.2">
      <c r="D69" s="78" t="s">
        <v>2</v>
      </c>
    </row>
    <row r="70" spans="4:4" x14ac:dyDescent="0.2">
      <c r="D70" s="78" t="s">
        <v>2</v>
      </c>
    </row>
    <row r="71" spans="4:4" x14ac:dyDescent="0.2">
      <c r="D71" s="78" t="s">
        <v>2</v>
      </c>
    </row>
    <row r="72" spans="4:4" x14ac:dyDescent="0.2">
      <c r="D72" s="78" t="s">
        <v>2</v>
      </c>
    </row>
    <row r="73" spans="4:4" x14ac:dyDescent="0.2">
      <c r="D73" s="78" t="s">
        <v>2</v>
      </c>
    </row>
    <row r="74" spans="4:4" x14ac:dyDescent="0.2">
      <c r="D74" s="78" t="s">
        <v>2</v>
      </c>
    </row>
    <row r="75" spans="4:4" x14ac:dyDescent="0.2">
      <c r="D75" s="78" t="s">
        <v>2</v>
      </c>
    </row>
    <row r="76" spans="4:4" x14ac:dyDescent="0.2">
      <c r="D76" s="78" t="s">
        <v>2</v>
      </c>
    </row>
    <row r="77" spans="4:4" x14ac:dyDescent="0.2">
      <c r="D77" s="78" t="s">
        <v>2</v>
      </c>
    </row>
    <row r="78" spans="4:4" x14ac:dyDescent="0.2">
      <c r="D78" s="78" t="s">
        <v>2</v>
      </c>
    </row>
    <row r="79" spans="4:4" x14ac:dyDescent="0.2">
      <c r="D79" s="78" t="s">
        <v>2</v>
      </c>
    </row>
    <row r="80" spans="4:4" x14ac:dyDescent="0.2">
      <c r="D80" s="78" t="s">
        <v>2</v>
      </c>
    </row>
    <row r="81" spans="4:4" x14ac:dyDescent="0.2">
      <c r="D81" s="78" t="s">
        <v>2</v>
      </c>
    </row>
    <row r="82" spans="4:4" x14ac:dyDescent="0.2">
      <c r="D82" s="78" t="s">
        <v>2</v>
      </c>
    </row>
    <row r="83" spans="4:4" x14ac:dyDescent="0.2">
      <c r="D83" s="78" t="s">
        <v>2</v>
      </c>
    </row>
    <row r="84" spans="4:4" x14ac:dyDescent="0.2">
      <c r="D84" s="78" t="s">
        <v>2</v>
      </c>
    </row>
    <row r="85" spans="4:4" x14ac:dyDescent="0.2">
      <c r="D85" s="78" t="s">
        <v>2</v>
      </c>
    </row>
    <row r="86" spans="4:4" x14ac:dyDescent="0.2">
      <c r="D86" s="78" t="s">
        <v>2</v>
      </c>
    </row>
    <row r="87" spans="4:4" x14ac:dyDescent="0.2">
      <c r="D87" s="78" t="s">
        <v>2</v>
      </c>
    </row>
    <row r="88" spans="4:4" x14ac:dyDescent="0.2">
      <c r="D88" s="78" t="s">
        <v>2</v>
      </c>
    </row>
    <row r="89" spans="4:4" x14ac:dyDescent="0.2">
      <c r="D89" s="78" t="s">
        <v>2</v>
      </c>
    </row>
    <row r="90" spans="4:4" x14ac:dyDescent="0.2">
      <c r="D90" s="78" t="s">
        <v>2</v>
      </c>
    </row>
    <row r="91" spans="4:4" x14ac:dyDescent="0.2">
      <c r="D91" s="78" t="s">
        <v>2</v>
      </c>
    </row>
    <row r="92" spans="4:4" x14ac:dyDescent="0.2">
      <c r="D92" s="78" t="s">
        <v>2</v>
      </c>
    </row>
    <row r="93" spans="4:4" x14ac:dyDescent="0.2">
      <c r="D93" s="78" t="s">
        <v>2</v>
      </c>
    </row>
    <row r="94" spans="4:4" x14ac:dyDescent="0.2">
      <c r="D94" s="78" t="s">
        <v>2</v>
      </c>
    </row>
    <row r="95" spans="4:4" x14ac:dyDescent="0.2">
      <c r="D95" s="78" t="s">
        <v>2</v>
      </c>
    </row>
    <row r="96" spans="4:4" x14ac:dyDescent="0.2">
      <c r="D96" s="78" t="s">
        <v>2</v>
      </c>
    </row>
    <row r="97" spans="4:4" x14ac:dyDescent="0.2">
      <c r="D97" s="78" t="s">
        <v>2</v>
      </c>
    </row>
    <row r="98" spans="4:4" x14ac:dyDescent="0.2">
      <c r="D98" s="78" t="s">
        <v>2</v>
      </c>
    </row>
    <row r="99" spans="4:4" x14ac:dyDescent="0.2">
      <c r="D99" s="78" t="s">
        <v>2</v>
      </c>
    </row>
    <row r="100" spans="4:4" x14ac:dyDescent="0.2">
      <c r="D100" s="78" t="s">
        <v>2</v>
      </c>
    </row>
    <row r="101" spans="4:4" x14ac:dyDescent="0.2">
      <c r="D101" s="78" t="s">
        <v>2</v>
      </c>
    </row>
    <row r="102" spans="4:4" x14ac:dyDescent="0.2">
      <c r="D102" s="78" t="s">
        <v>2</v>
      </c>
    </row>
    <row r="103" spans="4:4" x14ac:dyDescent="0.2">
      <c r="D103" s="78" t="s">
        <v>2</v>
      </c>
    </row>
    <row r="104" spans="4:4" x14ac:dyDescent="0.2">
      <c r="D104" s="78" t="s">
        <v>2</v>
      </c>
    </row>
    <row r="105" spans="4:4" x14ac:dyDescent="0.2">
      <c r="D105" s="78" t="s">
        <v>2</v>
      </c>
    </row>
    <row r="106" spans="4:4" x14ac:dyDescent="0.2">
      <c r="D106" s="78" t="s">
        <v>2</v>
      </c>
    </row>
    <row r="107" spans="4:4" x14ac:dyDescent="0.2">
      <c r="D107" s="78" t="s">
        <v>2</v>
      </c>
    </row>
  </sheetData>
  <mergeCells count="2">
    <mergeCell ref="U4:W5"/>
    <mergeCell ref="Q5:S5"/>
  </mergeCells>
  <pageMargins left="0.25" right="0.25" top="0.75" bottom="0.75" header="0.3" footer="0.3"/>
  <pageSetup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R113"/>
  <sheetViews>
    <sheetView tabSelected="1" view="pageBreakPreview" topLeftCell="A61" zoomScale="50" zoomScaleNormal="110" zoomScaleSheetLayoutView="50" workbookViewId="0">
      <selection activeCell="C83" sqref="C83"/>
    </sheetView>
  </sheetViews>
  <sheetFormatPr defaultColWidth="9" defaultRowHeight="12" x14ac:dyDescent="0.15"/>
  <cols>
    <col min="1" max="1" width="12" style="53" customWidth="1"/>
    <col min="2" max="2" width="6.5" style="53" customWidth="1"/>
    <col min="3" max="3" width="79.625" style="53" customWidth="1"/>
    <col min="4" max="4" width="37.625" style="53" customWidth="1"/>
    <col min="5" max="5" width="9.375" style="53" customWidth="1"/>
    <col min="6" max="6" width="9" style="54"/>
    <col min="7" max="7" width="12.75" style="53" customWidth="1"/>
    <col min="8" max="8" width="14.625" style="53" customWidth="1"/>
    <col min="9" max="9" width="15.25" style="55" customWidth="1"/>
    <col min="10" max="10" width="12.5" style="55" customWidth="1"/>
    <col min="11" max="11" width="9" style="53"/>
    <col min="12" max="12" width="14.625" style="53" customWidth="1"/>
    <col min="13" max="13" width="26.125" style="53" customWidth="1"/>
    <col min="14" max="14" width="9" style="56"/>
    <col min="15" max="16384" width="9" style="53"/>
  </cols>
  <sheetData>
    <row r="1" spans="1:18" ht="12.75" thickBot="1" x14ac:dyDescent="0.2"/>
    <row r="2" spans="1:18" s="1" customFormat="1" ht="15" x14ac:dyDescent="0.2">
      <c r="A2" s="157" t="s">
        <v>0</v>
      </c>
      <c r="B2" s="158"/>
      <c r="C2" s="159"/>
      <c r="D2" s="307" t="s">
        <v>19</v>
      </c>
      <c r="E2" s="160"/>
      <c r="F2" s="160"/>
      <c r="G2" s="160"/>
      <c r="H2" s="309"/>
      <c r="I2" s="200"/>
      <c r="J2" s="200"/>
      <c r="K2" s="158"/>
      <c r="L2" s="161" t="s">
        <v>231</v>
      </c>
      <c r="M2" s="162"/>
      <c r="N2" s="7"/>
      <c r="O2" s="7"/>
      <c r="P2" s="7"/>
      <c r="Q2" s="7"/>
      <c r="R2" s="7"/>
    </row>
    <row r="3" spans="1:18" s="1" customFormat="1" ht="15" x14ac:dyDescent="0.2">
      <c r="A3" s="3"/>
      <c r="B3" s="3"/>
      <c r="C3" s="4"/>
      <c r="D3" s="280"/>
      <c r="E3" s="308"/>
      <c r="F3" s="5"/>
      <c r="G3" s="5"/>
      <c r="H3" s="310"/>
      <c r="I3" s="311"/>
      <c r="J3" s="311"/>
      <c r="K3" s="3"/>
      <c r="L3" s="125"/>
      <c r="M3" s="3"/>
      <c r="N3" s="19"/>
      <c r="O3" s="7"/>
      <c r="P3" s="7"/>
      <c r="Q3" s="7"/>
      <c r="R3" s="7"/>
    </row>
    <row r="4" spans="1:18" s="1" customFormat="1" ht="15" x14ac:dyDescent="0.2">
      <c r="A4" s="14" t="s">
        <v>1</v>
      </c>
      <c r="B4" s="7"/>
      <c r="C4" s="15"/>
      <c r="D4" s="23" t="s">
        <v>20</v>
      </c>
      <c r="E4" s="16"/>
      <c r="F4" s="24"/>
      <c r="G4" s="24"/>
      <c r="H4" s="164"/>
      <c r="I4" s="164"/>
      <c r="J4" s="164"/>
      <c r="K4" s="24"/>
      <c r="L4" s="113" t="s">
        <v>233</v>
      </c>
      <c r="M4" s="11"/>
      <c r="N4" s="7"/>
      <c r="O4" s="7"/>
      <c r="P4" s="7"/>
      <c r="Q4" s="7"/>
      <c r="R4" s="7"/>
    </row>
    <row r="5" spans="1:18" s="1" customFormat="1" ht="15" x14ac:dyDescent="0.2">
      <c r="A5" s="7"/>
      <c r="B5" s="7"/>
      <c r="C5" s="15"/>
      <c r="D5" s="23" t="s">
        <v>21</v>
      </c>
      <c r="E5" s="23"/>
      <c r="F5" s="16"/>
      <c r="G5" s="24"/>
      <c r="H5" s="164"/>
      <c r="I5" s="164"/>
      <c r="J5" s="164"/>
      <c r="K5" s="24"/>
      <c r="L5" s="57" t="str">
        <f>+Input!B3</f>
        <v>HISTORIC BASE YEAR DATA:  12/31/19</v>
      </c>
      <c r="M5" s="25"/>
      <c r="N5" s="7"/>
      <c r="O5" s="7"/>
      <c r="P5" s="7"/>
      <c r="Q5" s="7"/>
      <c r="R5" s="7"/>
    </row>
    <row r="6" spans="1:18" s="1" customFormat="1" ht="15" x14ac:dyDescent="0.2">
      <c r="A6" s="14" t="s">
        <v>235</v>
      </c>
      <c r="B6" s="7"/>
      <c r="C6" s="15"/>
      <c r="D6" s="7"/>
      <c r="E6" s="31"/>
      <c r="F6" s="24"/>
      <c r="G6" s="24"/>
      <c r="H6" s="24"/>
      <c r="I6" s="24"/>
      <c r="J6" s="24"/>
      <c r="K6" s="24"/>
      <c r="L6" s="113" t="str">
        <f>+Input!B4</f>
        <v>WITNESS:  M. WHITAKER</v>
      </c>
      <c r="M6" s="11"/>
      <c r="N6" s="7"/>
      <c r="O6" s="7"/>
      <c r="P6" s="7"/>
      <c r="Q6" s="7"/>
      <c r="R6" s="7"/>
    </row>
    <row r="7" spans="1:18" s="7" customFormat="1" ht="15" x14ac:dyDescent="0.2">
      <c r="C7" s="15"/>
      <c r="D7" s="57"/>
      <c r="E7" s="57"/>
      <c r="F7" s="25"/>
      <c r="G7" s="24"/>
      <c r="H7" s="24"/>
      <c r="I7" s="36"/>
      <c r="J7" s="36"/>
      <c r="K7" s="24"/>
      <c r="L7" s="25"/>
      <c r="M7" s="24"/>
    </row>
    <row r="8" spans="1:18" s="7" customFormat="1" ht="15" x14ac:dyDescent="0.2">
      <c r="A8" s="283" t="str">
        <f>+Input!A2</f>
        <v>DOCKET NO.:  20200051-GU</v>
      </c>
      <c r="B8" s="284"/>
      <c r="C8" s="285"/>
      <c r="D8" s="280"/>
      <c r="E8" s="280"/>
      <c r="F8" s="286"/>
      <c r="G8" s="280"/>
      <c r="H8" s="286"/>
      <c r="I8" s="281"/>
      <c r="J8" s="281"/>
      <c r="K8" s="280"/>
      <c r="L8" s="280"/>
      <c r="M8" s="280"/>
    </row>
    <row r="9" spans="1:18" s="1" customFormat="1" ht="15" x14ac:dyDescent="0.2">
      <c r="A9" s="19"/>
      <c r="B9" s="19"/>
      <c r="C9" s="20"/>
      <c r="D9" s="21"/>
      <c r="E9" s="21"/>
      <c r="F9" s="22"/>
      <c r="G9" s="21"/>
      <c r="H9" s="22"/>
      <c r="I9" s="42"/>
      <c r="J9" s="42"/>
      <c r="K9" s="21"/>
      <c r="L9" s="21"/>
      <c r="M9" s="21"/>
      <c r="N9" s="19"/>
    </row>
    <row r="10" spans="1:18" s="1" customFormat="1" ht="15" x14ac:dyDescent="0.2">
      <c r="A10" s="19"/>
      <c r="B10" s="19"/>
      <c r="C10" s="20"/>
      <c r="D10" s="21"/>
      <c r="E10" s="21"/>
      <c r="F10" s="22"/>
      <c r="G10" s="21"/>
      <c r="H10" s="22"/>
      <c r="I10" s="42"/>
      <c r="J10" s="42"/>
      <c r="K10" s="21"/>
      <c r="L10" s="21"/>
      <c r="M10" s="21"/>
      <c r="N10" s="19"/>
    </row>
    <row r="11" spans="1:18" s="111" customFormat="1" ht="30" x14ac:dyDescent="0.2">
      <c r="A11" s="275" t="s">
        <v>297</v>
      </c>
      <c r="C11" s="125" t="s">
        <v>3</v>
      </c>
      <c r="F11" s="260" t="s">
        <v>4</v>
      </c>
      <c r="H11" s="155" t="s">
        <v>40</v>
      </c>
      <c r="I11" s="148" t="s">
        <v>5</v>
      </c>
      <c r="J11" s="148"/>
      <c r="L11" s="111" t="s">
        <v>115</v>
      </c>
    </row>
    <row r="12" spans="1:18" s="7" customFormat="1" ht="15" x14ac:dyDescent="0.2">
      <c r="A12" s="19"/>
      <c r="B12" s="19"/>
      <c r="C12" s="20"/>
      <c r="D12" s="19"/>
      <c r="E12" s="19"/>
      <c r="F12" s="100"/>
      <c r="G12" s="19"/>
      <c r="H12" s="100"/>
      <c r="I12" s="35"/>
      <c r="J12" s="35"/>
      <c r="K12" s="19"/>
      <c r="L12" s="19"/>
      <c r="M12" s="19"/>
      <c r="N12" s="19"/>
    </row>
    <row r="13" spans="1:18" s="7" customFormat="1" ht="15" x14ac:dyDescent="0.2">
      <c r="A13" s="19"/>
      <c r="B13" s="19"/>
      <c r="C13" s="20"/>
      <c r="D13" s="19"/>
      <c r="E13" s="19"/>
      <c r="F13" s="100"/>
      <c r="G13" s="19"/>
      <c r="H13" s="100"/>
      <c r="I13" s="35"/>
      <c r="J13" s="35"/>
      <c r="K13" s="19"/>
      <c r="L13" s="19"/>
      <c r="M13" s="19"/>
      <c r="N13" s="19"/>
    </row>
    <row r="14" spans="1:18" s="1" customFormat="1" ht="15" x14ac:dyDescent="0.2">
      <c r="A14" s="276">
        <v>1</v>
      </c>
      <c r="B14" s="31" t="s">
        <v>130</v>
      </c>
      <c r="C14" s="124"/>
      <c r="D14" s="11"/>
      <c r="E14" s="11"/>
      <c r="F14" s="49"/>
      <c r="G14" s="11"/>
      <c r="H14" s="49"/>
      <c r="I14" s="45"/>
      <c r="J14" s="45"/>
      <c r="K14" s="7"/>
      <c r="L14" s="7"/>
      <c r="M14" s="7"/>
      <c r="N14" s="7"/>
    </row>
    <row r="15" spans="1:18" s="1" customFormat="1" ht="15" x14ac:dyDescent="0.2">
      <c r="A15" s="276"/>
      <c r="B15" s="31"/>
      <c r="C15" s="11" t="s">
        <v>60</v>
      </c>
      <c r="D15" s="11"/>
      <c r="E15" s="11"/>
      <c r="F15" s="49"/>
      <c r="G15" s="11"/>
      <c r="H15" s="49"/>
      <c r="I15" s="45"/>
      <c r="J15" s="45"/>
      <c r="K15" s="7"/>
      <c r="L15" s="7"/>
      <c r="M15" s="7"/>
      <c r="N15" s="7"/>
    </row>
    <row r="16" spans="1:18" s="1" customFormat="1" ht="15" x14ac:dyDescent="0.2">
      <c r="A16" s="276"/>
      <c r="B16" s="31"/>
      <c r="C16" s="11" t="s">
        <v>241</v>
      </c>
      <c r="D16" s="11"/>
      <c r="E16" s="11"/>
      <c r="F16" s="49"/>
      <c r="G16" s="11"/>
      <c r="H16" s="49"/>
      <c r="I16" s="45"/>
      <c r="J16" s="45"/>
      <c r="K16" s="7"/>
      <c r="L16" s="7"/>
      <c r="M16" s="7"/>
      <c r="N16" s="7"/>
    </row>
    <row r="17" spans="1:14" s="1" customFormat="1" ht="15" x14ac:dyDescent="0.2">
      <c r="A17" s="276"/>
      <c r="B17" s="31"/>
      <c r="C17" s="383" t="s">
        <v>117</v>
      </c>
      <c r="D17" s="383"/>
      <c r="E17" s="163"/>
      <c r="F17" s="49"/>
      <c r="G17" s="11"/>
      <c r="H17" s="49"/>
      <c r="I17" s="45"/>
      <c r="J17" s="45"/>
      <c r="K17" s="7"/>
      <c r="L17" s="7"/>
      <c r="M17" s="7"/>
      <c r="N17" s="7"/>
    </row>
    <row r="18" spans="1:14" s="1" customFormat="1" ht="15" x14ac:dyDescent="0.2">
      <c r="A18" s="276"/>
      <c r="B18" s="31"/>
      <c r="C18" s="383" t="s">
        <v>57</v>
      </c>
      <c r="D18" s="383"/>
      <c r="E18" s="163"/>
      <c r="F18" s="49"/>
      <c r="G18" s="11"/>
      <c r="H18" s="49"/>
      <c r="I18" s="45"/>
      <c r="J18" s="45"/>
      <c r="K18" s="7"/>
      <c r="L18" s="7"/>
      <c r="M18" s="7"/>
      <c r="N18" s="7"/>
    </row>
    <row r="19" spans="1:14" s="1" customFormat="1" ht="15" x14ac:dyDescent="0.2">
      <c r="A19" s="276"/>
      <c r="B19" s="31"/>
      <c r="C19" s="383" t="s">
        <v>118</v>
      </c>
      <c r="D19" s="383"/>
      <c r="E19" s="163"/>
      <c r="F19" s="49"/>
      <c r="G19" s="11"/>
      <c r="H19" s="49"/>
      <c r="I19" s="45"/>
      <c r="J19" s="45"/>
      <c r="K19" s="7"/>
      <c r="L19" s="7"/>
      <c r="M19" s="7"/>
      <c r="N19" s="7"/>
    </row>
    <row r="20" spans="1:14" s="1" customFormat="1" ht="15" x14ac:dyDescent="0.2">
      <c r="A20" s="276"/>
      <c r="B20" s="31"/>
      <c r="C20" s="383" t="s">
        <v>119</v>
      </c>
      <c r="D20" s="383"/>
      <c r="E20" s="163"/>
      <c r="F20" s="49"/>
      <c r="G20" s="11"/>
      <c r="H20" s="49"/>
      <c r="I20" s="45"/>
      <c r="J20" s="45"/>
      <c r="K20" s="7"/>
      <c r="L20" s="7"/>
      <c r="M20" s="7"/>
      <c r="N20" s="7"/>
    </row>
    <row r="21" spans="1:14" s="1" customFormat="1" ht="15" x14ac:dyDescent="0.2">
      <c r="A21" s="276"/>
      <c r="B21" s="31"/>
      <c r="C21" s="383" t="s">
        <v>120</v>
      </c>
      <c r="D21" s="383"/>
      <c r="E21" s="163"/>
      <c r="F21" s="49"/>
      <c r="G21" s="11"/>
      <c r="H21" s="49"/>
      <c r="I21" s="45"/>
      <c r="J21" s="45"/>
      <c r="K21" s="7"/>
      <c r="L21" s="7"/>
      <c r="M21" s="7"/>
      <c r="N21" s="7"/>
    </row>
    <row r="22" spans="1:14" s="1" customFormat="1" ht="15" x14ac:dyDescent="0.2">
      <c r="A22" s="276"/>
      <c r="B22" s="31"/>
      <c r="C22" s="11" t="s">
        <v>64</v>
      </c>
      <c r="D22" s="11"/>
      <c r="E22" s="11"/>
      <c r="F22" s="49"/>
      <c r="G22" s="11"/>
      <c r="H22" s="49"/>
      <c r="I22" s="45"/>
      <c r="J22" s="45"/>
      <c r="K22" s="7"/>
      <c r="L22" s="7"/>
      <c r="M22" s="7"/>
      <c r="N22" s="7"/>
    </row>
    <row r="23" spans="1:14" s="1" customFormat="1" ht="15" x14ac:dyDescent="0.2">
      <c r="A23" s="276"/>
      <c r="B23" s="31"/>
      <c r="C23" s="57" t="s">
        <v>131</v>
      </c>
      <c r="D23" s="164"/>
      <c r="E23" s="164"/>
      <c r="F23" s="49"/>
      <c r="G23" s="11"/>
      <c r="H23" s="49"/>
      <c r="I23" s="45"/>
      <c r="J23" s="45"/>
      <c r="K23" s="7"/>
      <c r="L23" s="7"/>
      <c r="M23" s="7"/>
      <c r="N23" s="7"/>
    </row>
    <row r="24" spans="1:14" s="1" customFormat="1" ht="15" x14ac:dyDescent="0.2">
      <c r="A24" s="276"/>
      <c r="B24" s="31"/>
      <c r="C24" s="57"/>
      <c r="D24" s="164"/>
      <c r="E24" s="164"/>
      <c r="F24" s="49"/>
      <c r="G24" s="11"/>
      <c r="H24" s="49"/>
      <c r="I24" s="45"/>
      <c r="J24" s="45"/>
      <c r="K24" s="7"/>
      <c r="L24" s="7"/>
      <c r="M24" s="7"/>
      <c r="N24" s="7"/>
    </row>
    <row r="25" spans="1:14" s="8" customFormat="1" ht="18" x14ac:dyDescent="0.2">
      <c r="A25" s="276"/>
      <c r="B25" s="126"/>
      <c r="C25" s="124" t="s">
        <v>166</v>
      </c>
      <c r="D25" s="11"/>
      <c r="E25" s="11"/>
      <c r="F25" s="49">
        <v>8.25</v>
      </c>
      <c r="G25" s="11" t="s">
        <v>15</v>
      </c>
      <c r="H25" s="49">
        <v>30.95</v>
      </c>
      <c r="I25" s="45">
        <f>($H$25/60)*$F$25</f>
        <v>4.2556250000000002</v>
      </c>
      <c r="J25" s="45"/>
      <c r="K25" s="11"/>
      <c r="L25" s="11"/>
      <c r="M25" s="11"/>
      <c r="N25" s="11"/>
    </row>
    <row r="26" spans="1:14" s="1" customFormat="1" ht="15" x14ac:dyDescent="0.2">
      <c r="A26" s="277"/>
      <c r="B26" s="7"/>
      <c r="C26" s="11"/>
      <c r="D26" s="7"/>
      <c r="E26" s="7"/>
      <c r="F26" s="30"/>
      <c r="G26" s="7"/>
      <c r="H26" s="30"/>
      <c r="I26" s="34"/>
      <c r="J26" s="34"/>
      <c r="K26" s="7"/>
      <c r="L26" s="7"/>
      <c r="M26" s="7"/>
      <c r="N26" s="7"/>
    </row>
    <row r="27" spans="1:14" s="1" customFormat="1" ht="15" x14ac:dyDescent="0.2">
      <c r="A27" s="277">
        <v>2</v>
      </c>
      <c r="B27" s="7" t="s">
        <v>44</v>
      </c>
      <c r="C27" s="15"/>
      <c r="D27" s="15"/>
      <c r="E27" s="15"/>
      <c r="F27" s="7"/>
      <c r="G27" s="7"/>
      <c r="H27" s="30"/>
      <c r="I27" s="30"/>
      <c r="J27" s="30"/>
      <c r="K27" s="7"/>
      <c r="L27" s="7"/>
      <c r="M27" s="7"/>
      <c r="N27" s="7"/>
    </row>
    <row r="28" spans="1:14" s="8" customFormat="1" ht="15" x14ac:dyDescent="0.2">
      <c r="A28" s="276"/>
      <c r="B28" s="165" t="s">
        <v>41</v>
      </c>
      <c r="C28" s="386" t="s">
        <v>221</v>
      </c>
      <c r="D28" s="386"/>
      <c r="E28" s="166"/>
      <c r="F28" s="11"/>
      <c r="G28" s="11"/>
      <c r="H28" s="49"/>
      <c r="I28" s="11"/>
      <c r="J28" s="11"/>
      <c r="K28" s="11"/>
      <c r="L28" s="11"/>
      <c r="M28" s="11"/>
      <c r="N28" s="11"/>
    </row>
    <row r="29" spans="1:14" s="8" customFormat="1" ht="15" x14ac:dyDescent="0.2">
      <c r="A29" s="276"/>
      <c r="B29" s="165"/>
      <c r="C29" s="166"/>
      <c r="D29" s="166"/>
      <c r="E29" s="166"/>
      <c r="F29" s="11"/>
      <c r="G29" s="11"/>
      <c r="H29" s="49"/>
      <c r="I29" s="11"/>
      <c r="J29" s="11"/>
      <c r="K29" s="11"/>
      <c r="L29" s="11"/>
      <c r="M29" s="11"/>
      <c r="N29" s="11"/>
    </row>
    <row r="30" spans="1:14" s="8" customFormat="1" ht="18" x14ac:dyDescent="0.2">
      <c r="A30" s="276"/>
      <c r="B30" s="126"/>
      <c r="C30" s="124" t="s">
        <v>169</v>
      </c>
      <c r="D30" s="126"/>
      <c r="E30" s="126"/>
      <c r="F30" s="49">
        <f>2*0.092</f>
        <v>0.184</v>
      </c>
      <c r="G30" s="11" t="s">
        <v>15</v>
      </c>
      <c r="H30" s="49">
        <v>36.82</v>
      </c>
      <c r="I30" s="49">
        <f>($H$30/60)*$F$30</f>
        <v>0.11291466666666666</v>
      </c>
      <c r="J30" s="49"/>
      <c r="K30" s="11"/>
      <c r="L30" s="11"/>
      <c r="M30" s="11"/>
      <c r="N30" s="11"/>
    </row>
    <row r="31" spans="1:14" s="1" customFormat="1" ht="15" x14ac:dyDescent="0.2">
      <c r="A31" s="277"/>
      <c r="B31" s="7"/>
      <c r="C31" s="7"/>
      <c r="D31" s="7"/>
      <c r="E31" s="7"/>
      <c r="F31" s="30"/>
      <c r="G31" s="7"/>
      <c r="H31" s="30"/>
      <c r="I31" s="34"/>
      <c r="J31" s="34"/>
      <c r="K31" s="7"/>
      <c r="L31" s="7"/>
      <c r="M31" s="7"/>
      <c r="N31" s="7"/>
    </row>
    <row r="32" spans="1:14" s="1" customFormat="1" ht="15" x14ac:dyDescent="0.2">
      <c r="A32" s="277">
        <v>3</v>
      </c>
      <c r="B32" s="7" t="s">
        <v>48</v>
      </c>
      <c r="C32" s="15"/>
      <c r="D32" s="7"/>
      <c r="E32" s="7"/>
      <c r="F32" s="30"/>
      <c r="G32" s="7"/>
      <c r="H32" s="30"/>
      <c r="I32" s="34"/>
      <c r="J32" s="34"/>
      <c r="K32" s="7"/>
      <c r="L32" s="7"/>
      <c r="M32" s="7"/>
      <c r="N32" s="7"/>
    </row>
    <row r="33" spans="1:14" s="8" customFormat="1" ht="15" x14ac:dyDescent="0.2">
      <c r="A33" s="276"/>
      <c r="B33" s="11"/>
      <c r="C33" s="386" t="s">
        <v>122</v>
      </c>
      <c r="D33" s="386"/>
      <c r="E33" s="166"/>
      <c r="F33" s="49"/>
      <c r="G33" s="11"/>
      <c r="H33" s="49"/>
      <c r="I33" s="45"/>
      <c r="J33" s="45"/>
      <c r="K33" s="11"/>
      <c r="L33" s="11"/>
      <c r="M33" s="11"/>
      <c r="N33" s="11"/>
    </row>
    <row r="34" spans="1:14" s="8" customFormat="1" ht="15" x14ac:dyDescent="0.2">
      <c r="A34" s="276"/>
      <c r="B34" s="11"/>
      <c r="C34" s="166"/>
      <c r="D34" s="166"/>
      <c r="E34" s="166"/>
      <c r="F34" s="49"/>
      <c r="G34" s="11"/>
      <c r="H34" s="49"/>
      <c r="I34" s="45"/>
      <c r="J34" s="45"/>
      <c r="K34" s="11"/>
      <c r="L34" s="11"/>
      <c r="M34" s="11"/>
      <c r="N34" s="11"/>
    </row>
    <row r="35" spans="1:14" s="11" customFormat="1" ht="18" x14ac:dyDescent="0.2">
      <c r="A35" s="276"/>
      <c r="B35" s="126"/>
      <c r="C35" s="124" t="s">
        <v>195</v>
      </c>
      <c r="F35" s="49">
        <v>3</v>
      </c>
      <c r="G35" s="11" t="s">
        <v>15</v>
      </c>
      <c r="H35" s="49">
        <v>37.44</v>
      </c>
      <c r="I35" s="45">
        <f>($H$35/60)*$F$35</f>
        <v>1.8719999999999999</v>
      </c>
      <c r="J35" s="45"/>
    </row>
    <row r="36" spans="1:14" s="11" customFormat="1" ht="18" x14ac:dyDescent="0.2">
      <c r="A36" s="276"/>
      <c r="B36" s="126"/>
      <c r="C36" s="124"/>
      <c r="F36" s="49"/>
      <c r="H36" s="49"/>
      <c r="I36" s="45"/>
      <c r="J36" s="45"/>
    </row>
    <row r="37" spans="1:14" s="11" customFormat="1" ht="18" x14ac:dyDescent="0.2">
      <c r="A37" s="276"/>
      <c r="B37" s="126"/>
      <c r="C37" s="124"/>
      <c r="F37" s="49"/>
      <c r="H37" s="49"/>
      <c r="I37" s="45"/>
      <c r="J37" s="45"/>
    </row>
    <row r="38" spans="1:14" s="11" customFormat="1" ht="18" x14ac:dyDescent="0.2">
      <c r="A38" s="276"/>
      <c r="B38" s="126"/>
      <c r="C38" s="124"/>
      <c r="F38" s="49"/>
      <c r="H38" s="49"/>
      <c r="I38" s="45"/>
      <c r="J38" s="45"/>
    </row>
    <row r="39" spans="1:14" s="11" customFormat="1" ht="18" x14ac:dyDescent="0.2">
      <c r="A39" s="276"/>
      <c r="B39" s="126"/>
      <c r="C39" s="124"/>
      <c r="F39" s="49"/>
      <c r="H39" s="49"/>
      <c r="I39" s="45"/>
      <c r="J39" s="45"/>
    </row>
    <row r="40" spans="1:14" s="11" customFormat="1" ht="18" x14ac:dyDescent="0.2">
      <c r="A40" s="276"/>
      <c r="B40" s="126"/>
      <c r="C40" s="124"/>
      <c r="F40" s="49"/>
      <c r="H40" s="49"/>
      <c r="I40" s="45"/>
      <c r="J40" s="45"/>
    </row>
    <row r="41" spans="1:14" s="11" customFormat="1" ht="18" x14ac:dyDescent="0.2">
      <c r="A41" s="276"/>
      <c r="B41" s="126"/>
      <c r="C41" s="124"/>
      <c r="F41" s="49"/>
      <c r="H41" s="49"/>
      <c r="I41" s="45"/>
      <c r="J41" s="45"/>
    </row>
    <row r="42" spans="1:14" s="11" customFormat="1" ht="18" x14ac:dyDescent="0.2">
      <c r="A42" s="276"/>
      <c r="B42" s="126"/>
      <c r="C42" s="124"/>
      <c r="F42" s="49"/>
      <c r="H42" s="49"/>
      <c r="I42" s="45"/>
      <c r="J42" s="45"/>
    </row>
    <row r="43" spans="1:14" s="8" customFormat="1" ht="18" x14ac:dyDescent="0.2">
      <c r="A43" s="276"/>
      <c r="B43" s="126"/>
      <c r="C43" s="124"/>
      <c r="D43" s="11"/>
      <c r="E43" s="11"/>
      <c r="F43" s="49"/>
      <c r="G43" s="11"/>
      <c r="H43" s="49"/>
      <c r="I43" s="45"/>
      <c r="J43" s="45"/>
      <c r="K43" s="11"/>
      <c r="L43" s="11"/>
      <c r="M43" s="11"/>
      <c r="N43" s="11"/>
    </row>
    <row r="44" spans="1:14" s="8" customFormat="1" ht="18" x14ac:dyDescent="0.2">
      <c r="A44" s="276"/>
      <c r="B44" s="126"/>
      <c r="C44" s="124"/>
      <c r="D44" s="11"/>
      <c r="E44" s="11"/>
      <c r="F44" s="49"/>
      <c r="G44" s="11"/>
      <c r="H44" s="49"/>
      <c r="I44" s="45"/>
      <c r="J44" s="45"/>
      <c r="K44" s="11"/>
      <c r="L44" s="11"/>
      <c r="M44" s="11"/>
      <c r="N44" s="11"/>
    </row>
    <row r="45" spans="1:14" s="8" customFormat="1" ht="18" x14ac:dyDescent="0.2">
      <c r="A45" s="276"/>
      <c r="B45" s="126"/>
      <c r="C45" s="124"/>
      <c r="D45" s="11"/>
      <c r="E45" s="11"/>
      <c r="F45" s="49"/>
      <c r="G45" s="11"/>
      <c r="H45" s="49"/>
      <c r="I45" s="45"/>
      <c r="J45" s="45"/>
      <c r="K45" s="11"/>
      <c r="L45" s="11"/>
      <c r="M45" s="11"/>
      <c r="N45" s="11"/>
    </row>
    <row r="46" spans="1:14" s="11" customFormat="1" ht="18" x14ac:dyDescent="0.2">
      <c r="A46" s="276"/>
      <c r="B46" s="126"/>
      <c r="C46" s="252"/>
      <c r="F46" s="49"/>
      <c r="H46" s="49"/>
      <c r="I46" s="45"/>
      <c r="J46" s="45"/>
    </row>
    <row r="47" spans="1:14" s="11" customFormat="1" ht="18" x14ac:dyDescent="0.2">
      <c r="B47" s="126"/>
      <c r="C47" s="252"/>
      <c r="F47" s="49"/>
      <c r="H47" s="49"/>
      <c r="I47" s="45"/>
      <c r="J47" s="45"/>
    </row>
    <row r="48" spans="1:14" s="11" customFormat="1" ht="18" x14ac:dyDescent="0.2">
      <c r="B48" s="126"/>
      <c r="C48" s="252"/>
      <c r="F48" s="49"/>
      <c r="H48" s="49"/>
      <c r="I48" s="45"/>
      <c r="J48" s="45"/>
    </row>
    <row r="49" spans="1:14" s="284" customFormat="1" ht="18" x14ac:dyDescent="0.2">
      <c r="B49" s="353"/>
      <c r="C49" s="354"/>
      <c r="F49" s="355"/>
      <c r="H49" s="355"/>
      <c r="I49" s="356"/>
      <c r="J49" s="356"/>
    </row>
    <row r="50" spans="1:14" s="1" customFormat="1" ht="15" x14ac:dyDescent="0.2">
      <c r="A50" s="7"/>
      <c r="B50" s="7"/>
      <c r="C50" s="15"/>
      <c r="D50" s="7"/>
      <c r="E50" s="7"/>
      <c r="F50" s="30"/>
      <c r="G50" s="7"/>
      <c r="H50" s="30"/>
      <c r="I50" s="34"/>
      <c r="J50" s="34"/>
      <c r="K50" s="7"/>
      <c r="L50" s="7"/>
      <c r="M50" s="7"/>
      <c r="N50" s="7"/>
    </row>
    <row r="51" spans="1:14" s="1" customFormat="1" ht="15" x14ac:dyDescent="0.2">
      <c r="A51" s="271" t="s">
        <v>0</v>
      </c>
      <c r="B51" s="7"/>
      <c r="C51" s="7"/>
      <c r="D51" s="16" t="s">
        <v>232</v>
      </c>
      <c r="E51" s="16"/>
      <c r="F51" s="16"/>
      <c r="G51" s="16"/>
      <c r="H51" s="105"/>
      <c r="I51" s="105"/>
      <c r="J51" s="105"/>
      <c r="K51" s="257"/>
      <c r="L51" s="167" t="s">
        <v>240</v>
      </c>
      <c r="M51" s="7"/>
    </row>
    <row r="52" spans="1:14" s="1" customFormat="1" ht="15" x14ac:dyDescent="0.2">
      <c r="A52" s="75"/>
      <c r="B52" s="75"/>
      <c r="C52" s="75"/>
      <c r="D52" s="280"/>
      <c r="E52" s="280"/>
      <c r="F52" s="280"/>
      <c r="G52" s="280"/>
      <c r="H52" s="282"/>
      <c r="I52" s="282"/>
      <c r="J52" s="282"/>
      <c r="K52" s="282"/>
      <c r="L52" s="75"/>
      <c r="M52" s="111"/>
    </row>
    <row r="53" spans="1:14" s="7" customFormat="1" ht="15" x14ac:dyDescent="0.2">
      <c r="A53" s="251" t="s">
        <v>1</v>
      </c>
      <c r="D53" s="16" t="s">
        <v>234</v>
      </c>
      <c r="E53" s="16"/>
      <c r="F53" s="16"/>
      <c r="G53" s="16"/>
      <c r="H53" s="105"/>
      <c r="I53" s="312"/>
      <c r="J53" s="312"/>
      <c r="K53" s="105"/>
      <c r="L53" s="251" t="s">
        <v>233</v>
      </c>
    </row>
    <row r="54" spans="1:14" s="1" customFormat="1" ht="15" x14ac:dyDescent="0.2">
      <c r="A54" s="7"/>
      <c r="B54" s="7"/>
      <c r="C54" s="7"/>
      <c r="D54" s="16" t="s">
        <v>236</v>
      </c>
      <c r="E54" s="16"/>
      <c r="F54" s="16"/>
      <c r="G54" s="16"/>
      <c r="H54" s="105"/>
      <c r="I54" s="105"/>
      <c r="J54" s="105"/>
      <c r="K54" s="312"/>
      <c r="L54" s="167" t="str">
        <f>+L5</f>
        <v>HISTORIC BASE YEAR DATA:  12/31/19</v>
      </c>
      <c r="M54" s="7"/>
    </row>
    <row r="55" spans="1:14" s="1" customFormat="1" ht="15" x14ac:dyDescent="0.2">
      <c r="A55" s="112" t="s">
        <v>235</v>
      </c>
      <c r="B55" s="7"/>
      <c r="C55" s="7"/>
      <c r="D55" s="7"/>
      <c r="E55" s="112"/>
      <c r="F55" s="7"/>
      <c r="G55" s="16"/>
      <c r="H55" s="16"/>
      <c r="I55" s="17"/>
      <c r="J55" s="17"/>
      <c r="K55" s="7"/>
      <c r="L55" s="167" t="str">
        <f>+L6</f>
        <v>WITNESS:  M. WHITAKER</v>
      </c>
      <c r="M55" s="7"/>
    </row>
    <row r="56" spans="1:14" s="1" customFormat="1" ht="15" x14ac:dyDescent="0.2">
      <c r="A56" s="7"/>
      <c r="B56" s="7"/>
      <c r="C56" s="7"/>
      <c r="D56" s="112"/>
      <c r="E56" s="112"/>
      <c r="F56" s="7"/>
      <c r="G56" s="41"/>
      <c r="H56" s="16"/>
      <c r="I56" s="17"/>
      <c r="J56" s="17"/>
      <c r="K56" s="16"/>
      <c r="L56" s="7"/>
      <c r="M56" s="7"/>
    </row>
    <row r="57" spans="1:14" s="1" customFormat="1" ht="15" x14ac:dyDescent="0.2">
      <c r="A57" s="267" t="str">
        <f>+A8</f>
        <v>DOCKET NO.:  20200051-GU</v>
      </c>
      <c r="B57" s="111"/>
      <c r="C57" s="287"/>
      <c r="D57" s="287"/>
      <c r="E57" s="287"/>
      <c r="F57" s="111"/>
      <c r="G57" s="281"/>
      <c r="H57" s="280"/>
      <c r="I57" s="280"/>
      <c r="J57" s="280"/>
      <c r="K57" s="280"/>
      <c r="L57" s="111"/>
      <c r="M57" s="111"/>
    </row>
    <row r="58" spans="1:14" s="1" customFormat="1" ht="15" x14ac:dyDescent="0.2">
      <c r="A58" s="121"/>
      <c r="B58" s="121"/>
      <c r="C58" s="121"/>
      <c r="D58" s="16"/>
      <c r="E58" s="16"/>
      <c r="F58" s="16"/>
      <c r="G58" s="41"/>
      <c r="H58" s="16"/>
      <c r="I58" s="16"/>
      <c r="J58" s="16"/>
      <c r="K58" s="16"/>
      <c r="L58" s="121"/>
      <c r="M58" s="7"/>
    </row>
    <row r="59" spans="1:14" s="1" customFormat="1" ht="15" x14ac:dyDescent="0.2">
      <c r="A59" s="121"/>
      <c r="B59" s="121"/>
      <c r="C59" s="121"/>
      <c r="D59" s="16"/>
      <c r="E59" s="16"/>
      <c r="F59" s="16"/>
      <c r="G59" s="41"/>
      <c r="H59" s="16"/>
      <c r="I59" s="16"/>
      <c r="J59" s="16"/>
      <c r="K59" s="16"/>
      <c r="L59" s="121"/>
      <c r="M59" s="7"/>
    </row>
    <row r="60" spans="1:14" s="7" customFormat="1" ht="30" x14ac:dyDescent="0.2">
      <c r="A60" s="277" t="s">
        <v>297</v>
      </c>
      <c r="C60" s="271" t="s">
        <v>3</v>
      </c>
      <c r="F60" s="385" t="s">
        <v>4</v>
      </c>
      <c r="G60" s="385"/>
      <c r="H60" s="270" t="s">
        <v>40</v>
      </c>
      <c r="I60" s="144" t="s">
        <v>5</v>
      </c>
    </row>
    <row r="61" spans="1:14" s="1" customFormat="1" ht="15" x14ac:dyDescent="0.2">
      <c r="A61" s="288"/>
      <c r="B61" s="289"/>
      <c r="C61" s="289"/>
      <c r="D61" s="289"/>
      <c r="E61" s="289"/>
      <c r="F61" s="289"/>
      <c r="G61" s="290"/>
      <c r="H61" s="289"/>
      <c r="I61" s="290"/>
      <c r="J61" s="290"/>
      <c r="K61" s="291"/>
      <c r="L61" s="289"/>
      <c r="M61" s="292"/>
    </row>
    <row r="62" spans="1:14" s="1" customFormat="1" ht="15" x14ac:dyDescent="0.2">
      <c r="A62" s="277"/>
      <c r="B62" s="121"/>
      <c r="C62" s="121"/>
      <c r="D62" s="121"/>
      <c r="E62" s="121"/>
      <c r="F62" s="121"/>
      <c r="G62" s="149"/>
      <c r="H62" s="121"/>
      <c r="I62" s="149"/>
      <c r="J62" s="149"/>
      <c r="K62" s="150"/>
      <c r="L62" s="121"/>
      <c r="M62" s="7"/>
    </row>
    <row r="63" spans="1:14" s="1" customFormat="1" ht="15" x14ac:dyDescent="0.2">
      <c r="A63" s="277">
        <v>4</v>
      </c>
      <c r="B63" s="14" t="s">
        <v>6</v>
      </c>
      <c r="C63" s="15"/>
      <c r="D63" s="7"/>
      <c r="E63" s="7"/>
      <c r="F63" s="30"/>
      <c r="G63" s="7"/>
      <c r="H63" s="30"/>
      <c r="I63" s="194"/>
      <c r="J63" s="194"/>
      <c r="K63" s="7"/>
      <c r="L63" s="7"/>
      <c r="M63" s="7"/>
      <c r="N63" s="7"/>
    </row>
    <row r="64" spans="1:14" s="264" customFormat="1" ht="18" x14ac:dyDescent="0.15">
      <c r="A64" s="278"/>
      <c r="B64" s="165" t="s">
        <v>41</v>
      </c>
      <c r="C64" s="261" t="s">
        <v>47</v>
      </c>
      <c r="D64" s="262"/>
      <c r="E64" s="262"/>
      <c r="F64" s="131">
        <v>18</v>
      </c>
      <c r="G64" s="165"/>
      <c r="H64" s="165"/>
      <c r="I64" s="263"/>
      <c r="J64" s="263"/>
      <c r="K64" s="165"/>
      <c r="L64" s="165"/>
      <c r="M64" s="165"/>
      <c r="N64" s="165"/>
    </row>
    <row r="65" spans="1:14" s="8" customFormat="1" ht="15" x14ac:dyDescent="0.2">
      <c r="A65" s="276"/>
      <c r="B65" s="165" t="s">
        <v>42</v>
      </c>
      <c r="C65" s="386" t="s">
        <v>172</v>
      </c>
      <c r="D65" s="386"/>
      <c r="E65" s="166"/>
      <c r="F65" s="49">
        <v>39</v>
      </c>
      <c r="G65" s="11"/>
      <c r="H65" s="49"/>
      <c r="I65" s="44"/>
      <c r="J65" s="44"/>
      <c r="K65" s="11"/>
      <c r="L65" s="11"/>
      <c r="M65" s="11"/>
      <c r="N65" s="11"/>
    </row>
    <row r="66" spans="1:14" s="8" customFormat="1" ht="18" x14ac:dyDescent="0.2">
      <c r="A66" s="276"/>
      <c r="B66" s="164" t="s">
        <v>46</v>
      </c>
      <c r="C66" s="163" t="s">
        <v>103</v>
      </c>
      <c r="D66" s="126"/>
      <c r="E66" s="126"/>
      <c r="F66" s="49">
        <f>23*0.04</f>
        <v>0.92</v>
      </c>
      <c r="G66" s="11"/>
      <c r="H66" s="49"/>
      <c r="I66" s="44"/>
      <c r="J66" s="44"/>
      <c r="K66" s="11"/>
      <c r="L66" s="11"/>
      <c r="M66" s="11"/>
      <c r="N66" s="11"/>
    </row>
    <row r="67" spans="1:14" s="8" customFormat="1" ht="18" x14ac:dyDescent="0.2">
      <c r="A67" s="276"/>
      <c r="B67" s="164" t="s">
        <v>45</v>
      </c>
      <c r="C67" s="124" t="s">
        <v>102</v>
      </c>
      <c r="D67" s="126"/>
      <c r="E67" s="126"/>
      <c r="F67" s="49">
        <f>27*0.01</f>
        <v>0.27</v>
      </c>
      <c r="G67" s="11"/>
      <c r="H67" s="11"/>
      <c r="I67" s="45"/>
      <c r="J67" s="45"/>
      <c r="K67" s="11"/>
      <c r="L67" s="11"/>
      <c r="M67" s="11"/>
      <c r="N67" s="11"/>
    </row>
    <row r="68" spans="1:14" s="8" customFormat="1" ht="15" x14ac:dyDescent="0.2">
      <c r="A68" s="276"/>
      <c r="B68" s="164" t="s">
        <v>49</v>
      </c>
      <c r="C68" s="124" t="s">
        <v>101</v>
      </c>
      <c r="D68" s="11" t="s">
        <v>80</v>
      </c>
      <c r="E68" s="11"/>
      <c r="F68" s="49"/>
      <c r="G68" s="11"/>
      <c r="H68" s="11"/>
      <c r="I68" s="45"/>
      <c r="J68" s="45"/>
      <c r="K68" s="11"/>
      <c r="L68" s="11"/>
      <c r="M68" s="11"/>
      <c r="N68" s="11"/>
    </row>
    <row r="69" spans="1:14" s="8" customFormat="1" ht="15" x14ac:dyDescent="0.2">
      <c r="A69" s="276"/>
      <c r="B69" s="164" t="s">
        <v>50</v>
      </c>
      <c r="C69" s="124" t="s">
        <v>186</v>
      </c>
      <c r="D69" s="11" t="s">
        <v>80</v>
      </c>
      <c r="E69" s="11"/>
      <c r="F69" s="49"/>
      <c r="G69" s="11"/>
      <c r="H69" s="11"/>
      <c r="I69" s="45"/>
      <c r="J69" s="45"/>
      <c r="K69" s="11"/>
      <c r="L69" s="11"/>
      <c r="M69" s="11"/>
      <c r="N69" s="11"/>
    </row>
    <row r="70" spans="1:14" s="8" customFormat="1" ht="15" x14ac:dyDescent="0.2">
      <c r="A70" s="276"/>
      <c r="B70" s="164" t="s">
        <v>51</v>
      </c>
      <c r="C70" s="124" t="s">
        <v>104</v>
      </c>
      <c r="D70" s="11" t="s">
        <v>80</v>
      </c>
      <c r="E70" s="11"/>
      <c r="F70" s="49"/>
      <c r="G70" s="11"/>
      <c r="H70" s="49"/>
      <c r="I70" s="44"/>
      <c r="J70" s="44"/>
      <c r="K70" s="11"/>
      <c r="L70" s="11"/>
      <c r="M70" s="11"/>
      <c r="N70" s="11"/>
    </row>
    <row r="71" spans="1:14" s="8" customFormat="1" ht="18" x14ac:dyDescent="0.2">
      <c r="A71" s="276"/>
      <c r="B71" s="11"/>
      <c r="C71" s="124"/>
      <c r="D71" s="126"/>
      <c r="E71" s="126"/>
      <c r="F71" s="49"/>
      <c r="G71" s="11"/>
      <c r="H71" s="49"/>
      <c r="I71" s="44"/>
      <c r="J71" s="44"/>
      <c r="K71" s="11"/>
      <c r="L71" s="11"/>
      <c r="M71" s="11"/>
      <c r="N71" s="11"/>
    </row>
    <row r="72" spans="1:14" s="8" customFormat="1" ht="18" x14ac:dyDescent="0.2">
      <c r="A72" s="276"/>
      <c r="B72" s="126"/>
      <c r="C72" s="124" t="s">
        <v>195</v>
      </c>
      <c r="D72" s="11"/>
      <c r="E72" s="11"/>
      <c r="F72" s="49">
        <f>SUM($F$64:$F$71)</f>
        <v>58.190000000000005</v>
      </c>
      <c r="G72" s="11" t="s">
        <v>15</v>
      </c>
      <c r="H72" s="49">
        <v>37.44</v>
      </c>
      <c r="I72" s="45">
        <f>($H$72/60)*$F$72</f>
        <v>36.310560000000002</v>
      </c>
      <c r="J72" s="45"/>
      <c r="K72" s="11"/>
      <c r="L72" s="11"/>
      <c r="M72" s="11"/>
      <c r="N72" s="11"/>
    </row>
    <row r="73" spans="1:14" s="1" customFormat="1" ht="15" x14ac:dyDescent="0.2">
      <c r="A73" s="277"/>
      <c r="B73" s="7"/>
      <c r="C73" s="15"/>
      <c r="D73" s="7"/>
      <c r="E73" s="7"/>
      <c r="F73" s="30"/>
      <c r="G73" s="7"/>
      <c r="H73" s="30"/>
      <c r="I73" s="194"/>
      <c r="J73" s="194"/>
      <c r="K73" s="7"/>
      <c r="L73" s="7"/>
      <c r="M73" s="7"/>
      <c r="N73" s="7"/>
    </row>
    <row r="74" spans="1:14" s="1" customFormat="1" ht="15" x14ac:dyDescent="0.2">
      <c r="A74" s="277">
        <v>5</v>
      </c>
      <c r="B74" s="14" t="s">
        <v>7</v>
      </c>
      <c r="C74" s="15"/>
      <c r="D74" s="7"/>
      <c r="E74" s="7"/>
      <c r="F74" s="30"/>
      <c r="G74" s="7"/>
      <c r="H74" s="30"/>
      <c r="I74" s="194"/>
      <c r="J74" s="194"/>
      <c r="K74" s="7"/>
      <c r="L74" s="7"/>
      <c r="M74" s="7"/>
      <c r="N74" s="7"/>
    </row>
    <row r="75" spans="1:14" s="1" customFormat="1" ht="15" x14ac:dyDescent="0.2">
      <c r="A75" s="277"/>
      <c r="B75" s="14"/>
      <c r="C75" s="124" t="s">
        <v>107</v>
      </c>
      <c r="D75" s="7"/>
      <c r="E75" s="7"/>
      <c r="F75" s="30"/>
      <c r="G75" s="7"/>
      <c r="H75" s="30"/>
      <c r="I75" s="44">
        <v>0.12</v>
      </c>
      <c r="J75" s="44"/>
      <c r="K75" s="7"/>
      <c r="L75" s="7"/>
      <c r="M75" s="7"/>
      <c r="N75" s="7"/>
    </row>
    <row r="76" spans="1:14" s="1" customFormat="1" ht="15" x14ac:dyDescent="0.2">
      <c r="A76" s="277"/>
      <c r="B76" s="14"/>
      <c r="C76" s="124" t="s">
        <v>124</v>
      </c>
      <c r="D76" s="221"/>
      <c r="E76" s="221"/>
      <c r="F76" s="30"/>
      <c r="G76" s="7"/>
      <c r="H76" s="30"/>
      <c r="I76" s="44">
        <v>0.67</v>
      </c>
      <c r="J76" s="44"/>
      <c r="K76" s="7"/>
      <c r="L76" s="7"/>
      <c r="M76" s="7"/>
      <c r="N76" s="7"/>
    </row>
    <row r="77" spans="1:14" s="1" customFormat="1" ht="15" x14ac:dyDescent="0.2">
      <c r="A77" s="277"/>
      <c r="B77" s="14"/>
      <c r="C77" s="124" t="s">
        <v>108</v>
      </c>
      <c r="D77" s="221"/>
      <c r="E77" s="221"/>
      <c r="F77" s="30"/>
      <c r="G77" s="7"/>
      <c r="H77" s="30"/>
      <c r="I77" s="44">
        <v>0.65</v>
      </c>
      <c r="J77" s="44"/>
      <c r="K77" s="7"/>
      <c r="L77" s="7"/>
      <c r="M77" s="7"/>
      <c r="N77" s="7"/>
    </row>
    <row r="78" spans="1:14" s="1" customFormat="1" ht="15" x14ac:dyDescent="0.2">
      <c r="A78" s="277"/>
      <c r="B78" s="14"/>
      <c r="C78" s="124" t="s">
        <v>109</v>
      </c>
      <c r="D78" s="7"/>
      <c r="E78" s="7"/>
      <c r="F78" s="30"/>
      <c r="G78" s="7"/>
      <c r="H78" s="30"/>
      <c r="I78" s="44">
        <v>0.02</v>
      </c>
      <c r="J78" s="44"/>
      <c r="K78" s="7"/>
      <c r="L78" s="7"/>
      <c r="M78" s="7"/>
      <c r="N78" s="7"/>
    </row>
    <row r="79" spans="1:14" s="1" customFormat="1" ht="15" x14ac:dyDescent="0.2">
      <c r="A79" s="277"/>
      <c r="B79" s="14"/>
      <c r="C79" s="124" t="s">
        <v>112</v>
      </c>
      <c r="D79" s="7"/>
      <c r="E79" s="7"/>
      <c r="F79" s="30"/>
      <c r="G79" s="7"/>
      <c r="H79" s="30"/>
      <c r="I79" s="44">
        <v>0.28999999999999998</v>
      </c>
      <c r="J79" s="44"/>
      <c r="K79" s="7"/>
      <c r="L79" s="7"/>
      <c r="M79" s="7"/>
      <c r="N79" s="7"/>
    </row>
    <row r="80" spans="1:14" s="1" customFormat="1" ht="15" x14ac:dyDescent="0.2">
      <c r="A80" s="277"/>
      <c r="B80" s="14"/>
      <c r="C80" s="124" t="s">
        <v>113</v>
      </c>
      <c r="D80" s="7"/>
      <c r="E80" s="7"/>
      <c r="F80" s="30"/>
      <c r="G80" s="7"/>
      <c r="H80" s="30"/>
      <c r="I80" s="44">
        <v>0.09</v>
      </c>
      <c r="J80" s="44"/>
      <c r="K80" s="7"/>
      <c r="L80" s="7"/>
      <c r="M80" s="7"/>
      <c r="N80" s="7"/>
    </row>
    <row r="81" spans="1:15" s="1" customFormat="1" ht="15" x14ac:dyDescent="0.2">
      <c r="A81" s="277"/>
      <c r="B81" s="14"/>
      <c r="C81" s="124" t="s">
        <v>111</v>
      </c>
      <c r="D81" s="7"/>
      <c r="E81" s="7"/>
      <c r="F81" s="30"/>
      <c r="G81" s="7"/>
      <c r="H81" s="30"/>
      <c r="I81" s="44">
        <v>5.0000000000000001E-3</v>
      </c>
      <c r="J81" s="44"/>
      <c r="K81" s="7"/>
      <c r="L81" s="7"/>
      <c r="M81" s="7"/>
      <c r="N81" s="7"/>
    </row>
    <row r="82" spans="1:15" s="1" customFormat="1" ht="15" x14ac:dyDescent="0.2">
      <c r="A82" s="277"/>
      <c r="B82" s="14"/>
      <c r="C82" s="124" t="s">
        <v>125</v>
      </c>
      <c r="D82" s="7"/>
      <c r="E82" s="7"/>
      <c r="F82" s="30"/>
      <c r="G82" s="7"/>
      <c r="H82" s="30"/>
      <c r="I82" s="44">
        <v>2.15</v>
      </c>
      <c r="J82" s="44"/>
      <c r="K82" s="30"/>
      <c r="L82" s="7"/>
      <c r="M82" s="7"/>
      <c r="N82" s="7"/>
    </row>
    <row r="83" spans="1:15" s="11" customFormat="1" ht="15" x14ac:dyDescent="0.2">
      <c r="A83" s="276"/>
      <c r="C83" s="124" t="s">
        <v>187</v>
      </c>
      <c r="F83" s="49"/>
      <c r="H83" s="49"/>
      <c r="I83" s="44">
        <v>0.5</v>
      </c>
      <c r="J83" s="44"/>
      <c r="L83" s="7"/>
    </row>
    <row r="84" spans="1:15" s="1" customFormat="1" ht="15" x14ac:dyDescent="0.2">
      <c r="A84" s="277"/>
      <c r="B84" s="7"/>
      <c r="C84" s="15"/>
      <c r="D84" s="7"/>
      <c r="E84" s="7"/>
      <c r="F84" s="30"/>
      <c r="G84" s="7"/>
      <c r="H84" s="30"/>
      <c r="I84" s="194"/>
      <c r="J84" s="194"/>
      <c r="K84" s="7"/>
      <c r="L84" s="7"/>
      <c r="M84" s="7"/>
      <c r="N84" s="7"/>
    </row>
    <row r="85" spans="1:15" s="1" customFormat="1" ht="15" x14ac:dyDescent="0.2">
      <c r="A85" s="276">
        <v>6</v>
      </c>
      <c r="B85" s="31" t="s">
        <v>8</v>
      </c>
      <c r="C85" s="124"/>
      <c r="D85" s="11"/>
      <c r="E85" s="11"/>
      <c r="F85" s="49"/>
      <c r="G85" s="11"/>
      <c r="H85" s="49"/>
      <c r="I85" s="44"/>
      <c r="J85" s="44"/>
      <c r="K85" s="11"/>
      <c r="L85" s="7"/>
      <c r="M85" s="7"/>
      <c r="N85" s="7"/>
    </row>
    <row r="86" spans="1:15" s="1" customFormat="1" ht="15" x14ac:dyDescent="0.2">
      <c r="A86" s="276"/>
      <c r="B86" s="31" t="s">
        <v>41</v>
      </c>
      <c r="C86" s="383" t="s">
        <v>73</v>
      </c>
      <c r="D86" s="383"/>
      <c r="E86" s="163"/>
      <c r="F86" s="49"/>
      <c r="G86" s="11"/>
      <c r="H86" s="49"/>
      <c r="I86" s="44"/>
      <c r="J86" s="44"/>
      <c r="K86" s="11"/>
      <c r="L86" s="7"/>
      <c r="M86" s="7"/>
      <c r="N86" s="7"/>
    </row>
    <row r="87" spans="1:15" s="8" customFormat="1" ht="15" x14ac:dyDescent="0.2">
      <c r="A87" s="276"/>
      <c r="B87" s="31" t="s">
        <v>42</v>
      </c>
      <c r="C87" s="384" t="s">
        <v>142</v>
      </c>
      <c r="D87" s="384"/>
      <c r="E87" s="66"/>
      <c r="F87" s="49"/>
      <c r="G87" s="11"/>
      <c r="H87" s="49"/>
      <c r="I87" s="44">
        <f>$F$72*(4.9/60)</f>
        <v>4.7521833333333348</v>
      </c>
      <c r="J87" s="44"/>
      <c r="K87" s="11"/>
      <c r="L87" s="11"/>
      <c r="M87" s="11"/>
      <c r="N87" s="11"/>
    </row>
    <row r="88" spans="1:15" s="1" customFormat="1" ht="15" x14ac:dyDescent="0.2">
      <c r="A88" s="276"/>
      <c r="B88" s="11"/>
      <c r="C88" s="66"/>
      <c r="D88" s="11"/>
      <c r="E88" s="11"/>
      <c r="F88" s="49"/>
      <c r="G88" s="11"/>
      <c r="H88" s="49"/>
      <c r="I88" s="44"/>
      <c r="J88" s="44"/>
      <c r="K88" s="11"/>
      <c r="L88" s="7"/>
      <c r="M88" s="7"/>
      <c r="N88" s="7"/>
    </row>
    <row r="89" spans="1:15" s="1" customFormat="1" ht="15" x14ac:dyDescent="0.2">
      <c r="A89" s="276">
        <v>7</v>
      </c>
      <c r="B89" s="31" t="s">
        <v>98</v>
      </c>
      <c r="C89" s="124"/>
      <c r="D89" s="11"/>
      <c r="E89" s="11"/>
      <c r="F89" s="49"/>
      <c r="G89" s="11"/>
      <c r="H89" s="49"/>
      <c r="I89" s="44"/>
      <c r="J89" s="44"/>
      <c r="K89" s="11"/>
      <c r="L89" s="7"/>
      <c r="M89" s="7"/>
      <c r="N89" s="7"/>
    </row>
    <row r="90" spans="1:15" s="8" customFormat="1" ht="18" x14ac:dyDescent="0.2">
      <c r="A90" s="276"/>
      <c r="B90" s="11"/>
      <c r="C90" s="383" t="s">
        <v>99</v>
      </c>
      <c r="D90" s="383"/>
      <c r="E90" s="163"/>
      <c r="F90" s="49"/>
      <c r="G90" s="11"/>
      <c r="H90" s="126"/>
      <c r="I90" s="44">
        <f>$F$72*(6.83/60)</f>
        <v>6.6239616666666672</v>
      </c>
      <c r="J90" s="44"/>
      <c r="K90" s="11"/>
      <c r="L90" s="11"/>
      <c r="M90" s="11"/>
      <c r="N90" s="11"/>
    </row>
    <row r="91" spans="1:15" s="1" customFormat="1" ht="15" x14ac:dyDescent="0.2">
      <c r="A91" s="276"/>
      <c r="B91" s="11"/>
      <c r="C91" s="15"/>
      <c r="D91" s="11"/>
      <c r="E91" s="11"/>
      <c r="F91" s="49"/>
      <c r="G91" s="11"/>
      <c r="H91" s="49"/>
      <c r="I91" s="44"/>
      <c r="J91" s="44"/>
      <c r="K91" s="11"/>
      <c r="L91" s="7"/>
      <c r="M91" s="7"/>
      <c r="N91" s="7"/>
    </row>
    <row r="92" spans="1:15" s="8" customFormat="1" ht="18" x14ac:dyDescent="0.2">
      <c r="A92" s="276">
        <v>8</v>
      </c>
      <c r="B92" s="33" t="s">
        <v>9</v>
      </c>
      <c r="C92" s="124"/>
      <c r="D92" s="11"/>
      <c r="E92" s="11"/>
      <c r="F92" s="49"/>
      <c r="G92" s="11"/>
      <c r="H92" s="126"/>
      <c r="I92" s="44">
        <f>(89.17-$I$72-$I$87)*0.08</f>
        <v>3.8485805333333332</v>
      </c>
      <c r="J92" s="44"/>
      <c r="K92" s="11"/>
      <c r="L92" s="222"/>
      <c r="M92" s="11"/>
      <c r="N92" s="11"/>
    </row>
    <row r="93" spans="1:15" s="1" customFormat="1" ht="15" x14ac:dyDescent="0.2">
      <c r="A93" s="276"/>
      <c r="B93" s="11"/>
      <c r="C93" s="124"/>
      <c r="D93" s="11"/>
      <c r="E93" s="11"/>
      <c r="F93" s="49"/>
      <c r="G93" s="11"/>
      <c r="H93" s="49"/>
      <c r="I93" s="44"/>
      <c r="J93" s="44"/>
      <c r="K93" s="11"/>
      <c r="L93" s="30"/>
      <c r="M93" s="7"/>
      <c r="N93" s="7"/>
    </row>
    <row r="94" spans="1:15" s="284" customFormat="1" ht="15" x14ac:dyDescent="0.2">
      <c r="A94" s="377">
        <v>9</v>
      </c>
      <c r="B94" s="127" t="s">
        <v>10</v>
      </c>
      <c r="C94" s="127" t="s">
        <v>11</v>
      </c>
      <c r="F94" s="355"/>
      <c r="H94" s="355"/>
      <c r="I94" s="373"/>
      <c r="J94" s="373"/>
    </row>
    <row r="95" spans="1:15" s="1" customFormat="1" ht="15" x14ac:dyDescent="0.2">
      <c r="A95" s="276"/>
      <c r="B95" s="11"/>
      <c r="C95" s="124"/>
      <c r="D95" s="11"/>
      <c r="E95" s="11"/>
      <c r="F95" s="49"/>
      <c r="G95" s="11"/>
      <c r="H95" s="49"/>
      <c r="I95" s="43"/>
      <c r="J95" s="43"/>
      <c r="K95" s="11"/>
      <c r="L95" s="7"/>
      <c r="M95" s="7"/>
      <c r="N95" s="7"/>
      <c r="O95" s="6"/>
    </row>
    <row r="96" spans="1:15" s="1" customFormat="1" ht="17.25" x14ac:dyDescent="0.35">
      <c r="A96" s="276">
        <v>10</v>
      </c>
      <c r="B96" s="31" t="s">
        <v>12</v>
      </c>
      <c r="C96" s="124"/>
      <c r="D96" s="11"/>
      <c r="E96" s="11"/>
      <c r="F96" s="49"/>
      <c r="G96" s="11"/>
      <c r="H96" s="49"/>
      <c r="I96" s="52">
        <f>SUM($I$25:$I$95)</f>
        <v>62.270825200000012</v>
      </c>
      <c r="J96" s="52"/>
      <c r="K96" s="11"/>
      <c r="L96" s="7"/>
      <c r="M96" s="7"/>
      <c r="N96" s="7"/>
    </row>
    <row r="97" spans="1:14" s="1" customFormat="1" ht="15" x14ac:dyDescent="0.2">
      <c r="A97" s="276"/>
      <c r="B97" s="11"/>
      <c r="C97" s="124"/>
      <c r="D97" s="11"/>
      <c r="E97" s="11"/>
      <c r="F97" s="49"/>
      <c r="G97" s="11"/>
      <c r="H97" s="49"/>
      <c r="I97" s="45"/>
      <c r="J97" s="45"/>
      <c r="K97" s="11"/>
      <c r="L97" s="7"/>
      <c r="M97" s="7"/>
      <c r="N97" s="7"/>
    </row>
    <row r="98" spans="1:14" s="8" customFormat="1" ht="20.25" x14ac:dyDescent="0.35">
      <c r="A98" s="276">
        <v>11</v>
      </c>
      <c r="B98" s="223" t="s">
        <v>36</v>
      </c>
      <c r="C98" s="124"/>
      <c r="D98" s="11"/>
      <c r="E98" s="11"/>
      <c r="F98" s="49"/>
      <c r="G98" s="11"/>
      <c r="H98" s="126"/>
      <c r="I98" s="51">
        <f>($F$65*($H$72/60))+$I$92</f>
        <v>28.184580533333332</v>
      </c>
      <c r="J98" s="51"/>
      <c r="K98" s="11"/>
      <c r="L98" s="224"/>
      <c r="M98" s="11"/>
      <c r="N98" s="11"/>
    </row>
    <row r="99" spans="1:14" s="115" customFormat="1" x14ac:dyDescent="0.15">
      <c r="A99" s="357"/>
      <c r="F99" s="116"/>
      <c r="I99" s="117"/>
      <c r="J99" s="117"/>
    </row>
    <row r="100" spans="1:14" s="56" customFormat="1" x14ac:dyDescent="0.15">
      <c r="F100" s="233"/>
      <c r="I100" s="184"/>
      <c r="J100" s="184"/>
    </row>
    <row r="101" spans="1:14" ht="15" x14ac:dyDescent="0.2">
      <c r="C101" s="9" t="s">
        <v>63</v>
      </c>
      <c r="D101" s="48"/>
      <c r="E101" s="48"/>
      <c r="F101" s="58"/>
      <c r="G101" s="48"/>
      <c r="H101" s="48"/>
    </row>
    <row r="102" spans="1:14" s="48" customFormat="1" ht="30" x14ac:dyDescent="0.2">
      <c r="B102" s="76">
        <v>1</v>
      </c>
      <c r="C102" s="9" t="s">
        <v>161</v>
      </c>
      <c r="F102" s="58"/>
      <c r="G102" s="77"/>
      <c r="H102" s="58"/>
      <c r="I102" s="59"/>
      <c r="J102" s="59"/>
      <c r="N102" s="114"/>
    </row>
    <row r="103" spans="1:14" s="48" customFormat="1" ht="18" x14ac:dyDescent="0.2">
      <c r="B103" s="76">
        <v>2</v>
      </c>
      <c r="C103" s="9" t="s">
        <v>223</v>
      </c>
      <c r="F103" s="58"/>
      <c r="G103" s="77"/>
      <c r="H103" s="58"/>
      <c r="I103" s="59"/>
      <c r="J103" s="59"/>
      <c r="N103" s="114"/>
    </row>
    <row r="104" spans="1:14" s="48" customFormat="1" ht="18" x14ac:dyDescent="0.2">
      <c r="B104" s="76">
        <v>3</v>
      </c>
      <c r="C104" s="9" t="s">
        <v>75</v>
      </c>
      <c r="F104" s="58"/>
      <c r="I104" s="59"/>
      <c r="J104" s="59"/>
      <c r="N104" s="114"/>
    </row>
    <row r="105" spans="1:14" s="48" customFormat="1" ht="18" x14ac:dyDescent="0.2">
      <c r="B105" s="76">
        <v>4</v>
      </c>
      <c r="C105" s="9" t="s">
        <v>160</v>
      </c>
      <c r="F105" s="58"/>
      <c r="I105" s="59"/>
      <c r="J105" s="59"/>
      <c r="N105" s="114"/>
    </row>
    <row r="106" spans="1:14" s="48" customFormat="1" ht="18" x14ac:dyDescent="0.2">
      <c r="B106" s="76">
        <v>5</v>
      </c>
      <c r="C106" s="9" t="s">
        <v>159</v>
      </c>
      <c r="F106" s="58"/>
      <c r="I106" s="60"/>
      <c r="J106" s="60"/>
      <c r="N106" s="114"/>
    </row>
    <row r="107" spans="1:14" s="48" customFormat="1" ht="18" x14ac:dyDescent="0.2">
      <c r="B107" s="76">
        <v>6</v>
      </c>
      <c r="C107" s="9" t="s">
        <v>139</v>
      </c>
      <c r="F107" s="58"/>
      <c r="I107" s="59"/>
      <c r="J107" s="59"/>
      <c r="N107" s="114"/>
    </row>
    <row r="108" spans="1:14" s="48" customFormat="1" ht="18" x14ac:dyDescent="0.2">
      <c r="B108" s="76">
        <v>7</v>
      </c>
      <c r="C108" s="9" t="s">
        <v>140</v>
      </c>
      <c r="F108" s="58"/>
      <c r="I108" s="61"/>
      <c r="J108" s="61"/>
      <c r="N108" s="114"/>
    </row>
    <row r="109" spans="1:14" s="48" customFormat="1" ht="30" x14ac:dyDescent="0.2">
      <c r="B109" s="76">
        <v>8</v>
      </c>
      <c r="C109" s="9" t="s">
        <v>188</v>
      </c>
      <c r="F109" s="58"/>
      <c r="I109" s="59"/>
      <c r="J109" s="59"/>
      <c r="N109" s="114"/>
    </row>
    <row r="110" spans="1:14" s="48" customFormat="1" ht="18" x14ac:dyDescent="0.2">
      <c r="B110" s="76">
        <v>9</v>
      </c>
      <c r="C110" s="9" t="s">
        <v>128</v>
      </c>
      <c r="F110" s="58"/>
      <c r="I110" s="59"/>
      <c r="J110" s="59"/>
      <c r="N110" s="114"/>
    </row>
    <row r="111" spans="1:14" ht="18" x14ac:dyDescent="0.2">
      <c r="B111" s="76">
        <v>10</v>
      </c>
      <c r="C111" s="9" t="s">
        <v>144</v>
      </c>
    </row>
    <row r="112" spans="1:14" ht="18" x14ac:dyDescent="0.2">
      <c r="B112" s="76">
        <v>11</v>
      </c>
      <c r="C112" s="9" t="s">
        <v>143</v>
      </c>
    </row>
    <row r="113" spans="1:13" x14ac:dyDescent="0.15">
      <c r="A113" s="115"/>
      <c r="B113" s="115"/>
      <c r="C113" s="115"/>
      <c r="D113" s="115"/>
      <c r="E113" s="115"/>
      <c r="F113" s="116"/>
      <c r="G113" s="115"/>
      <c r="H113" s="115"/>
      <c r="I113" s="117"/>
      <c r="J113" s="117"/>
      <c r="K113" s="115"/>
      <c r="L113" s="115"/>
      <c r="M113" s="115"/>
    </row>
  </sheetData>
  <mergeCells count="12">
    <mergeCell ref="C28:D28"/>
    <mergeCell ref="C33:D33"/>
    <mergeCell ref="C17:D17"/>
    <mergeCell ref="C18:D18"/>
    <mergeCell ref="C19:D19"/>
    <mergeCell ref="C20:D20"/>
    <mergeCell ref="C21:D21"/>
    <mergeCell ref="C90:D90"/>
    <mergeCell ref="C87:D87"/>
    <mergeCell ref="C86:D86"/>
    <mergeCell ref="F60:G60"/>
    <mergeCell ref="C65:D65"/>
  </mergeCells>
  <phoneticPr fontId="4" type="noConversion"/>
  <printOptions horizontalCentered="1"/>
  <pageMargins left="0.25" right="0.25" top="0.75" bottom="0.5" header="0.3" footer="0.3"/>
  <pageSetup scale="52" fitToHeight="0" orientation="landscape" r:id="rId1"/>
  <headerFooter alignWithMargins="0">
    <oddFooter xml:space="preserve">&amp;LSUPPORTING SCHEDULES:&amp;RRECAP SCHEDULES:  </oddFooter>
  </headerFooter>
  <rowBreaks count="1" manualBreakCount="1">
    <brk id="4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V100"/>
  <sheetViews>
    <sheetView tabSelected="1" view="pageBreakPreview" topLeftCell="A61" zoomScale="80" zoomScaleNormal="100" zoomScaleSheetLayoutView="80" workbookViewId="0">
      <selection activeCell="C83" sqref="C83"/>
    </sheetView>
  </sheetViews>
  <sheetFormatPr defaultColWidth="9" defaultRowHeight="15" x14ac:dyDescent="0.2"/>
  <cols>
    <col min="1" max="1" width="12" style="2" customWidth="1"/>
    <col min="2" max="2" width="9" style="2"/>
    <col min="3" max="3" width="82.375" style="2" customWidth="1"/>
    <col min="4" max="4" width="39.625" style="2" customWidth="1"/>
    <col min="5" max="5" width="5.125" style="2" customWidth="1"/>
    <col min="6" max="6" width="42" style="2" customWidth="1"/>
    <col min="7" max="7" width="5.625" style="2" customWidth="1"/>
    <col min="8" max="8" width="12.125" style="13" customWidth="1"/>
    <col min="9" max="9" width="12.75" style="2" customWidth="1"/>
    <col min="10" max="10" width="10.875" style="2" customWidth="1"/>
    <col min="11" max="11" width="11.25" style="39" customWidth="1"/>
    <col min="12" max="12" width="23.25" style="2" customWidth="1"/>
    <col min="13" max="16384" width="9" style="2"/>
  </cols>
  <sheetData>
    <row r="1" spans="1:22" ht="15.75" thickBot="1" x14ac:dyDescent="0.25"/>
    <row r="2" spans="1:22" s="175" customFormat="1" x14ac:dyDescent="0.2">
      <c r="A2" s="161" t="s">
        <v>0</v>
      </c>
      <c r="B2" s="158"/>
      <c r="C2" s="159"/>
      <c r="D2" s="160" t="s">
        <v>232</v>
      </c>
      <c r="E2" s="160"/>
      <c r="F2" s="160"/>
      <c r="G2" s="161"/>
      <c r="H2" s="161"/>
      <c r="J2" s="161" t="s">
        <v>246</v>
      </c>
      <c r="K2" s="158"/>
    </row>
    <row r="3" spans="1:22" s="118" customFormat="1" x14ac:dyDescent="0.2">
      <c r="A3" s="75"/>
      <c r="B3" s="75"/>
      <c r="C3" s="279"/>
      <c r="D3" s="313"/>
      <c r="E3" s="313"/>
      <c r="F3" s="313"/>
      <c r="G3" s="138"/>
      <c r="H3" s="138"/>
      <c r="I3" s="138"/>
      <c r="J3" s="75"/>
      <c r="K3" s="75"/>
      <c r="L3" s="138"/>
    </row>
    <row r="4" spans="1:22" s="118" customFormat="1" x14ac:dyDescent="0.2">
      <c r="A4" s="112" t="s">
        <v>1</v>
      </c>
      <c r="B4" s="7"/>
      <c r="C4" s="15"/>
      <c r="D4" s="16" t="s">
        <v>20</v>
      </c>
      <c r="E4" s="16"/>
      <c r="F4" s="16"/>
      <c r="G4" s="112"/>
      <c r="H4" s="112"/>
      <c r="I4" s="119"/>
      <c r="J4" s="112" t="s">
        <v>233</v>
      </c>
      <c r="K4" s="17"/>
      <c r="L4" s="119"/>
      <c r="P4" s="106"/>
      <c r="V4" s="106"/>
    </row>
    <row r="5" spans="1:22" s="118" customFormat="1" x14ac:dyDescent="0.2">
      <c r="A5" s="7"/>
      <c r="B5" s="7"/>
      <c r="C5" s="15"/>
      <c r="D5" s="16" t="s">
        <v>242</v>
      </c>
      <c r="E5" s="16"/>
      <c r="F5" s="16"/>
      <c r="G5" s="112"/>
      <c r="H5" s="112"/>
      <c r="I5" s="119"/>
      <c r="J5" s="167" t="str">
        <f>+Input!B3</f>
        <v>HISTORIC BASE YEAR DATA:  12/31/19</v>
      </c>
      <c r="K5" s="16"/>
      <c r="L5" s="119"/>
      <c r="P5" s="108"/>
      <c r="V5" s="108"/>
    </row>
    <row r="6" spans="1:22" s="118" customFormat="1" x14ac:dyDescent="0.2">
      <c r="A6" s="112" t="s">
        <v>235</v>
      </c>
      <c r="B6" s="7"/>
      <c r="C6" s="15"/>
      <c r="D6" s="15"/>
      <c r="E6" s="15"/>
      <c r="F6" s="119"/>
      <c r="G6" s="119"/>
      <c r="H6" s="119"/>
      <c r="I6" s="119"/>
      <c r="J6" s="167" t="str">
        <f>+Input!B4</f>
        <v>WITNESS:  M. WHITAKER</v>
      </c>
      <c r="K6" s="17"/>
      <c r="L6" s="119"/>
      <c r="P6" s="108"/>
      <c r="V6" s="108"/>
    </row>
    <row r="7" spans="1:22" s="118" customFormat="1" x14ac:dyDescent="0.2">
      <c r="A7" s="7"/>
      <c r="B7" s="7"/>
      <c r="C7" s="15"/>
      <c r="D7" s="15"/>
      <c r="E7" s="15"/>
      <c r="F7" s="112"/>
      <c r="G7" s="112"/>
      <c r="H7" s="119"/>
      <c r="I7" s="41"/>
      <c r="J7" s="16"/>
      <c r="K7" s="17"/>
      <c r="L7" s="16"/>
    </row>
    <row r="8" spans="1:22" s="119" customFormat="1" x14ac:dyDescent="0.2">
      <c r="A8" s="112" t="str">
        <f>+Input!A2</f>
        <v>DOCKET NO.:  20200051-GU</v>
      </c>
      <c r="B8" s="121"/>
      <c r="C8" s="145"/>
      <c r="D8" s="145"/>
      <c r="E8" s="145"/>
      <c r="F8" s="16"/>
      <c r="G8" s="16"/>
      <c r="H8" s="16"/>
      <c r="I8" s="41"/>
      <c r="J8" s="16"/>
      <c r="K8" s="16"/>
      <c r="L8" s="16"/>
    </row>
    <row r="9" spans="1:22" s="118" customFormat="1" x14ac:dyDescent="0.2">
      <c r="A9" s="293"/>
      <c r="B9" s="289"/>
      <c r="C9" s="294"/>
      <c r="D9" s="294"/>
      <c r="E9" s="294"/>
      <c r="F9" s="295"/>
      <c r="G9" s="295"/>
      <c r="H9" s="295"/>
      <c r="I9" s="296"/>
      <c r="J9" s="295"/>
      <c r="K9" s="295"/>
      <c r="L9" s="295"/>
    </row>
    <row r="10" spans="1:22" s="118" customFormat="1" ht="45" x14ac:dyDescent="0.2">
      <c r="A10" s="277" t="s">
        <v>297</v>
      </c>
      <c r="B10" s="7"/>
      <c r="C10" s="112" t="s">
        <v>3</v>
      </c>
      <c r="D10" s="112"/>
      <c r="E10" s="112"/>
      <c r="F10" s="119"/>
      <c r="G10" s="119"/>
      <c r="H10" s="385" t="s">
        <v>4</v>
      </c>
      <c r="I10" s="385"/>
      <c r="J10" s="156" t="s">
        <v>40</v>
      </c>
      <c r="K10" s="144" t="s">
        <v>5</v>
      </c>
      <c r="L10" s="7"/>
    </row>
    <row r="11" spans="1:22" s="119" customFormat="1" x14ac:dyDescent="0.2">
      <c r="A11" s="288"/>
      <c r="B11" s="289"/>
      <c r="C11" s="294"/>
      <c r="D11" s="294"/>
      <c r="E11" s="294"/>
      <c r="F11" s="289"/>
      <c r="G11" s="289"/>
      <c r="H11" s="289"/>
      <c r="I11" s="290"/>
      <c r="J11" s="289"/>
      <c r="K11" s="290"/>
      <c r="L11" s="291"/>
    </row>
    <row r="12" spans="1:22" s="120" customFormat="1" x14ac:dyDescent="0.2">
      <c r="A12" s="277"/>
      <c r="B12" s="7"/>
      <c r="C12" s="14"/>
      <c r="D12" s="14"/>
      <c r="E12" s="14"/>
      <c r="H12" s="32"/>
      <c r="I12" s="7"/>
      <c r="J12" s="152"/>
      <c r="K12" s="153"/>
      <c r="L12" s="7"/>
      <c r="M12" s="7"/>
      <c r="N12" s="7"/>
      <c r="O12" s="7"/>
      <c r="P12" s="7"/>
    </row>
    <row r="13" spans="1:22" x14ac:dyDescent="0.2">
      <c r="A13" s="276">
        <v>1</v>
      </c>
      <c r="B13" s="31" t="s">
        <v>130</v>
      </c>
      <c r="C13" s="124"/>
      <c r="D13" s="124"/>
      <c r="E13" s="124"/>
      <c r="F13" s="11"/>
      <c r="G13" s="11"/>
      <c r="H13" s="49"/>
      <c r="I13" s="11"/>
      <c r="J13" s="49"/>
      <c r="K13" s="45"/>
      <c r="L13" s="7"/>
      <c r="M13" s="1"/>
      <c r="N13" s="1"/>
      <c r="O13" s="1"/>
      <c r="P13" s="1"/>
    </row>
    <row r="14" spans="1:22" x14ac:dyDescent="0.2">
      <c r="A14" s="276"/>
      <c r="B14" s="31"/>
      <c r="C14" s="11" t="s">
        <v>60</v>
      </c>
      <c r="D14" s="11"/>
      <c r="E14" s="11"/>
      <c r="F14" s="11"/>
      <c r="G14" s="11"/>
      <c r="H14" s="49"/>
      <c r="I14" s="11"/>
      <c r="J14" s="49"/>
      <c r="K14" s="45"/>
      <c r="L14" s="7"/>
      <c r="M14" s="1"/>
      <c r="N14" s="1"/>
      <c r="O14" s="1"/>
      <c r="P14" s="1"/>
    </row>
    <row r="15" spans="1:22" ht="25.5" customHeight="1" x14ac:dyDescent="0.2">
      <c r="A15" s="276"/>
      <c r="B15" s="31"/>
      <c r="C15" s="383" t="s">
        <v>230</v>
      </c>
      <c r="D15" s="383"/>
      <c r="E15" s="124"/>
      <c r="F15" s="124"/>
      <c r="G15" s="163"/>
      <c r="H15" s="49"/>
      <c r="I15" s="11"/>
      <c r="J15" s="49"/>
      <c r="K15" s="45"/>
      <c r="L15" s="7"/>
      <c r="M15" s="1"/>
      <c r="N15" s="1"/>
      <c r="O15" s="1"/>
      <c r="P15" s="1"/>
    </row>
    <row r="16" spans="1:22" ht="39.75" customHeight="1" x14ac:dyDescent="0.2">
      <c r="A16" s="276"/>
      <c r="B16" s="31"/>
      <c r="C16" s="388" t="s">
        <v>225</v>
      </c>
      <c r="D16" s="388"/>
      <c r="E16" s="215"/>
      <c r="F16" s="215"/>
      <c r="G16" s="216"/>
      <c r="H16" s="49">
        <v>40</v>
      </c>
      <c r="I16" s="11"/>
      <c r="J16" s="49"/>
      <c r="K16" s="45"/>
      <c r="L16" s="7"/>
      <c r="M16" s="1"/>
      <c r="N16" s="1"/>
      <c r="O16" s="1"/>
      <c r="P16" s="1"/>
    </row>
    <row r="17" spans="1:16" ht="45.75" customHeight="1" x14ac:dyDescent="0.2">
      <c r="A17" s="276"/>
      <c r="B17" s="31"/>
      <c r="C17" s="390" t="s">
        <v>227</v>
      </c>
      <c r="D17" s="390"/>
      <c r="E17" s="217"/>
      <c r="F17" s="217"/>
      <c r="G17" s="218"/>
      <c r="H17" s="49">
        <v>20</v>
      </c>
      <c r="I17" s="11"/>
      <c r="J17" s="49"/>
      <c r="K17" s="45"/>
      <c r="L17" s="7"/>
      <c r="M17" s="1"/>
      <c r="N17" s="1"/>
      <c r="O17" s="1"/>
      <c r="P17" s="1"/>
    </row>
    <row r="18" spans="1:16" ht="25.5" customHeight="1" x14ac:dyDescent="0.2">
      <c r="A18" s="276"/>
      <c r="B18" s="126"/>
      <c r="C18" s="124" t="s">
        <v>229</v>
      </c>
      <c r="D18" s="124"/>
      <c r="E18" s="124"/>
      <c r="F18" s="187"/>
      <c r="G18" s="187"/>
      <c r="H18" s="49">
        <v>60</v>
      </c>
      <c r="I18" s="11" t="s">
        <v>15</v>
      </c>
      <c r="J18" s="49">
        <v>28.58</v>
      </c>
      <c r="K18" s="45">
        <f>($J$18/60)*$H$18</f>
        <v>28.58</v>
      </c>
      <c r="L18" s="7"/>
      <c r="M18" s="1"/>
      <c r="N18" s="1"/>
      <c r="O18" s="1"/>
      <c r="P18" s="1"/>
    </row>
    <row r="19" spans="1:16" x14ac:dyDescent="0.2">
      <c r="A19" s="277"/>
      <c r="B19" s="7"/>
      <c r="C19" s="219"/>
      <c r="D19" s="219"/>
      <c r="E19" s="219"/>
      <c r="F19" s="220"/>
      <c r="G19" s="220"/>
      <c r="H19" s="99"/>
      <c r="I19" s="7"/>
      <c r="J19" s="49"/>
      <c r="K19" s="34"/>
      <c r="L19" s="7"/>
      <c r="M19" s="1"/>
      <c r="N19" s="1"/>
      <c r="O19" s="1"/>
      <c r="P19" s="1"/>
    </row>
    <row r="20" spans="1:16" x14ac:dyDescent="0.2">
      <c r="A20" s="277"/>
      <c r="B20" s="7"/>
      <c r="C20" s="11"/>
      <c r="D20" s="11"/>
      <c r="E20" s="11"/>
      <c r="F20" s="7"/>
      <c r="G20" s="7"/>
      <c r="H20" s="30"/>
      <c r="I20" s="7"/>
      <c r="J20" s="49"/>
      <c r="K20" s="34"/>
      <c r="L20" s="7"/>
      <c r="M20" s="1"/>
      <c r="N20" s="1"/>
      <c r="O20" s="1"/>
      <c r="P20" s="1"/>
    </row>
    <row r="21" spans="1:16" x14ac:dyDescent="0.2">
      <c r="A21" s="277">
        <v>2</v>
      </c>
      <c r="B21" s="7" t="s">
        <v>44</v>
      </c>
      <c r="C21" s="186"/>
      <c r="D21" s="186"/>
      <c r="E21" s="186"/>
      <c r="F21" s="7"/>
      <c r="G21" s="7"/>
      <c r="H21" s="30"/>
      <c r="I21" s="7"/>
      <c r="J21" s="30"/>
      <c r="K21" s="34"/>
      <c r="L21" s="7"/>
      <c r="M21" s="1"/>
      <c r="N21" s="1"/>
      <c r="O21" s="1"/>
      <c r="P21" s="1"/>
    </row>
    <row r="22" spans="1:16" s="10" customFormat="1" ht="25.5" customHeight="1" x14ac:dyDescent="0.2">
      <c r="A22" s="276"/>
      <c r="B22" s="11"/>
      <c r="C22" s="383" t="s">
        <v>226</v>
      </c>
      <c r="D22" s="383"/>
      <c r="E22" s="163"/>
      <c r="F22" s="124"/>
      <c r="G22" s="163"/>
      <c r="H22" s="49">
        <v>10</v>
      </c>
      <c r="I22" s="11" t="s">
        <v>15</v>
      </c>
      <c r="J22" s="49">
        <v>37.36</v>
      </c>
      <c r="K22" s="45">
        <f>($J$22/60)*$H$22</f>
        <v>6.2266666666666666</v>
      </c>
      <c r="L22" s="11"/>
      <c r="M22" s="8"/>
      <c r="N22" s="8"/>
      <c r="O22" s="8"/>
      <c r="P22" s="8"/>
    </row>
    <row r="23" spans="1:16" s="10" customFormat="1" ht="85.5" customHeight="1" x14ac:dyDescent="0.2">
      <c r="A23" s="276"/>
      <c r="B23" s="11"/>
      <c r="C23" s="383" t="s">
        <v>129</v>
      </c>
      <c r="D23" s="383"/>
      <c r="E23" s="163"/>
      <c r="F23" s="124"/>
      <c r="G23" s="163"/>
      <c r="H23" s="49">
        <f>2*0.32</f>
        <v>0.64</v>
      </c>
      <c r="I23" s="11" t="s">
        <v>15</v>
      </c>
      <c r="J23" s="49">
        <v>37.36</v>
      </c>
      <c r="K23" s="45">
        <f>($J$23/60)*$H$23</f>
        <v>0.39850666666666668</v>
      </c>
      <c r="L23" s="11"/>
      <c r="M23" s="8"/>
      <c r="N23" s="8"/>
      <c r="O23" s="8"/>
      <c r="P23" s="8"/>
    </row>
    <row r="24" spans="1:16" s="10" customFormat="1" x14ac:dyDescent="0.2">
      <c r="A24" s="276"/>
      <c r="B24" s="11"/>
      <c r="C24" s="163"/>
      <c r="D24" s="163"/>
      <c r="E24" s="163"/>
      <c r="F24" s="163"/>
      <c r="G24" s="163"/>
      <c r="H24" s="49"/>
      <c r="I24" s="11"/>
      <c r="J24" s="49"/>
      <c r="K24" s="45"/>
      <c r="L24" s="11"/>
      <c r="M24" s="8"/>
      <c r="N24" s="8"/>
      <c r="O24" s="8"/>
      <c r="P24" s="8"/>
    </row>
    <row r="25" spans="1:16" s="10" customFormat="1" ht="18" x14ac:dyDescent="0.2">
      <c r="A25" s="276"/>
      <c r="B25" s="126"/>
      <c r="C25" s="124" t="s">
        <v>127</v>
      </c>
      <c r="D25" s="124"/>
      <c r="E25" s="124"/>
      <c r="F25" s="187"/>
      <c r="G25" s="187"/>
      <c r="H25" s="187"/>
      <c r="I25" s="187"/>
      <c r="J25" s="187"/>
      <c r="K25" s="187"/>
      <c r="L25" s="11"/>
      <c r="M25" s="8"/>
      <c r="N25" s="8"/>
      <c r="O25" s="8"/>
      <c r="P25" s="8"/>
    </row>
    <row r="26" spans="1:16" x14ac:dyDescent="0.2">
      <c r="A26" s="277"/>
      <c r="B26" s="7"/>
      <c r="C26" s="7"/>
      <c r="D26" s="7"/>
      <c r="E26" s="7"/>
      <c r="F26" s="7"/>
      <c r="G26" s="7"/>
      <c r="H26" s="30"/>
      <c r="I26" s="7"/>
      <c r="J26" s="133"/>
      <c r="K26" s="134"/>
      <c r="L26" s="7"/>
      <c r="M26" s="1"/>
      <c r="N26" s="1"/>
      <c r="O26" s="1"/>
      <c r="P26" s="1"/>
    </row>
    <row r="27" spans="1:16" x14ac:dyDescent="0.2">
      <c r="A27" s="277">
        <v>3</v>
      </c>
      <c r="B27" s="7" t="s">
        <v>48</v>
      </c>
      <c r="C27" s="15"/>
      <c r="D27" s="15"/>
      <c r="E27" s="15"/>
      <c r="F27" s="7"/>
      <c r="G27" s="7"/>
      <c r="H27" s="30"/>
      <c r="I27" s="7"/>
      <c r="J27" s="133"/>
      <c r="K27" s="134"/>
      <c r="L27" s="7"/>
      <c r="M27" s="1"/>
      <c r="N27" s="1"/>
      <c r="O27" s="1"/>
      <c r="P27" s="1"/>
    </row>
    <row r="28" spans="1:16" s="10" customFormat="1" ht="45" customHeight="1" x14ac:dyDescent="0.2">
      <c r="A28" s="276"/>
      <c r="B28" s="11"/>
      <c r="C28" s="383" t="s">
        <v>291</v>
      </c>
      <c r="D28" s="383"/>
      <c r="E28" s="163"/>
      <c r="F28" s="124"/>
      <c r="G28" s="163"/>
      <c r="H28" s="49"/>
      <c r="I28" s="11"/>
      <c r="J28" s="188"/>
      <c r="K28" s="195"/>
      <c r="L28" s="11"/>
      <c r="M28" s="8"/>
      <c r="N28" s="8"/>
      <c r="O28" s="8"/>
      <c r="P28" s="8"/>
    </row>
    <row r="29" spans="1:16" s="10" customFormat="1" x14ac:dyDescent="0.2">
      <c r="A29" s="276"/>
      <c r="B29" s="11"/>
      <c r="C29" s="163"/>
      <c r="D29" s="163"/>
      <c r="E29" s="163"/>
      <c r="F29" s="124"/>
      <c r="G29" s="163"/>
      <c r="H29" s="49"/>
      <c r="I29" s="11"/>
      <c r="J29" s="188"/>
      <c r="K29" s="195"/>
      <c r="L29" s="11"/>
      <c r="M29" s="8"/>
      <c r="N29" s="8"/>
      <c r="O29" s="8"/>
      <c r="P29" s="8"/>
    </row>
    <row r="30" spans="1:16" s="10" customFormat="1" ht="18" x14ac:dyDescent="0.2">
      <c r="A30" s="11"/>
      <c r="B30" s="126"/>
      <c r="C30" s="124" t="s">
        <v>173</v>
      </c>
      <c r="D30" s="124"/>
      <c r="E30" s="124"/>
      <c r="F30" s="11"/>
      <c r="G30" s="11"/>
      <c r="H30" s="49">
        <v>3</v>
      </c>
      <c r="I30" s="11" t="s">
        <v>15</v>
      </c>
      <c r="J30" s="49">
        <v>43.34</v>
      </c>
      <c r="K30" s="45">
        <f>($J$30/60)*$H$30</f>
        <v>2.1670000000000003</v>
      </c>
      <c r="L30" s="11"/>
      <c r="M30" s="8"/>
      <c r="N30" s="8"/>
      <c r="O30" s="8"/>
      <c r="P30" s="8"/>
    </row>
    <row r="31" spans="1:16" s="10" customFormat="1" ht="18" x14ac:dyDescent="0.2">
      <c r="A31" s="11"/>
      <c r="B31" s="126"/>
      <c r="C31" s="124"/>
      <c r="D31" s="124"/>
      <c r="E31" s="124"/>
      <c r="F31" s="11"/>
      <c r="G31" s="11"/>
      <c r="H31" s="49"/>
      <c r="I31" s="11"/>
      <c r="J31" s="49"/>
      <c r="K31" s="45"/>
      <c r="L31" s="11"/>
      <c r="M31" s="8"/>
      <c r="N31" s="8"/>
      <c r="O31" s="8"/>
      <c r="P31" s="8"/>
    </row>
    <row r="32" spans="1:16" s="10" customFormat="1" ht="18" x14ac:dyDescent="0.2">
      <c r="A32" s="11"/>
      <c r="B32" s="126"/>
      <c r="C32" s="124"/>
      <c r="D32" s="124"/>
      <c r="E32" s="124"/>
      <c r="F32" s="11"/>
      <c r="G32" s="11"/>
      <c r="H32" s="49"/>
      <c r="I32" s="11"/>
      <c r="J32" s="49"/>
      <c r="K32" s="45"/>
      <c r="L32" s="11"/>
      <c r="M32" s="8"/>
      <c r="N32" s="8"/>
      <c r="O32" s="8"/>
      <c r="P32" s="8"/>
    </row>
    <row r="33" spans="1:22" s="10" customFormat="1" ht="18" x14ac:dyDescent="0.2">
      <c r="A33" s="11"/>
      <c r="B33" s="126"/>
      <c r="C33" s="124"/>
      <c r="D33" s="124"/>
      <c r="E33" s="124"/>
      <c r="F33" s="11"/>
      <c r="G33" s="11"/>
      <c r="H33" s="49"/>
      <c r="I33" s="11"/>
      <c r="J33" s="49"/>
      <c r="K33" s="45"/>
      <c r="L33" s="11"/>
      <c r="M33" s="8"/>
      <c r="N33" s="8"/>
      <c r="O33" s="8"/>
      <c r="P33" s="8"/>
    </row>
    <row r="34" spans="1:22" s="10" customFormat="1" ht="18" x14ac:dyDescent="0.2">
      <c r="A34" s="11"/>
      <c r="B34" s="126"/>
      <c r="C34" s="124"/>
      <c r="D34" s="124"/>
      <c r="E34" s="124"/>
      <c r="F34" s="11"/>
      <c r="G34" s="11"/>
      <c r="H34" s="49"/>
      <c r="I34" s="11"/>
      <c r="J34" s="49"/>
      <c r="K34" s="45"/>
      <c r="L34" s="11"/>
      <c r="M34" s="8"/>
      <c r="N34" s="8"/>
      <c r="O34" s="8"/>
      <c r="P34" s="8"/>
    </row>
    <row r="35" spans="1:22" s="10" customFormat="1" ht="18" x14ac:dyDescent="0.2">
      <c r="A35" s="11"/>
      <c r="B35" s="126"/>
      <c r="C35" s="124"/>
      <c r="D35" s="124"/>
      <c r="E35" s="124"/>
      <c r="F35" s="11"/>
      <c r="G35" s="11"/>
      <c r="H35" s="49"/>
      <c r="I35" s="11"/>
      <c r="J35" s="49"/>
      <c r="K35" s="45"/>
      <c r="L35" s="11"/>
      <c r="M35" s="8"/>
      <c r="N35" s="8"/>
      <c r="O35" s="8"/>
      <c r="P35" s="8"/>
    </row>
    <row r="36" spans="1:22" s="10" customFormat="1" ht="18" x14ac:dyDescent="0.2">
      <c r="A36" s="11"/>
      <c r="B36" s="126"/>
      <c r="C36" s="124"/>
      <c r="D36" s="124"/>
      <c r="E36" s="124"/>
      <c r="F36" s="11"/>
      <c r="G36" s="11"/>
      <c r="H36" s="49"/>
      <c r="I36" s="11"/>
      <c r="J36" s="49"/>
      <c r="K36" s="45"/>
      <c r="L36" s="11"/>
      <c r="M36" s="8"/>
      <c r="N36" s="8"/>
      <c r="O36" s="8"/>
      <c r="P36" s="8"/>
    </row>
    <row r="37" spans="1:22" s="358" customFormat="1" ht="18" x14ac:dyDescent="0.2">
      <c r="A37" s="284"/>
      <c r="B37" s="353"/>
      <c r="C37" s="354"/>
      <c r="D37" s="354"/>
      <c r="E37" s="354"/>
      <c r="F37" s="284"/>
      <c r="G37" s="284"/>
      <c r="H37" s="355"/>
      <c r="I37" s="284"/>
      <c r="J37" s="355"/>
      <c r="K37" s="356"/>
      <c r="L37" s="284"/>
      <c r="M37" s="284"/>
      <c r="N37" s="284"/>
      <c r="O37" s="284"/>
      <c r="P37" s="284"/>
    </row>
    <row r="38" spans="1:22" s="363" customFormat="1" x14ac:dyDescent="0.2">
      <c r="A38" s="292"/>
      <c r="B38" s="292"/>
      <c r="C38" s="359"/>
      <c r="D38" s="359"/>
      <c r="E38" s="359"/>
      <c r="F38" s="292"/>
      <c r="G38" s="292"/>
      <c r="H38" s="360"/>
      <c r="I38" s="292"/>
      <c r="J38" s="361"/>
      <c r="K38" s="362"/>
      <c r="L38" s="292"/>
      <c r="M38" s="292"/>
      <c r="N38" s="292"/>
      <c r="O38" s="292"/>
      <c r="P38" s="292"/>
    </row>
    <row r="39" spans="1:22" s="119" customFormat="1" x14ac:dyDescent="0.2">
      <c r="A39" s="271" t="s">
        <v>0</v>
      </c>
      <c r="B39" s="7"/>
      <c r="C39" s="105"/>
      <c r="D39" s="16" t="s">
        <v>232</v>
      </c>
      <c r="E39" s="16"/>
      <c r="F39" s="16"/>
      <c r="G39" s="105"/>
      <c r="H39" s="105"/>
      <c r="I39" s="105"/>
      <c r="J39" s="271" t="s">
        <v>247</v>
      </c>
    </row>
    <row r="40" spans="1:22" s="118" customFormat="1" x14ac:dyDescent="0.2">
      <c r="A40" s="75"/>
      <c r="B40" s="75"/>
      <c r="C40" s="282"/>
      <c r="D40" s="313"/>
      <c r="E40" s="313"/>
      <c r="F40" s="313"/>
      <c r="G40" s="282"/>
      <c r="H40" s="282"/>
      <c r="I40" s="315"/>
      <c r="J40" s="75"/>
      <c r="K40" s="138"/>
      <c r="L40" s="138"/>
    </row>
    <row r="41" spans="1:22" s="118" customFormat="1" x14ac:dyDescent="0.2">
      <c r="A41" s="112" t="s">
        <v>1</v>
      </c>
      <c r="B41" s="7"/>
      <c r="C41" s="105"/>
      <c r="D41" s="16" t="s">
        <v>20</v>
      </c>
      <c r="E41" s="16"/>
      <c r="F41" s="16"/>
      <c r="G41" s="105"/>
      <c r="H41" s="105"/>
      <c r="I41" s="255"/>
      <c r="J41" s="112" t="s">
        <v>233</v>
      </c>
      <c r="K41" s="119"/>
      <c r="L41" s="119"/>
      <c r="P41" s="106"/>
      <c r="V41" s="106"/>
    </row>
    <row r="42" spans="1:22" s="118" customFormat="1" x14ac:dyDescent="0.2">
      <c r="A42" s="7"/>
      <c r="B42" s="7"/>
      <c r="C42" s="105"/>
      <c r="D42" s="16" t="s">
        <v>242</v>
      </c>
      <c r="E42" s="16"/>
      <c r="F42" s="16"/>
      <c r="G42" s="105"/>
      <c r="H42" s="105"/>
      <c r="I42" s="255"/>
      <c r="J42" s="167" t="str">
        <f>+J5</f>
        <v>HISTORIC BASE YEAR DATA:  12/31/19</v>
      </c>
      <c r="K42" s="119"/>
      <c r="L42" s="119"/>
      <c r="P42" s="108"/>
      <c r="V42" s="108"/>
    </row>
    <row r="43" spans="1:22" s="118" customFormat="1" x14ac:dyDescent="0.2">
      <c r="A43" s="112" t="s">
        <v>235</v>
      </c>
      <c r="B43" s="7"/>
      <c r="C43" s="15"/>
      <c r="D43" s="15"/>
      <c r="E43" s="15"/>
      <c r="F43" s="119"/>
      <c r="G43" s="119"/>
      <c r="H43" s="119"/>
      <c r="I43" s="119"/>
      <c r="J43" s="167" t="str">
        <f>+J6</f>
        <v>WITNESS:  M. WHITAKER</v>
      </c>
      <c r="K43" s="119"/>
      <c r="L43" s="119"/>
      <c r="P43" s="108"/>
      <c r="V43" s="108"/>
    </row>
    <row r="44" spans="1:22" s="118" customFormat="1" x14ac:dyDescent="0.2">
      <c r="A44" s="7"/>
      <c r="B44" s="7"/>
      <c r="C44" s="15"/>
      <c r="D44" s="15"/>
      <c r="E44" s="15"/>
      <c r="F44" s="112"/>
      <c r="G44" s="112"/>
      <c r="H44" s="119"/>
      <c r="I44" s="41"/>
      <c r="J44" s="16"/>
      <c r="K44" s="17"/>
      <c r="L44" s="16"/>
    </row>
    <row r="45" spans="1:22" s="119" customFormat="1" x14ac:dyDescent="0.2">
      <c r="A45" s="271" t="str">
        <f>+Input!A2</f>
        <v>DOCKET NO.:  20200051-GU</v>
      </c>
      <c r="B45" s="121"/>
      <c r="C45" s="145"/>
      <c r="D45" s="145"/>
      <c r="E45" s="145"/>
      <c r="F45" s="16"/>
      <c r="G45" s="16"/>
      <c r="H45" s="16"/>
      <c r="I45" s="41"/>
      <c r="J45" s="16"/>
      <c r="K45" s="16"/>
      <c r="L45" s="16"/>
    </row>
    <row r="46" spans="1:22" s="119" customFormat="1" x14ac:dyDescent="0.2">
      <c r="A46" s="293"/>
      <c r="B46" s="289"/>
      <c r="C46" s="294"/>
      <c r="D46" s="294"/>
      <c r="E46" s="294"/>
      <c r="F46" s="295"/>
      <c r="G46" s="295"/>
      <c r="H46" s="295"/>
      <c r="I46" s="296"/>
      <c r="J46" s="295"/>
      <c r="K46" s="295"/>
      <c r="L46" s="295"/>
    </row>
    <row r="47" spans="1:22" s="138" customFormat="1" ht="45" x14ac:dyDescent="0.2">
      <c r="A47" s="275" t="s">
        <v>297</v>
      </c>
      <c r="B47" s="111"/>
      <c r="C47" s="267" t="s">
        <v>3</v>
      </c>
      <c r="D47" s="267"/>
      <c r="E47" s="267"/>
      <c r="H47" s="389" t="s">
        <v>4</v>
      </c>
      <c r="I47" s="389"/>
      <c r="J47" s="154" t="s">
        <v>40</v>
      </c>
      <c r="K47" s="147" t="s">
        <v>5</v>
      </c>
      <c r="L47" s="111"/>
    </row>
    <row r="48" spans="1:22" s="118" customFormat="1" x14ac:dyDescent="0.2">
      <c r="A48" s="277"/>
      <c r="B48" s="121"/>
      <c r="C48" s="145"/>
      <c r="D48" s="145"/>
      <c r="E48" s="145"/>
      <c r="F48" s="121"/>
      <c r="G48" s="121"/>
      <c r="H48" s="121"/>
      <c r="I48" s="149"/>
      <c r="J48" s="149"/>
      <c r="K48" s="150"/>
      <c r="L48" s="121"/>
    </row>
    <row r="49" spans="1:16" s="119" customFormat="1" x14ac:dyDescent="0.2">
      <c r="A49" s="277"/>
      <c r="B49" s="121"/>
      <c r="C49" s="145"/>
      <c r="D49" s="145"/>
      <c r="E49" s="145"/>
      <c r="F49" s="121"/>
      <c r="G49" s="121"/>
      <c r="H49" s="121"/>
      <c r="I49" s="149"/>
      <c r="J49" s="149"/>
      <c r="K49" s="150"/>
      <c r="L49" s="121"/>
    </row>
    <row r="50" spans="1:16" s="120" customFormat="1" x14ac:dyDescent="0.2">
      <c r="A50" s="277">
        <v>4</v>
      </c>
      <c r="B50" s="14" t="s">
        <v>6</v>
      </c>
      <c r="C50" s="15"/>
      <c r="D50" s="15"/>
      <c r="E50" s="15"/>
      <c r="F50" s="7"/>
      <c r="G50" s="7"/>
      <c r="H50" s="30"/>
      <c r="I50" s="7"/>
      <c r="J50" s="30"/>
      <c r="K50" s="194"/>
      <c r="L50" s="7"/>
      <c r="M50" s="7"/>
      <c r="N50" s="7"/>
      <c r="O50" s="7"/>
      <c r="P50" s="7"/>
    </row>
    <row r="51" spans="1:16" s="187" customFormat="1" ht="18" x14ac:dyDescent="0.2">
      <c r="A51" s="276"/>
      <c r="B51" s="7" t="s">
        <v>41</v>
      </c>
      <c r="C51" s="66" t="s">
        <v>47</v>
      </c>
      <c r="D51" s="66"/>
      <c r="E51" s="66"/>
      <c r="F51" s="126"/>
      <c r="G51" s="126"/>
      <c r="H51" s="49">
        <v>22</v>
      </c>
      <c r="K51" s="195"/>
      <c r="L51" s="11"/>
      <c r="M51" s="11"/>
      <c r="N51" s="11"/>
      <c r="O51" s="11"/>
      <c r="P51" s="11"/>
    </row>
    <row r="52" spans="1:16" s="10" customFormat="1" ht="107.25" customHeight="1" x14ac:dyDescent="0.2">
      <c r="A52" s="276"/>
      <c r="B52" s="11" t="s">
        <v>42</v>
      </c>
      <c r="C52" s="383" t="s">
        <v>172</v>
      </c>
      <c r="D52" s="383"/>
      <c r="E52" s="124"/>
      <c r="F52" s="124"/>
      <c r="G52" s="163"/>
      <c r="H52" s="49">
        <v>43</v>
      </c>
      <c r="I52" s="11"/>
      <c r="J52" s="49"/>
      <c r="K52" s="44"/>
      <c r="L52" s="11"/>
      <c r="M52" s="8"/>
      <c r="N52" s="8"/>
      <c r="O52" s="8"/>
      <c r="P52" s="8"/>
    </row>
    <row r="53" spans="1:16" s="10" customFormat="1" ht="18" x14ac:dyDescent="0.2">
      <c r="A53" s="276"/>
      <c r="B53" s="11" t="s">
        <v>46</v>
      </c>
      <c r="C53" s="163" t="s">
        <v>103</v>
      </c>
      <c r="D53" s="163"/>
      <c r="E53" s="163"/>
      <c r="F53" s="126"/>
      <c r="G53" s="126"/>
      <c r="H53" s="49">
        <f>24*0.06</f>
        <v>1.44</v>
      </c>
      <c r="I53" s="11"/>
      <c r="J53" s="49"/>
      <c r="K53" s="44"/>
      <c r="L53" s="11"/>
      <c r="M53" s="8"/>
      <c r="N53" s="8"/>
      <c r="O53" s="8"/>
      <c r="P53" s="8"/>
    </row>
    <row r="54" spans="1:16" s="187" customFormat="1" ht="18" x14ac:dyDescent="0.2">
      <c r="A54" s="276"/>
      <c r="B54" s="11" t="s">
        <v>45</v>
      </c>
      <c r="C54" s="252" t="s">
        <v>102</v>
      </c>
      <c r="D54" s="252"/>
      <c r="E54" s="252"/>
      <c r="F54" s="126"/>
      <c r="G54" s="126"/>
      <c r="H54" s="49">
        <f>27*0.04</f>
        <v>1.08</v>
      </c>
      <c r="K54" s="195"/>
      <c r="L54" s="11"/>
      <c r="M54" s="11"/>
      <c r="N54" s="11"/>
      <c r="O54" s="11"/>
      <c r="P54" s="11"/>
    </row>
    <row r="55" spans="1:16" s="10" customFormat="1" x14ac:dyDescent="0.2">
      <c r="A55" s="276"/>
      <c r="B55" s="11" t="s">
        <v>49</v>
      </c>
      <c r="C55" s="124" t="s">
        <v>101</v>
      </c>
      <c r="D55" s="124"/>
      <c r="E55" s="124"/>
      <c r="F55" s="11" t="s">
        <v>80</v>
      </c>
      <c r="G55" s="11"/>
      <c r="H55" s="188"/>
      <c r="I55" s="187"/>
      <c r="J55" s="187"/>
      <c r="K55" s="195"/>
      <c r="L55" s="11"/>
      <c r="M55" s="8"/>
      <c r="N55" s="8"/>
      <c r="O55" s="8"/>
      <c r="P55" s="8"/>
    </row>
    <row r="56" spans="1:16" s="10" customFormat="1" x14ac:dyDescent="0.2">
      <c r="A56" s="276"/>
      <c r="B56" s="11" t="s">
        <v>50</v>
      </c>
      <c r="C56" s="124" t="s">
        <v>100</v>
      </c>
      <c r="D56" s="124"/>
      <c r="E56" s="124"/>
      <c r="F56" s="11" t="s">
        <v>80</v>
      </c>
      <c r="G56" s="11"/>
      <c r="H56" s="188"/>
      <c r="I56" s="187"/>
      <c r="J56" s="187"/>
      <c r="K56" s="195"/>
      <c r="L56" s="11"/>
      <c r="M56" s="8"/>
      <c r="N56" s="8"/>
      <c r="O56" s="8"/>
      <c r="P56" s="8"/>
    </row>
    <row r="57" spans="1:16" s="10" customFormat="1" x14ac:dyDescent="0.2">
      <c r="A57" s="276"/>
      <c r="B57" s="11" t="s">
        <v>51</v>
      </c>
      <c r="C57" s="124" t="s">
        <v>54</v>
      </c>
      <c r="D57" s="124"/>
      <c r="E57" s="124"/>
      <c r="F57" s="11" t="s">
        <v>80</v>
      </c>
      <c r="G57" s="11"/>
      <c r="H57" s="49"/>
      <c r="I57" s="11"/>
      <c r="J57" s="49"/>
      <c r="K57" s="44"/>
      <c r="L57" s="11"/>
      <c r="M57" s="8"/>
      <c r="N57" s="8"/>
      <c r="O57" s="8"/>
      <c r="P57" s="8"/>
    </row>
    <row r="58" spans="1:16" s="10" customFormat="1" x14ac:dyDescent="0.2">
      <c r="A58" s="276"/>
      <c r="B58" s="11"/>
      <c r="C58" s="252"/>
      <c r="D58" s="252"/>
      <c r="E58" s="252"/>
      <c r="F58" s="11"/>
      <c r="G58" s="11"/>
      <c r="H58" s="49"/>
      <c r="I58" s="11"/>
      <c r="J58" s="49"/>
      <c r="K58" s="44"/>
      <c r="L58" s="11"/>
      <c r="M58" s="8"/>
      <c r="N58" s="8"/>
      <c r="O58" s="8"/>
      <c r="P58" s="8"/>
    </row>
    <row r="59" spans="1:16" s="187" customFormat="1" ht="18" x14ac:dyDescent="0.2">
      <c r="A59" s="276"/>
      <c r="B59" s="126"/>
      <c r="C59" s="124" t="s">
        <v>173</v>
      </c>
      <c r="D59" s="124"/>
      <c r="E59" s="124"/>
      <c r="F59" s="11"/>
      <c r="G59" s="11"/>
      <c r="H59" s="49">
        <f>SUM($H$51:$H$58)</f>
        <v>67.52</v>
      </c>
      <c r="I59" s="11" t="s">
        <v>15</v>
      </c>
      <c r="J59" s="49">
        <v>43.34</v>
      </c>
      <c r="K59" s="45">
        <f>($J$59/60)*$H$59</f>
        <v>48.771946666666665</v>
      </c>
      <c r="L59" s="11"/>
      <c r="M59" s="11"/>
      <c r="N59" s="11"/>
      <c r="O59" s="11"/>
      <c r="P59" s="11"/>
    </row>
    <row r="60" spans="1:16" x14ac:dyDescent="0.2">
      <c r="A60" s="277"/>
      <c r="B60" s="7"/>
      <c r="C60" s="15"/>
      <c r="D60" s="15"/>
      <c r="E60" s="15"/>
      <c r="F60" s="7"/>
      <c r="G60" s="7"/>
      <c r="H60" s="30"/>
      <c r="I60" s="7"/>
      <c r="J60" s="30"/>
      <c r="K60" s="194"/>
      <c r="L60" s="7"/>
      <c r="M60" s="1"/>
      <c r="N60" s="1"/>
      <c r="O60" s="1"/>
      <c r="P60" s="1"/>
    </row>
    <row r="61" spans="1:16" x14ac:dyDescent="0.2">
      <c r="A61" s="277">
        <v>5</v>
      </c>
      <c r="B61" s="14" t="s">
        <v>7</v>
      </c>
      <c r="C61" s="15"/>
      <c r="D61" s="15"/>
      <c r="E61" s="15"/>
      <c r="F61" s="7"/>
      <c r="G61" s="7"/>
      <c r="H61" s="30"/>
      <c r="I61" s="7"/>
      <c r="J61" s="30"/>
      <c r="K61" s="194"/>
      <c r="L61" s="7"/>
      <c r="M61" s="1"/>
      <c r="N61" s="1"/>
      <c r="O61" s="1"/>
      <c r="P61" s="1"/>
    </row>
    <row r="62" spans="1:16" x14ac:dyDescent="0.2">
      <c r="A62" s="277"/>
      <c r="B62" s="14"/>
      <c r="C62" s="124" t="s">
        <v>107</v>
      </c>
      <c r="D62" s="124"/>
      <c r="E62" s="124"/>
      <c r="F62" s="120"/>
      <c r="G62" s="120"/>
      <c r="H62" s="30"/>
      <c r="I62" s="7"/>
      <c r="J62" s="30"/>
      <c r="K62" s="44">
        <v>0.12</v>
      </c>
      <c r="L62" s="7"/>
      <c r="M62" s="1"/>
      <c r="N62" s="1"/>
      <c r="O62" s="1"/>
      <c r="P62" s="1"/>
    </row>
    <row r="63" spans="1:16" x14ac:dyDescent="0.2">
      <c r="A63" s="277"/>
      <c r="B63" s="14"/>
      <c r="C63" s="124" t="s">
        <v>124</v>
      </c>
      <c r="D63" s="124"/>
      <c r="E63" s="124"/>
      <c r="F63" s="237"/>
      <c r="G63" s="237"/>
      <c r="H63" s="30"/>
      <c r="I63" s="7"/>
      <c r="J63" s="30"/>
      <c r="K63" s="44">
        <v>0.67</v>
      </c>
      <c r="L63" s="7"/>
      <c r="M63" s="1"/>
      <c r="N63" s="1"/>
      <c r="O63" s="1"/>
      <c r="P63" s="1"/>
    </row>
    <row r="64" spans="1:16" x14ac:dyDescent="0.2">
      <c r="A64" s="277"/>
      <c r="B64" s="14"/>
      <c r="C64" s="124" t="s">
        <v>108</v>
      </c>
      <c r="D64" s="124"/>
      <c r="E64" s="124"/>
      <c r="F64" s="237"/>
      <c r="G64" s="237"/>
      <c r="H64" s="30"/>
      <c r="I64" s="7"/>
      <c r="J64" s="30"/>
      <c r="K64" s="44">
        <v>0.65</v>
      </c>
      <c r="L64" s="7"/>
      <c r="M64" s="1"/>
      <c r="N64" s="1"/>
      <c r="O64" s="1"/>
      <c r="P64" s="1"/>
    </row>
    <row r="65" spans="1:16" x14ac:dyDescent="0.2">
      <c r="A65" s="277"/>
      <c r="B65" s="14"/>
      <c r="C65" s="124" t="s">
        <v>109</v>
      </c>
      <c r="D65" s="124"/>
      <c r="E65" s="124"/>
      <c r="F65" s="120"/>
      <c r="G65" s="120"/>
      <c r="H65" s="30"/>
      <c r="I65" s="7"/>
      <c r="J65" s="30"/>
      <c r="K65" s="44">
        <v>0.02</v>
      </c>
      <c r="L65" s="7"/>
      <c r="M65" s="1"/>
      <c r="N65" s="1"/>
      <c r="O65" s="1"/>
      <c r="P65" s="1"/>
    </row>
    <row r="66" spans="1:16" x14ac:dyDescent="0.2">
      <c r="A66" s="277"/>
      <c r="B66" s="14"/>
      <c r="C66" s="124" t="s">
        <v>112</v>
      </c>
      <c r="D66" s="124"/>
      <c r="E66" s="124"/>
      <c r="F66" s="120"/>
      <c r="G66" s="120"/>
      <c r="H66" s="30"/>
      <c r="I66" s="7"/>
      <c r="J66" s="30"/>
      <c r="K66" s="44">
        <v>0.57999999999999996</v>
      </c>
      <c r="L66" s="7"/>
      <c r="M66" s="1"/>
      <c r="N66" s="1"/>
      <c r="O66" s="1"/>
      <c r="P66" s="1"/>
    </row>
    <row r="67" spans="1:16" x14ac:dyDescent="0.2">
      <c r="A67" s="277"/>
      <c r="B67" s="14"/>
      <c r="C67" s="124" t="s">
        <v>113</v>
      </c>
      <c r="D67" s="124"/>
      <c r="E67" s="124"/>
      <c r="F67" s="120"/>
      <c r="G67" s="120"/>
      <c r="H67" s="30"/>
      <c r="I67" s="7"/>
      <c r="J67" s="30"/>
      <c r="K67" s="44">
        <v>0.14000000000000001</v>
      </c>
      <c r="L67" s="7"/>
      <c r="M67" s="1"/>
      <c r="N67" s="1"/>
      <c r="O67" s="1"/>
      <c r="P67" s="1"/>
    </row>
    <row r="68" spans="1:16" x14ac:dyDescent="0.2">
      <c r="A68" s="277"/>
      <c r="B68" s="14"/>
      <c r="C68" s="124" t="s">
        <v>111</v>
      </c>
      <c r="D68" s="124"/>
      <c r="E68" s="124"/>
      <c r="F68" s="120"/>
      <c r="G68" s="120"/>
      <c r="H68" s="30"/>
      <c r="I68" s="7"/>
      <c r="J68" s="30"/>
      <c r="K68" s="44">
        <v>0.01</v>
      </c>
      <c r="L68" s="7"/>
      <c r="M68" s="1"/>
      <c r="N68" s="1"/>
      <c r="O68" s="1"/>
      <c r="P68" s="1"/>
    </row>
    <row r="69" spans="1:16" x14ac:dyDescent="0.2">
      <c r="A69" s="277"/>
      <c r="B69" s="14"/>
      <c r="C69" s="124" t="s">
        <v>126</v>
      </c>
      <c r="D69" s="124"/>
      <c r="E69" s="124"/>
      <c r="F69" s="120"/>
      <c r="G69" s="120"/>
      <c r="H69" s="30"/>
      <c r="I69" s="7"/>
      <c r="J69" s="30"/>
      <c r="K69" s="44">
        <v>3.03</v>
      </c>
      <c r="L69" s="30"/>
      <c r="M69" s="1"/>
      <c r="N69" s="1"/>
      <c r="O69" s="1"/>
      <c r="P69" s="1"/>
    </row>
    <row r="70" spans="1:16" s="10" customFormat="1" x14ac:dyDescent="0.2">
      <c r="A70" s="276"/>
      <c r="B70" s="11"/>
      <c r="C70" s="124"/>
      <c r="D70" s="124"/>
      <c r="E70" s="124"/>
      <c r="F70" s="11"/>
      <c r="G70" s="11"/>
      <c r="H70" s="49"/>
      <c r="I70" s="11"/>
      <c r="J70" s="49"/>
      <c r="K70" s="44"/>
      <c r="L70" s="11"/>
      <c r="M70" s="8"/>
      <c r="N70" s="8"/>
      <c r="O70" s="8"/>
      <c r="P70" s="8"/>
    </row>
    <row r="71" spans="1:16" x14ac:dyDescent="0.2">
      <c r="A71" s="276">
        <v>6</v>
      </c>
      <c r="B71" s="31" t="s">
        <v>8</v>
      </c>
      <c r="C71" s="124"/>
      <c r="D71" s="124"/>
      <c r="E71" s="124"/>
      <c r="F71" s="11"/>
      <c r="G71" s="11"/>
      <c r="H71" s="49"/>
      <c r="I71" s="11"/>
      <c r="J71" s="49"/>
      <c r="K71" s="44"/>
      <c r="L71" s="11"/>
      <c r="M71" s="1"/>
      <c r="N71" s="1"/>
      <c r="O71" s="1"/>
      <c r="P71" s="1"/>
    </row>
    <row r="72" spans="1:16" x14ac:dyDescent="0.2">
      <c r="A72" s="276"/>
      <c r="B72" s="31" t="s">
        <v>41</v>
      </c>
      <c r="C72" s="124" t="s">
        <v>73</v>
      </c>
      <c r="D72" s="124"/>
      <c r="E72" s="124"/>
      <c r="F72" s="124"/>
      <c r="G72" s="163"/>
      <c r="H72" s="49"/>
      <c r="I72" s="11"/>
      <c r="J72" s="49"/>
      <c r="K72" s="44"/>
      <c r="L72" s="11"/>
      <c r="M72" s="1"/>
      <c r="N72" s="1"/>
      <c r="O72" s="1"/>
      <c r="P72" s="1"/>
    </row>
    <row r="73" spans="1:16" s="10" customFormat="1" x14ac:dyDescent="0.2">
      <c r="A73" s="276"/>
      <c r="B73" s="31" t="s">
        <v>42</v>
      </c>
      <c r="C73" s="238" t="s">
        <v>142</v>
      </c>
      <c r="D73" s="238"/>
      <c r="E73" s="238"/>
      <c r="F73" s="238"/>
      <c r="G73" s="66"/>
      <c r="H73" s="49"/>
      <c r="I73" s="11"/>
      <c r="J73" s="49"/>
      <c r="K73" s="44">
        <f>$H$59*(4.9/60)</f>
        <v>5.5141333333333336</v>
      </c>
      <c r="L73" s="11"/>
      <c r="M73" s="8"/>
      <c r="N73" s="8"/>
      <c r="O73" s="8"/>
      <c r="P73" s="8"/>
    </row>
    <row r="74" spans="1:16" x14ac:dyDescent="0.2">
      <c r="A74" s="276"/>
      <c r="B74" s="11"/>
      <c r="C74" s="66"/>
      <c r="D74" s="66"/>
      <c r="E74" s="66"/>
      <c r="F74" s="11"/>
      <c r="G74" s="11"/>
      <c r="H74" s="49"/>
      <c r="I74" s="11"/>
      <c r="J74" s="49"/>
      <c r="K74" s="44"/>
      <c r="L74" s="11"/>
      <c r="M74" s="1"/>
      <c r="N74" s="1"/>
      <c r="O74" s="1"/>
      <c r="P74" s="1"/>
    </row>
    <row r="75" spans="1:16" x14ac:dyDescent="0.2">
      <c r="A75" s="276">
        <v>7</v>
      </c>
      <c r="B75" s="31" t="s">
        <v>98</v>
      </c>
      <c r="C75" s="124"/>
      <c r="D75" s="124"/>
      <c r="E75" s="124"/>
      <c r="F75" s="11"/>
      <c r="G75" s="11"/>
      <c r="H75" s="49"/>
      <c r="I75" s="11"/>
      <c r="J75" s="49"/>
      <c r="K75" s="44"/>
      <c r="L75" s="11"/>
      <c r="M75" s="1"/>
      <c r="N75" s="1"/>
      <c r="O75" s="1"/>
      <c r="P75" s="1"/>
    </row>
    <row r="76" spans="1:16" s="10" customFormat="1" ht="18" x14ac:dyDescent="0.2">
      <c r="A76" s="276"/>
      <c r="B76" s="11"/>
      <c r="C76" s="124" t="s">
        <v>99</v>
      </c>
      <c r="D76" s="124"/>
      <c r="E76" s="124"/>
      <c r="F76" s="124"/>
      <c r="G76" s="163"/>
      <c r="H76" s="49"/>
      <c r="I76" s="11"/>
      <c r="J76" s="151"/>
      <c r="K76" s="44">
        <f>$H$59*(0.46/60)</f>
        <v>0.5176533333333333</v>
      </c>
      <c r="L76" s="11"/>
      <c r="M76" s="8"/>
      <c r="N76" s="8"/>
      <c r="O76" s="8"/>
      <c r="P76" s="8"/>
    </row>
    <row r="77" spans="1:16" x14ac:dyDescent="0.2">
      <c r="A77" s="276"/>
      <c r="B77" s="11"/>
      <c r="C77" s="15"/>
      <c r="D77" s="15"/>
      <c r="E77" s="15"/>
      <c r="F77" s="11"/>
      <c r="G77" s="11"/>
      <c r="H77" s="49"/>
      <c r="I77" s="11"/>
      <c r="J77" s="49"/>
      <c r="K77" s="44"/>
      <c r="L77" s="11"/>
      <c r="M77" s="1"/>
      <c r="N77" s="1"/>
      <c r="O77" s="1"/>
      <c r="P77" s="1"/>
    </row>
    <row r="78" spans="1:16" s="10" customFormat="1" ht="18" x14ac:dyDescent="0.2">
      <c r="A78" s="276">
        <v>8</v>
      </c>
      <c r="B78" s="33" t="s">
        <v>9</v>
      </c>
      <c r="C78" s="124"/>
      <c r="D78" s="124"/>
      <c r="E78" s="124"/>
      <c r="F78" s="11"/>
      <c r="G78" s="11"/>
      <c r="H78" s="49"/>
      <c r="I78" s="11"/>
      <c r="J78" s="126"/>
      <c r="K78" s="44">
        <f>(89.13-$K$59-$K$73)*0.07</f>
        <v>2.4390744</v>
      </c>
      <c r="L78" s="11"/>
      <c r="M78" s="64"/>
      <c r="N78" s="8"/>
      <c r="O78" s="8"/>
      <c r="P78" s="8"/>
    </row>
    <row r="79" spans="1:16" x14ac:dyDescent="0.2">
      <c r="A79" s="276"/>
      <c r="B79" s="11"/>
      <c r="C79" s="124"/>
      <c r="D79" s="124"/>
      <c r="E79" s="124"/>
      <c r="F79" s="11"/>
      <c r="G79" s="11"/>
      <c r="H79" s="49"/>
      <c r="I79" s="11"/>
      <c r="J79" s="49"/>
      <c r="K79" s="44"/>
      <c r="L79" s="11"/>
      <c r="M79" s="1"/>
      <c r="N79" s="1"/>
      <c r="O79" s="1"/>
      <c r="P79" s="1"/>
    </row>
    <row r="80" spans="1:16" x14ac:dyDescent="0.2">
      <c r="A80" s="276">
        <v>9</v>
      </c>
      <c r="B80" s="31" t="s">
        <v>10</v>
      </c>
      <c r="C80" s="31" t="s">
        <v>11</v>
      </c>
      <c r="D80" s="31"/>
      <c r="E80" s="31"/>
      <c r="F80" s="211"/>
      <c r="G80" s="211"/>
      <c r="H80" s="229"/>
      <c r="I80" s="211"/>
      <c r="J80" s="229"/>
      <c r="K80" s="44">
        <v>0</v>
      </c>
      <c r="L80" s="11"/>
      <c r="M80" s="1"/>
      <c r="N80" s="1"/>
      <c r="O80" s="1"/>
      <c r="P80" s="1"/>
    </row>
    <row r="81" spans="1:16" x14ac:dyDescent="0.2">
      <c r="A81" s="276"/>
      <c r="B81" s="11"/>
      <c r="C81" s="124"/>
      <c r="D81" s="124"/>
      <c r="E81" s="124"/>
      <c r="F81" s="11"/>
      <c r="G81" s="11"/>
      <c r="H81" s="49"/>
      <c r="I81" s="11"/>
      <c r="J81" s="49"/>
      <c r="K81" s="43"/>
      <c r="L81" s="11"/>
      <c r="M81" s="6"/>
      <c r="N81" s="1"/>
      <c r="O81" s="1"/>
      <c r="P81" s="1"/>
    </row>
    <row r="82" spans="1:16" ht="17.25" x14ac:dyDescent="0.35">
      <c r="A82" s="276">
        <v>10</v>
      </c>
      <c r="B82" s="31" t="s">
        <v>12</v>
      </c>
      <c r="C82" s="124"/>
      <c r="D82" s="124"/>
      <c r="E82" s="124"/>
      <c r="F82" s="11"/>
      <c r="G82" s="11"/>
      <c r="H82" s="49"/>
      <c r="I82" s="11"/>
      <c r="J82" s="49"/>
      <c r="K82" s="52">
        <f>SUM($K$14:$K$81)</f>
        <v>99.834981066666671</v>
      </c>
      <c r="L82" s="11"/>
      <c r="M82" s="6"/>
      <c r="N82" s="1"/>
      <c r="O82" s="1"/>
      <c r="P82" s="1"/>
    </row>
    <row r="83" spans="1:16" x14ac:dyDescent="0.2">
      <c r="A83" s="276"/>
      <c r="B83" s="11"/>
      <c r="C83" s="124"/>
      <c r="D83" s="124"/>
      <c r="E83" s="124"/>
      <c r="F83" s="11"/>
      <c r="G83" s="11"/>
      <c r="H83" s="49"/>
      <c r="I83" s="11"/>
      <c r="J83" s="49"/>
      <c r="K83" s="45"/>
      <c r="L83" s="11"/>
      <c r="M83" s="1"/>
      <c r="N83" s="1"/>
      <c r="O83" s="1"/>
      <c r="P83" s="1"/>
    </row>
    <row r="84" spans="1:16" s="187" customFormat="1" ht="20.25" x14ac:dyDescent="0.35">
      <c r="A84" s="276">
        <v>11</v>
      </c>
      <c r="B84" s="223" t="s">
        <v>36</v>
      </c>
      <c r="C84" s="252"/>
      <c r="D84" s="252"/>
      <c r="E84" s="252"/>
      <c r="F84" s="11"/>
      <c r="G84" s="11"/>
      <c r="H84" s="49"/>
      <c r="I84" s="11"/>
      <c r="J84" s="151"/>
      <c r="K84" s="51">
        <f>($H$52*($J$59/60))+$K$78</f>
        <v>33.499407733333335</v>
      </c>
      <c r="L84" s="11"/>
      <c r="M84" s="11"/>
      <c r="N84" s="11"/>
      <c r="O84" s="11"/>
      <c r="P84" s="11"/>
    </row>
    <row r="85" spans="1:16" s="120" customFormat="1" x14ac:dyDescent="0.2">
      <c r="A85" s="11"/>
      <c r="B85" s="11"/>
      <c r="C85" s="252"/>
      <c r="D85" s="252"/>
      <c r="E85" s="252"/>
      <c r="F85" s="11"/>
      <c r="G85" s="11"/>
      <c r="H85" s="49"/>
      <c r="I85" s="11"/>
      <c r="J85" s="49"/>
      <c r="K85" s="45"/>
      <c r="L85" s="11"/>
      <c r="M85" s="7"/>
      <c r="N85" s="7"/>
      <c r="O85" s="7"/>
      <c r="P85" s="7"/>
    </row>
    <row r="86" spans="1:16" s="364" customFormat="1" x14ac:dyDescent="0.2">
      <c r="H86" s="365"/>
      <c r="K86" s="366"/>
    </row>
    <row r="87" spans="1:16" x14ac:dyDescent="0.2">
      <c r="A87" s="120"/>
      <c r="B87" s="120"/>
      <c r="C87" s="124" t="s">
        <v>63</v>
      </c>
      <c r="D87" s="124"/>
      <c r="E87" s="124"/>
      <c r="F87" s="120"/>
      <c r="G87" s="120"/>
      <c r="H87" s="133"/>
      <c r="I87" s="120"/>
      <c r="J87" s="120"/>
      <c r="K87" s="134"/>
      <c r="L87" s="120"/>
    </row>
    <row r="88" spans="1:16" ht="18" x14ac:dyDescent="0.2">
      <c r="A88" s="120"/>
      <c r="B88" s="151">
        <v>1</v>
      </c>
      <c r="C88" s="383" t="s">
        <v>222</v>
      </c>
      <c r="D88" s="383"/>
      <c r="E88" s="383"/>
      <c r="F88" s="383"/>
      <c r="G88" s="163"/>
      <c r="H88" s="133"/>
      <c r="I88" s="120"/>
      <c r="J88" s="120"/>
      <c r="K88" s="134"/>
      <c r="L88" s="120"/>
    </row>
    <row r="89" spans="1:16" ht="18" x14ac:dyDescent="0.2">
      <c r="A89" s="120"/>
      <c r="B89" s="151">
        <v>2</v>
      </c>
      <c r="C89" s="383" t="s">
        <v>228</v>
      </c>
      <c r="D89" s="383"/>
      <c r="E89" s="383"/>
      <c r="F89" s="383"/>
      <c r="G89" s="163"/>
      <c r="H89" s="133"/>
      <c r="I89" s="120"/>
      <c r="J89" s="120"/>
      <c r="K89" s="134"/>
      <c r="L89" s="120"/>
    </row>
    <row r="90" spans="1:16" ht="18" x14ac:dyDescent="0.2">
      <c r="A90" s="120"/>
      <c r="B90" s="151">
        <v>3</v>
      </c>
      <c r="C90" s="383" t="s">
        <v>174</v>
      </c>
      <c r="D90" s="383"/>
      <c r="E90" s="383"/>
      <c r="F90" s="383"/>
      <c r="G90" s="163"/>
      <c r="H90" s="133"/>
      <c r="I90" s="120"/>
      <c r="J90" s="120"/>
      <c r="K90" s="134"/>
      <c r="L90" s="120"/>
    </row>
    <row r="91" spans="1:16" ht="18" x14ac:dyDescent="0.2">
      <c r="A91" s="120"/>
      <c r="B91" s="151">
        <v>4</v>
      </c>
      <c r="C91" s="383" t="s">
        <v>168</v>
      </c>
      <c r="D91" s="383"/>
      <c r="E91" s="383"/>
      <c r="F91" s="383"/>
      <c r="G91" s="163"/>
      <c r="H91" s="133"/>
      <c r="I91" s="120"/>
      <c r="J91" s="120"/>
      <c r="K91" s="134"/>
      <c r="L91" s="120"/>
    </row>
    <row r="92" spans="1:16" ht="18" x14ac:dyDescent="0.2">
      <c r="A92" s="120"/>
      <c r="B92" s="151">
        <v>5</v>
      </c>
      <c r="C92" s="383" t="s">
        <v>162</v>
      </c>
      <c r="D92" s="383"/>
      <c r="E92" s="383"/>
      <c r="F92" s="383"/>
      <c r="G92" s="163"/>
      <c r="H92" s="133"/>
      <c r="I92" s="120"/>
      <c r="J92" s="120"/>
      <c r="K92" s="134"/>
      <c r="L92" s="120"/>
    </row>
    <row r="93" spans="1:16" ht="18" x14ac:dyDescent="0.2">
      <c r="A93" s="120"/>
      <c r="B93" s="151">
        <v>6</v>
      </c>
      <c r="C93" s="383" t="s">
        <v>163</v>
      </c>
      <c r="D93" s="383"/>
      <c r="E93" s="383"/>
      <c r="F93" s="383"/>
      <c r="G93" s="163"/>
      <c r="H93" s="133"/>
      <c r="I93" s="120"/>
      <c r="J93" s="120"/>
      <c r="K93" s="134"/>
      <c r="L93" s="120"/>
    </row>
    <row r="94" spans="1:16" s="364" customFormat="1" ht="18" x14ac:dyDescent="0.2">
      <c r="B94" s="146">
        <v>7</v>
      </c>
      <c r="C94" s="387" t="s">
        <v>165</v>
      </c>
      <c r="D94" s="387"/>
      <c r="E94" s="387"/>
      <c r="F94" s="387"/>
      <c r="G94" s="376"/>
      <c r="H94" s="365"/>
      <c r="K94" s="366"/>
    </row>
    <row r="95" spans="1:16" ht="18" x14ac:dyDescent="0.2">
      <c r="A95" s="120"/>
      <c r="B95" s="151">
        <v>8</v>
      </c>
      <c r="C95" s="383" t="s">
        <v>164</v>
      </c>
      <c r="D95" s="383"/>
      <c r="E95" s="383"/>
      <c r="F95" s="383"/>
      <c r="G95" s="163"/>
      <c r="H95" s="133"/>
      <c r="I95" s="120"/>
      <c r="J95" s="120"/>
      <c r="K95" s="134"/>
      <c r="L95" s="120"/>
    </row>
    <row r="96" spans="1:16" ht="18" x14ac:dyDescent="0.2">
      <c r="A96" s="120"/>
      <c r="B96" s="151">
        <v>9</v>
      </c>
      <c r="C96" s="124" t="s">
        <v>85</v>
      </c>
      <c r="D96" s="124"/>
      <c r="E96" s="124"/>
      <c r="F96" s="120"/>
      <c r="G96" s="120"/>
      <c r="H96" s="133"/>
      <c r="I96" s="120"/>
      <c r="J96" s="120"/>
      <c r="K96" s="134"/>
      <c r="L96" s="120"/>
    </row>
    <row r="97" spans="1:12" ht="18" x14ac:dyDescent="0.2">
      <c r="A97" s="120"/>
      <c r="B97" s="151">
        <v>10</v>
      </c>
      <c r="C97" s="383" t="s">
        <v>189</v>
      </c>
      <c r="D97" s="383"/>
      <c r="E97" s="383"/>
      <c r="F97" s="383"/>
      <c r="G97" s="383"/>
      <c r="H97" s="383"/>
      <c r="I97" s="120"/>
      <c r="J97" s="120"/>
      <c r="K97" s="134"/>
      <c r="L97" s="120"/>
    </row>
    <row r="98" spans="1:12" ht="18" x14ac:dyDescent="0.2">
      <c r="A98" s="120"/>
      <c r="B98" s="151"/>
      <c r="C98" s="124"/>
      <c r="D98" s="124"/>
      <c r="E98" s="124"/>
      <c r="F98" s="120"/>
      <c r="G98" s="120"/>
      <c r="H98" s="133"/>
      <c r="I98" s="120"/>
      <c r="J98" s="120"/>
      <c r="K98" s="134"/>
      <c r="L98" s="120"/>
    </row>
    <row r="99" spans="1:12" ht="18" x14ac:dyDescent="0.2">
      <c r="A99" s="120"/>
      <c r="B99" s="151">
        <v>14</v>
      </c>
      <c r="C99" s="383" t="s">
        <v>224</v>
      </c>
      <c r="D99" s="383"/>
      <c r="E99" s="383"/>
      <c r="F99" s="383"/>
      <c r="G99" s="163"/>
      <c r="H99" s="133"/>
      <c r="I99" s="120"/>
      <c r="J99" s="120"/>
      <c r="K99" s="134"/>
      <c r="L99" s="120"/>
    </row>
    <row r="100" spans="1:12" s="120" customFormat="1" x14ac:dyDescent="0.2">
      <c r="H100" s="133"/>
      <c r="K100" s="134"/>
    </row>
  </sheetData>
  <mergeCells count="19">
    <mergeCell ref="C16:D16"/>
    <mergeCell ref="C15:D15"/>
    <mergeCell ref="C52:D52"/>
    <mergeCell ref="H47:I47"/>
    <mergeCell ref="H10:I10"/>
    <mergeCell ref="C23:D23"/>
    <mergeCell ref="C22:D22"/>
    <mergeCell ref="C17:D17"/>
    <mergeCell ref="C28:D28"/>
    <mergeCell ref="C88:F88"/>
    <mergeCell ref="C89:F89"/>
    <mergeCell ref="C99:F99"/>
    <mergeCell ref="C97:H97"/>
    <mergeCell ref="C90:F90"/>
    <mergeCell ref="C91:F91"/>
    <mergeCell ref="C92:F92"/>
    <mergeCell ref="C93:F93"/>
    <mergeCell ref="C94:F94"/>
    <mergeCell ref="C95:F95"/>
  </mergeCells>
  <phoneticPr fontId="4" type="noConversion"/>
  <printOptions horizontalCentered="1"/>
  <pageMargins left="0.25" right="0.25" top="0.75" bottom="0.5" header="0.3" footer="0.3"/>
  <pageSetup scale="51" fitToHeight="0" orientation="landscape" r:id="rId1"/>
  <headerFooter alignWithMargins="0">
    <oddFooter xml:space="preserve">&amp;LSUPPORTING SCHEDULES:&amp;RRECAP SCHEDULES:  </oddFooter>
  </headerFooter>
  <rowBreaks count="1" manualBreakCount="1">
    <brk id="38"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3:R112"/>
  <sheetViews>
    <sheetView tabSelected="1" view="pageBreakPreview" topLeftCell="A86" zoomScale="80" zoomScaleNormal="75" zoomScaleSheetLayoutView="80" workbookViewId="0">
      <selection activeCell="C83" sqref="C83"/>
    </sheetView>
  </sheetViews>
  <sheetFormatPr defaultColWidth="9" defaultRowHeight="12" x14ac:dyDescent="0.15"/>
  <cols>
    <col min="1" max="1" width="14.25" style="53" customWidth="1"/>
    <col min="2" max="2" width="5.75" style="53" customWidth="1"/>
    <col min="3" max="3" width="52.75" style="53" customWidth="1"/>
    <col min="4" max="4" width="68.5" style="53" customWidth="1"/>
    <col min="5" max="5" width="9.875" style="53" customWidth="1"/>
    <col min="6" max="6" width="11.375" style="54" customWidth="1"/>
    <col min="7" max="7" width="12.75" style="53" customWidth="1"/>
    <col min="8" max="8" width="13.625" style="53" customWidth="1"/>
    <col min="9" max="9" width="9" style="55"/>
    <col min="10" max="10" width="9.625" style="53" customWidth="1"/>
    <col min="11" max="11" width="20.875" style="53" customWidth="1"/>
    <col min="12" max="16384" width="9" style="53"/>
  </cols>
  <sheetData>
    <row r="3" spans="1:18" s="56" customFormat="1" ht="15" x14ac:dyDescent="0.2">
      <c r="A3" s="14" t="s">
        <v>0</v>
      </c>
      <c r="B3" s="7"/>
      <c r="C3" s="15"/>
      <c r="D3" s="394" t="s">
        <v>294</v>
      </c>
      <c r="E3" s="394"/>
      <c r="F3" s="394"/>
      <c r="G3" s="394"/>
      <c r="H3" s="394"/>
      <c r="I3" s="331"/>
      <c r="J3" s="391" t="s">
        <v>245</v>
      </c>
      <c r="K3" s="391"/>
      <c r="M3" s="7"/>
    </row>
    <row r="4" spans="1:18" s="56" customFormat="1" ht="15" x14ac:dyDescent="0.2">
      <c r="A4" s="3"/>
      <c r="B4" s="3"/>
      <c r="C4" s="4"/>
      <c r="D4" s="334"/>
      <c r="E4" s="308"/>
      <c r="F4" s="12"/>
      <c r="G4" s="311"/>
      <c r="H4" s="310"/>
      <c r="I4" s="333"/>
      <c r="J4" s="3"/>
      <c r="K4" s="3"/>
      <c r="L4" s="3"/>
      <c r="M4" s="7"/>
    </row>
    <row r="5" spans="1:18" s="56" customFormat="1" ht="15" x14ac:dyDescent="0.2">
      <c r="A5" s="14" t="s">
        <v>1</v>
      </c>
      <c r="B5" s="7"/>
      <c r="C5" s="15"/>
      <c r="D5" s="395" t="s">
        <v>22</v>
      </c>
      <c r="E5" s="395"/>
      <c r="F5" s="395"/>
      <c r="G5" s="395"/>
      <c r="H5" s="395"/>
      <c r="I5" s="331"/>
      <c r="J5" s="7" t="str">
        <f>+Input!B2</f>
        <v>TYPE OF DATA SHOWN:</v>
      </c>
      <c r="K5" s="7"/>
      <c r="L5" s="14"/>
      <c r="M5" s="7"/>
    </row>
    <row r="6" spans="1:18" s="56" customFormat="1" ht="15" x14ac:dyDescent="0.2">
      <c r="A6" s="7"/>
      <c r="B6" s="7"/>
      <c r="C6" s="15"/>
      <c r="D6" s="396" t="s">
        <v>23</v>
      </c>
      <c r="E6" s="396"/>
      <c r="F6" s="396"/>
      <c r="G6" s="396"/>
      <c r="H6" s="396"/>
      <c r="I6" s="331"/>
      <c r="J6" s="7" t="str">
        <f>+Input!B3</f>
        <v>HISTORIC BASE YEAR DATA:  12/31/19</v>
      </c>
      <c r="K6" s="7"/>
      <c r="L6" s="18"/>
      <c r="M6" s="7"/>
    </row>
    <row r="7" spans="1:18" s="56" customFormat="1" ht="15" x14ac:dyDescent="0.2">
      <c r="A7" s="14" t="s">
        <v>235</v>
      </c>
      <c r="B7" s="7"/>
      <c r="C7" s="15"/>
      <c r="D7" s="396" t="s">
        <v>24</v>
      </c>
      <c r="E7" s="396"/>
      <c r="F7" s="396"/>
      <c r="G7" s="396"/>
      <c r="H7" s="396"/>
      <c r="I7" s="331"/>
      <c r="J7" s="7" t="str">
        <f>+Input!B4</f>
        <v>WITNESS:  M. WHITAKER</v>
      </c>
      <c r="K7" s="7"/>
      <c r="L7" s="18"/>
      <c r="M7" s="7"/>
    </row>
    <row r="8" spans="1:18" s="56" customFormat="1" ht="15" x14ac:dyDescent="0.2">
      <c r="A8" s="7"/>
      <c r="B8" s="7"/>
      <c r="C8" s="15"/>
      <c r="D8" s="7"/>
      <c r="E8" s="7"/>
      <c r="F8" s="30"/>
      <c r="G8" s="7"/>
      <c r="H8" s="30"/>
      <c r="I8" s="34"/>
      <c r="J8" s="7"/>
      <c r="K8" s="7"/>
      <c r="L8" s="7"/>
      <c r="M8" s="7"/>
    </row>
    <row r="9" spans="1:18" s="56" customFormat="1" ht="15" x14ac:dyDescent="0.2">
      <c r="A9" s="302" t="str">
        <f>+Input!A2</f>
        <v>DOCKET NO.:  20200051-GU</v>
      </c>
      <c r="B9" s="111"/>
      <c r="C9" s="303"/>
      <c r="D9" s="111"/>
      <c r="E9" s="111"/>
      <c r="F9" s="260"/>
      <c r="G9" s="125"/>
      <c r="H9" s="260"/>
      <c r="I9" s="304"/>
      <c r="J9" s="111"/>
      <c r="K9" s="111"/>
      <c r="L9" s="111"/>
      <c r="M9" s="7"/>
      <c r="O9" s="56" t="s">
        <v>2</v>
      </c>
      <c r="P9" s="56" t="s">
        <v>2</v>
      </c>
      <c r="R9" s="56" t="s">
        <v>2</v>
      </c>
    </row>
    <row r="10" spans="1:18" s="56" customFormat="1" ht="15" x14ac:dyDescent="0.2">
      <c r="A10" s="28"/>
      <c r="B10" s="7"/>
      <c r="C10" s="253"/>
      <c r="D10" s="7"/>
      <c r="E10" s="7"/>
      <c r="F10" s="32"/>
      <c r="G10" s="14"/>
      <c r="H10" s="32"/>
      <c r="I10" s="34"/>
      <c r="J10" s="7"/>
      <c r="K10" s="7"/>
      <c r="L10" s="7"/>
      <c r="M10" s="7"/>
    </row>
    <row r="11" spans="1:18" s="56" customFormat="1" ht="30" x14ac:dyDescent="0.2">
      <c r="A11" s="277" t="s">
        <v>297</v>
      </c>
      <c r="B11" s="7"/>
      <c r="C11" s="14" t="s">
        <v>3</v>
      </c>
      <c r="F11" s="32" t="s">
        <v>4</v>
      </c>
      <c r="G11" s="7"/>
      <c r="H11" s="273" t="s">
        <v>40</v>
      </c>
      <c r="I11" s="153" t="s">
        <v>5</v>
      </c>
      <c r="J11" s="7"/>
      <c r="K11" s="7"/>
      <c r="L11" s="7"/>
      <c r="M11" s="7"/>
    </row>
    <row r="12" spans="1:18" ht="15" x14ac:dyDescent="0.2">
      <c r="A12" s="305"/>
      <c r="B12" s="297"/>
      <c r="C12" s="298"/>
      <c r="D12" s="297"/>
      <c r="E12" s="297"/>
      <c r="F12" s="299"/>
      <c r="G12" s="297"/>
      <c r="H12" s="299"/>
      <c r="I12" s="300"/>
      <c r="J12" s="297"/>
      <c r="K12" s="297"/>
      <c r="L12" s="297"/>
      <c r="M12" s="7"/>
    </row>
    <row r="13" spans="1:18" ht="15" x14ac:dyDescent="0.2">
      <c r="A13" s="274"/>
      <c r="B13" s="19"/>
      <c r="C13" s="20"/>
      <c r="D13" s="19"/>
      <c r="E13" s="19"/>
      <c r="F13" s="100"/>
      <c r="G13" s="19"/>
      <c r="H13" s="100"/>
      <c r="I13" s="35"/>
      <c r="J13" s="19"/>
      <c r="K13" s="19"/>
      <c r="L13" s="19"/>
      <c r="M13" s="7"/>
    </row>
    <row r="14" spans="1:18" ht="15" x14ac:dyDescent="0.2">
      <c r="A14" s="276">
        <v>1</v>
      </c>
      <c r="B14" s="31" t="s">
        <v>130</v>
      </c>
      <c r="C14" s="124"/>
      <c r="D14" s="11"/>
      <c r="E14" s="11"/>
      <c r="F14" s="49"/>
      <c r="G14" s="11"/>
      <c r="H14" s="49"/>
      <c r="I14" s="45"/>
      <c r="J14" s="7"/>
      <c r="K14" s="7"/>
      <c r="L14" s="7"/>
      <c r="M14" s="7"/>
    </row>
    <row r="15" spans="1:18" ht="15" x14ac:dyDescent="0.2">
      <c r="A15" s="276"/>
      <c r="B15" s="31"/>
      <c r="C15" s="11" t="s">
        <v>60</v>
      </c>
      <c r="D15" s="11"/>
      <c r="E15" s="11"/>
      <c r="F15" s="49"/>
      <c r="G15" s="11"/>
      <c r="H15" s="49"/>
      <c r="I15" s="45"/>
      <c r="J15" s="7"/>
      <c r="K15" s="7"/>
      <c r="L15" s="7"/>
      <c r="M15" s="7"/>
    </row>
    <row r="16" spans="1:18" ht="15" x14ac:dyDescent="0.2">
      <c r="A16" s="276"/>
      <c r="B16" s="31"/>
      <c r="C16" s="11" t="s">
        <v>243</v>
      </c>
      <c r="D16" s="11"/>
      <c r="E16" s="11"/>
      <c r="F16" s="49"/>
      <c r="G16" s="11"/>
      <c r="H16" s="49"/>
      <c r="I16" s="45"/>
      <c r="J16" s="7"/>
      <c r="K16" s="7"/>
      <c r="L16" s="7"/>
      <c r="M16" s="7"/>
    </row>
    <row r="17" spans="1:13" ht="15" x14ac:dyDescent="0.2">
      <c r="A17" s="276"/>
      <c r="B17" s="31"/>
      <c r="C17" s="383" t="s">
        <v>83</v>
      </c>
      <c r="D17" s="383"/>
      <c r="E17" s="163"/>
      <c r="F17" s="49"/>
      <c r="G17" s="11"/>
      <c r="H17" s="49"/>
      <c r="I17" s="45"/>
      <c r="J17" s="7"/>
      <c r="K17" s="7"/>
      <c r="L17" s="7"/>
      <c r="M17" s="7"/>
    </row>
    <row r="18" spans="1:13" ht="15" x14ac:dyDescent="0.2">
      <c r="A18" s="276"/>
      <c r="B18" s="11"/>
      <c r="C18" s="383" t="s">
        <v>244</v>
      </c>
      <c r="D18" s="383"/>
      <c r="E18" s="163"/>
      <c r="F18" s="49"/>
      <c r="G18" s="11"/>
      <c r="H18" s="49"/>
      <c r="I18" s="45"/>
      <c r="J18" s="7"/>
      <c r="K18" s="7"/>
      <c r="L18" s="7"/>
      <c r="M18" s="7"/>
    </row>
    <row r="19" spans="1:13" ht="15" x14ac:dyDescent="0.2">
      <c r="A19" s="276"/>
      <c r="B19" s="11"/>
      <c r="C19" s="383" t="s">
        <v>59</v>
      </c>
      <c r="D19" s="383"/>
      <c r="E19" s="163"/>
      <c r="F19" s="49"/>
      <c r="G19" s="11"/>
      <c r="H19" s="49"/>
      <c r="I19" s="45"/>
      <c r="J19" s="7"/>
      <c r="K19" s="7"/>
      <c r="L19" s="7"/>
      <c r="M19" s="7"/>
    </row>
    <row r="20" spans="1:13" ht="15" x14ac:dyDescent="0.2">
      <c r="A20" s="276"/>
      <c r="B20" s="11"/>
      <c r="C20" s="383" t="s">
        <v>84</v>
      </c>
      <c r="D20" s="383"/>
      <c r="E20" s="163"/>
      <c r="F20" s="49"/>
      <c r="G20" s="11"/>
      <c r="H20" s="49"/>
      <c r="I20" s="45"/>
      <c r="J20" s="7"/>
      <c r="K20" s="7"/>
      <c r="L20" s="7"/>
      <c r="M20" s="7"/>
    </row>
    <row r="21" spans="1:13" ht="15" x14ac:dyDescent="0.2">
      <c r="A21" s="276"/>
      <c r="B21" s="11"/>
      <c r="C21" s="163"/>
      <c r="D21" s="163"/>
      <c r="E21" s="163"/>
      <c r="F21" s="49"/>
      <c r="G21" s="11"/>
      <c r="H21" s="49"/>
      <c r="I21" s="45"/>
      <c r="J21" s="7"/>
      <c r="K21" s="7"/>
      <c r="L21" s="7"/>
      <c r="M21" s="7"/>
    </row>
    <row r="22" spans="1:13" ht="15" x14ac:dyDescent="0.2">
      <c r="A22" s="276"/>
      <c r="B22" s="11"/>
      <c r="C22" s="11" t="s">
        <v>64</v>
      </c>
      <c r="D22" s="11"/>
      <c r="E22" s="11"/>
      <c r="F22" s="49"/>
      <c r="G22" s="11"/>
      <c r="H22" s="49"/>
      <c r="I22" s="45"/>
      <c r="J22" s="7"/>
      <c r="K22" s="7"/>
      <c r="L22" s="7"/>
      <c r="M22" s="7"/>
    </row>
    <row r="23" spans="1:13" ht="15" x14ac:dyDescent="0.2">
      <c r="A23" s="276"/>
      <c r="B23" s="11"/>
      <c r="C23" s="383" t="s">
        <v>132</v>
      </c>
      <c r="D23" s="383"/>
      <c r="E23" s="163"/>
      <c r="F23" s="49"/>
      <c r="G23" s="11"/>
      <c r="H23" s="49"/>
      <c r="I23" s="45"/>
      <c r="J23" s="7"/>
      <c r="K23" s="7"/>
      <c r="L23" s="7"/>
      <c r="M23" s="7"/>
    </row>
    <row r="24" spans="1:13" s="48" customFormat="1" ht="18" x14ac:dyDescent="0.2">
      <c r="A24" s="276"/>
      <c r="B24" s="126"/>
      <c r="C24" s="124" t="s">
        <v>166</v>
      </c>
      <c r="D24" s="11"/>
      <c r="E24" s="11"/>
      <c r="F24" s="49">
        <v>6.41</v>
      </c>
      <c r="G24" s="11" t="s">
        <v>15</v>
      </c>
      <c r="H24" s="49">
        <v>30.95</v>
      </c>
      <c r="I24" s="45">
        <f>($H$24/60)*$F$24</f>
        <v>3.3064916666666671</v>
      </c>
      <c r="J24" s="11"/>
      <c r="K24" s="11"/>
      <c r="L24" s="11"/>
      <c r="M24" s="11"/>
    </row>
    <row r="25" spans="1:13" ht="15" x14ac:dyDescent="0.2">
      <c r="A25" s="277"/>
      <c r="B25" s="7"/>
      <c r="C25" s="15"/>
      <c r="D25" s="7"/>
      <c r="E25" s="7"/>
      <c r="F25" s="30"/>
      <c r="G25" s="7"/>
      <c r="H25" s="30"/>
      <c r="I25" s="34"/>
      <c r="J25" s="7"/>
      <c r="K25" s="7"/>
      <c r="L25" s="7"/>
      <c r="M25" s="7"/>
    </row>
    <row r="26" spans="1:13" ht="15" x14ac:dyDescent="0.2">
      <c r="A26" s="277">
        <v>2</v>
      </c>
      <c r="B26" s="7" t="s">
        <v>44</v>
      </c>
      <c r="C26" s="186"/>
      <c r="D26" s="7"/>
      <c r="E26" s="7"/>
      <c r="F26" s="30"/>
      <c r="G26" s="7"/>
      <c r="H26" s="30"/>
      <c r="I26" s="34"/>
      <c r="J26" s="7"/>
      <c r="K26" s="7"/>
      <c r="L26" s="7"/>
      <c r="M26" s="7"/>
    </row>
    <row r="27" spans="1:13" ht="15" x14ac:dyDescent="0.2">
      <c r="A27" s="277"/>
      <c r="B27" s="7"/>
      <c r="C27" s="383" t="s">
        <v>121</v>
      </c>
      <c r="D27" s="383"/>
      <c r="E27" s="252"/>
      <c r="F27" s="133"/>
      <c r="G27" s="120"/>
      <c r="H27" s="133"/>
      <c r="I27" s="134"/>
      <c r="J27" s="7"/>
      <c r="K27" s="7"/>
      <c r="L27" s="7"/>
      <c r="M27" s="7"/>
    </row>
    <row r="28" spans="1:13" s="48" customFormat="1" ht="18" x14ac:dyDescent="0.2">
      <c r="A28" s="276"/>
      <c r="B28" s="126"/>
      <c r="C28" s="124" t="s">
        <v>169</v>
      </c>
      <c r="D28" s="126"/>
      <c r="E28" s="126"/>
      <c r="F28" s="49">
        <f>2*0.36</f>
        <v>0.72</v>
      </c>
      <c r="G28" s="11" t="s">
        <v>15</v>
      </c>
      <c r="H28" s="49">
        <v>36.82</v>
      </c>
      <c r="I28" s="45">
        <f>($H$28/60)*$F$28</f>
        <v>0.44184000000000001</v>
      </c>
      <c r="J28" s="11"/>
      <c r="K28" s="11"/>
      <c r="L28" s="11"/>
      <c r="M28" s="11"/>
    </row>
    <row r="29" spans="1:13" ht="15" x14ac:dyDescent="0.2">
      <c r="A29" s="277"/>
      <c r="B29" s="7"/>
      <c r="C29" s="189"/>
      <c r="D29" s="7"/>
      <c r="E29" s="7"/>
      <c r="F29" s="30"/>
      <c r="G29" s="7"/>
      <c r="H29" s="133"/>
      <c r="I29" s="134"/>
      <c r="J29" s="7"/>
      <c r="K29" s="7"/>
      <c r="L29" s="7"/>
      <c r="M29" s="7"/>
    </row>
    <row r="30" spans="1:13" s="48" customFormat="1" ht="15" x14ac:dyDescent="0.2">
      <c r="A30" s="276">
        <v>3</v>
      </c>
      <c r="B30" s="11" t="s">
        <v>48</v>
      </c>
      <c r="C30" s="124"/>
      <c r="D30" s="11"/>
      <c r="E30" s="11"/>
      <c r="F30" s="49"/>
      <c r="G30" s="11"/>
      <c r="H30" s="188"/>
      <c r="I30" s="195"/>
      <c r="J30" s="11"/>
      <c r="K30" s="11"/>
      <c r="L30" s="11"/>
      <c r="M30" s="11"/>
    </row>
    <row r="31" spans="1:13" s="48" customFormat="1" ht="15" x14ac:dyDescent="0.2">
      <c r="A31" s="276"/>
      <c r="B31" s="11"/>
      <c r="C31" s="383" t="s">
        <v>96</v>
      </c>
      <c r="D31" s="383"/>
      <c r="E31" s="163"/>
      <c r="F31" s="49"/>
      <c r="G31" s="11"/>
      <c r="H31" s="188"/>
      <c r="I31" s="195"/>
      <c r="J31" s="11"/>
      <c r="K31" s="11"/>
      <c r="L31" s="11"/>
      <c r="M31" s="11"/>
    </row>
    <row r="32" spans="1:13" s="48" customFormat="1" ht="18" x14ac:dyDescent="0.2">
      <c r="A32" s="276"/>
      <c r="B32" s="126"/>
      <c r="C32" s="124" t="s">
        <v>195</v>
      </c>
      <c r="D32" s="11"/>
      <c r="E32" s="11"/>
      <c r="F32" s="49">
        <v>3</v>
      </c>
      <c r="G32" s="11" t="s">
        <v>15</v>
      </c>
      <c r="H32" s="49">
        <v>37.44</v>
      </c>
      <c r="I32" s="45">
        <f>($H$32/60)*$F$32</f>
        <v>1.8719999999999999</v>
      </c>
      <c r="J32" s="11"/>
      <c r="K32" s="11"/>
      <c r="L32" s="11"/>
      <c r="M32" s="11"/>
    </row>
    <row r="33" spans="1:13" s="48" customFormat="1" ht="18" x14ac:dyDescent="0.2">
      <c r="A33" s="11"/>
      <c r="B33" s="126"/>
      <c r="C33" s="124"/>
      <c r="D33" s="11"/>
      <c r="E33" s="11"/>
      <c r="F33" s="49"/>
      <c r="G33" s="11"/>
      <c r="H33" s="49"/>
      <c r="I33" s="45"/>
      <c r="J33" s="11"/>
      <c r="K33" s="11"/>
      <c r="L33" s="11"/>
      <c r="M33" s="11"/>
    </row>
    <row r="34" spans="1:13" s="48" customFormat="1" ht="18" x14ac:dyDescent="0.2">
      <c r="A34" s="11"/>
      <c r="B34" s="126"/>
      <c r="C34" s="124"/>
      <c r="D34" s="11"/>
      <c r="E34" s="11"/>
      <c r="F34" s="49"/>
      <c r="G34" s="11"/>
      <c r="H34" s="49"/>
      <c r="I34" s="45"/>
      <c r="J34" s="11"/>
      <c r="K34" s="11"/>
      <c r="L34" s="11"/>
      <c r="M34" s="11"/>
    </row>
    <row r="35" spans="1:13" s="48" customFormat="1" ht="18" x14ac:dyDescent="0.2">
      <c r="A35" s="11"/>
      <c r="B35" s="126"/>
      <c r="C35" s="124"/>
      <c r="D35" s="11"/>
      <c r="E35" s="11"/>
      <c r="F35" s="49"/>
      <c r="G35" s="11"/>
      <c r="H35" s="49"/>
      <c r="I35" s="45"/>
      <c r="J35" s="11"/>
      <c r="K35" s="11"/>
      <c r="L35" s="11"/>
      <c r="M35" s="11"/>
    </row>
    <row r="36" spans="1:13" s="48" customFormat="1" ht="18" x14ac:dyDescent="0.2">
      <c r="A36" s="11"/>
      <c r="B36" s="126"/>
      <c r="C36" s="124"/>
      <c r="D36" s="11"/>
      <c r="E36" s="11"/>
      <c r="F36" s="49"/>
      <c r="G36" s="11"/>
      <c r="H36" s="49"/>
      <c r="I36" s="45"/>
      <c r="J36" s="11"/>
      <c r="K36" s="11"/>
      <c r="L36" s="11"/>
      <c r="M36" s="11"/>
    </row>
    <row r="37" spans="1:13" s="48" customFormat="1" ht="18" x14ac:dyDescent="0.2">
      <c r="A37" s="11"/>
      <c r="B37" s="126"/>
      <c r="C37" s="124"/>
      <c r="D37" s="11"/>
      <c r="E37" s="11"/>
      <c r="F37" s="49"/>
      <c r="G37" s="11"/>
      <c r="H37" s="49"/>
      <c r="I37" s="45"/>
      <c r="J37" s="11"/>
      <c r="K37" s="11"/>
      <c r="L37" s="11"/>
      <c r="M37" s="11"/>
    </row>
    <row r="38" spans="1:13" s="48" customFormat="1" ht="18" x14ac:dyDescent="0.2">
      <c r="A38" s="11"/>
      <c r="B38" s="126"/>
      <c r="C38" s="124"/>
      <c r="D38" s="11"/>
      <c r="E38" s="11"/>
      <c r="F38" s="49"/>
      <c r="G38" s="11"/>
      <c r="H38" s="49"/>
      <c r="I38" s="45"/>
      <c r="J38" s="11"/>
      <c r="K38" s="11"/>
      <c r="L38" s="11"/>
      <c r="M38" s="11"/>
    </row>
    <row r="39" spans="1:13" s="48" customFormat="1" ht="18" x14ac:dyDescent="0.2">
      <c r="A39" s="11"/>
      <c r="B39" s="126"/>
      <c r="C39" s="124"/>
      <c r="D39" s="11"/>
      <c r="E39" s="11"/>
      <c r="F39" s="49"/>
      <c r="G39" s="11"/>
      <c r="H39" s="49"/>
      <c r="I39" s="45"/>
      <c r="J39" s="11"/>
      <c r="K39" s="11"/>
      <c r="L39" s="11"/>
      <c r="M39" s="11"/>
    </row>
    <row r="40" spans="1:13" s="48" customFormat="1" ht="18" x14ac:dyDescent="0.2">
      <c r="A40" s="11"/>
      <c r="B40" s="126"/>
      <c r="C40" s="124"/>
      <c r="D40" s="11"/>
      <c r="E40" s="11"/>
      <c r="F40" s="49"/>
      <c r="G40" s="11"/>
      <c r="H40" s="49"/>
      <c r="I40" s="45"/>
      <c r="J40" s="11"/>
      <c r="K40" s="11"/>
      <c r="L40" s="11"/>
      <c r="M40" s="11"/>
    </row>
    <row r="41" spans="1:13" s="48" customFormat="1" ht="18" x14ac:dyDescent="0.2">
      <c r="A41" s="11"/>
      <c r="B41" s="126"/>
      <c r="C41" s="124"/>
      <c r="D41" s="11"/>
      <c r="E41" s="11"/>
      <c r="F41" s="49"/>
      <c r="G41" s="11"/>
      <c r="H41" s="49"/>
      <c r="I41" s="45"/>
      <c r="J41" s="11"/>
      <c r="K41" s="11"/>
      <c r="L41" s="11"/>
      <c r="M41" s="11"/>
    </row>
    <row r="42" spans="1:13" s="367" customFormat="1" ht="18" x14ac:dyDescent="0.2">
      <c r="A42" s="284"/>
      <c r="B42" s="353"/>
      <c r="C42" s="354"/>
      <c r="D42" s="284"/>
      <c r="E42" s="284"/>
      <c r="F42" s="355"/>
      <c r="G42" s="284"/>
      <c r="H42" s="355"/>
      <c r="I42" s="356"/>
      <c r="J42" s="284"/>
      <c r="K42" s="284"/>
      <c r="L42" s="284"/>
      <c r="M42" s="284"/>
    </row>
    <row r="43" spans="1:13" s="368" customFormat="1" ht="15" x14ac:dyDescent="0.2">
      <c r="A43" s="292"/>
      <c r="B43" s="292"/>
      <c r="C43" s="359"/>
      <c r="D43" s="292"/>
      <c r="E43" s="292"/>
      <c r="F43" s="360"/>
      <c r="G43" s="292"/>
      <c r="H43" s="361"/>
      <c r="I43" s="362"/>
      <c r="J43" s="292"/>
      <c r="K43" s="292"/>
      <c r="L43" s="292"/>
      <c r="M43" s="292"/>
    </row>
    <row r="44" spans="1:13" s="56" customFormat="1" ht="15" x14ac:dyDescent="0.2">
      <c r="A44" s="14" t="s">
        <v>0</v>
      </c>
      <c r="B44" s="7"/>
      <c r="C44" s="15"/>
      <c r="D44" s="23" t="str">
        <f>+D3</f>
        <v>COST STUDY - CONNECTIONS AND RECONNECTIONS – RESIDENTIAL AFTER DISCONNECTION FOR CAUSE</v>
      </c>
      <c r="E44" s="23"/>
      <c r="F44" s="23"/>
      <c r="G44" s="97"/>
      <c r="H44" s="97"/>
      <c r="I44" s="34"/>
      <c r="J44" s="391" t="s">
        <v>249</v>
      </c>
      <c r="K44" s="391"/>
      <c r="M44" s="7"/>
    </row>
    <row r="45" spans="1:13" s="56" customFormat="1" ht="15" x14ac:dyDescent="0.2">
      <c r="A45" s="3"/>
      <c r="B45" s="3"/>
      <c r="C45" s="4"/>
      <c r="D45" s="334"/>
      <c r="E45" s="308"/>
      <c r="F45" s="12"/>
      <c r="G45" s="311"/>
      <c r="H45" s="310"/>
      <c r="I45" s="37"/>
      <c r="J45" s="3"/>
      <c r="K45" s="3"/>
      <c r="L45" s="3"/>
      <c r="M45" s="7"/>
    </row>
    <row r="46" spans="1:13" s="56" customFormat="1" ht="15" x14ac:dyDescent="0.2">
      <c r="A46" s="14" t="s">
        <v>1</v>
      </c>
      <c r="B46" s="7"/>
      <c r="C46" s="15"/>
      <c r="D46" s="16" t="s">
        <v>22</v>
      </c>
      <c r="E46" s="16"/>
      <c r="F46" s="17"/>
      <c r="G46" s="105"/>
      <c r="H46" s="312"/>
      <c r="I46" s="34"/>
      <c r="J46" s="7" t="str">
        <f>+J5</f>
        <v>TYPE OF DATA SHOWN:</v>
      </c>
      <c r="K46" s="7"/>
      <c r="L46" s="14"/>
      <c r="M46" s="7"/>
    </row>
    <row r="47" spans="1:13" s="56" customFormat="1" ht="15" x14ac:dyDescent="0.2">
      <c r="A47" s="7"/>
      <c r="B47" s="7"/>
      <c r="C47" s="15"/>
      <c r="D47" s="16" t="s">
        <v>23</v>
      </c>
      <c r="E47" s="16"/>
      <c r="F47" s="17"/>
      <c r="G47" s="105"/>
      <c r="H47" s="312"/>
      <c r="I47" s="34"/>
      <c r="J47" s="7" t="str">
        <f>+J6</f>
        <v>HISTORIC BASE YEAR DATA:  12/31/19</v>
      </c>
      <c r="K47" s="7"/>
      <c r="L47" s="18"/>
      <c r="M47" s="7"/>
    </row>
    <row r="48" spans="1:13" s="56" customFormat="1" ht="15" x14ac:dyDescent="0.2">
      <c r="A48" s="14" t="s">
        <v>235</v>
      </c>
      <c r="B48" s="7"/>
      <c r="C48" s="15"/>
      <c r="D48" s="16" t="s">
        <v>24</v>
      </c>
      <c r="E48" s="16"/>
      <c r="F48" s="17"/>
      <c r="G48" s="105"/>
      <c r="H48" s="312"/>
      <c r="I48" s="41"/>
      <c r="J48" s="7" t="str">
        <f>+J7</f>
        <v>WITNESS:  M. WHITAKER</v>
      </c>
      <c r="K48" s="7"/>
      <c r="L48" s="18"/>
      <c r="M48" s="7"/>
    </row>
    <row r="49" spans="1:18" s="56" customFormat="1" ht="15" x14ac:dyDescent="0.2">
      <c r="A49" s="7"/>
      <c r="B49" s="7"/>
      <c r="C49" s="15"/>
      <c r="D49" s="7"/>
      <c r="E49" s="7"/>
      <c r="F49" s="30"/>
      <c r="G49" s="7"/>
      <c r="H49" s="30"/>
      <c r="I49" s="34"/>
      <c r="J49" s="7"/>
      <c r="K49" s="7"/>
      <c r="L49" s="7"/>
      <c r="M49" s="7"/>
    </row>
    <row r="50" spans="1:18" s="56" customFormat="1" ht="15" x14ac:dyDescent="0.2">
      <c r="A50" s="302" t="str">
        <f>+A9</f>
        <v>DOCKET NO.:  20200051-GU</v>
      </c>
      <c r="B50" s="111"/>
      <c r="C50" s="253"/>
      <c r="D50" s="7"/>
      <c r="E50" s="7"/>
      <c r="F50" s="32"/>
      <c r="G50" s="14"/>
      <c r="H50" s="32"/>
      <c r="I50" s="34"/>
      <c r="J50" s="7"/>
      <c r="K50" s="7"/>
      <c r="L50" s="7"/>
      <c r="M50" s="7"/>
      <c r="O50" s="56" t="s">
        <v>2</v>
      </c>
      <c r="P50" s="56" t="s">
        <v>2</v>
      </c>
      <c r="R50" s="56" t="s">
        <v>2</v>
      </c>
    </row>
    <row r="51" spans="1:18" s="199" customFormat="1" ht="15.75" thickBot="1" x14ac:dyDescent="0.25">
      <c r="A51" s="316"/>
      <c r="B51" s="292"/>
      <c r="C51" s="317"/>
      <c r="D51" s="292"/>
      <c r="E51" s="292"/>
      <c r="F51" s="318"/>
      <c r="G51" s="319"/>
      <c r="H51" s="318"/>
      <c r="I51" s="320"/>
      <c r="J51" s="292"/>
      <c r="K51" s="292"/>
      <c r="L51" s="292"/>
      <c r="M51" s="173"/>
    </row>
    <row r="52" spans="1:18" s="56" customFormat="1" ht="15" hidden="1" x14ac:dyDescent="0.2">
      <c r="A52" s="28"/>
      <c r="B52" s="7"/>
      <c r="C52" s="180"/>
      <c r="D52" s="7"/>
      <c r="E52" s="7"/>
      <c r="F52" s="32"/>
      <c r="G52" s="14"/>
      <c r="H52" s="32"/>
      <c r="I52" s="34"/>
      <c r="J52" s="7"/>
      <c r="K52" s="7"/>
      <c r="L52" s="7"/>
      <c r="M52" s="7"/>
    </row>
    <row r="53" spans="1:18" s="115" customFormat="1" ht="30" x14ac:dyDescent="0.2">
      <c r="A53" s="275" t="s">
        <v>298</v>
      </c>
      <c r="B53" s="111"/>
      <c r="C53" s="125" t="s">
        <v>3</v>
      </c>
      <c r="F53" s="260" t="s">
        <v>4</v>
      </c>
      <c r="G53" s="111"/>
      <c r="H53" s="272" t="s">
        <v>40</v>
      </c>
      <c r="I53" s="148" t="s">
        <v>5</v>
      </c>
      <c r="J53" s="111"/>
      <c r="K53" s="111"/>
      <c r="L53" s="111"/>
      <c r="M53" s="111"/>
    </row>
    <row r="54" spans="1:18" s="56" customFormat="1" ht="15" x14ac:dyDescent="0.2">
      <c r="A54" s="274"/>
      <c r="B54" s="19"/>
      <c r="C54" s="20"/>
      <c r="D54" s="19"/>
      <c r="E54" s="19"/>
      <c r="F54" s="100"/>
      <c r="G54" s="19"/>
      <c r="H54" s="100"/>
      <c r="I54" s="35"/>
      <c r="J54" s="19"/>
      <c r="K54" s="19"/>
      <c r="L54" s="19"/>
      <c r="M54" s="7"/>
    </row>
    <row r="55" spans="1:18" s="56" customFormat="1" ht="15" hidden="1" x14ac:dyDescent="0.2">
      <c r="A55" s="274"/>
      <c r="B55" s="19"/>
      <c r="C55" s="20"/>
      <c r="D55" s="19"/>
      <c r="E55" s="19"/>
      <c r="F55" s="100"/>
      <c r="G55" s="19"/>
      <c r="H55" s="100"/>
      <c r="I55" s="35"/>
      <c r="J55" s="19"/>
      <c r="K55" s="19"/>
      <c r="L55" s="19"/>
      <c r="M55" s="7"/>
    </row>
    <row r="56" spans="1:18" ht="15" x14ac:dyDescent="0.2">
      <c r="A56" s="277">
        <v>4</v>
      </c>
      <c r="B56" s="14" t="s">
        <v>6</v>
      </c>
      <c r="C56" s="15"/>
      <c r="D56" s="7"/>
      <c r="E56" s="7"/>
      <c r="F56" s="30"/>
      <c r="G56" s="7"/>
      <c r="H56" s="30"/>
      <c r="I56" s="194"/>
      <c r="J56" s="7"/>
      <c r="K56" s="7"/>
      <c r="L56" s="7"/>
      <c r="M56" s="7"/>
    </row>
    <row r="57" spans="1:18" ht="18" x14ac:dyDescent="0.2">
      <c r="A57" s="277"/>
      <c r="B57" s="7" t="s">
        <v>41</v>
      </c>
      <c r="C57" s="29" t="s">
        <v>47</v>
      </c>
      <c r="D57" s="126"/>
      <c r="E57" s="126"/>
      <c r="F57" s="30">
        <v>21</v>
      </c>
      <c r="G57" s="120"/>
      <c r="H57" s="120"/>
      <c r="I57" s="134"/>
      <c r="J57" s="7"/>
      <c r="K57" s="7"/>
      <c r="L57" s="7"/>
      <c r="M57" s="7"/>
    </row>
    <row r="58" spans="1:18" s="48" customFormat="1" ht="92.25" customHeight="1" x14ac:dyDescent="0.2">
      <c r="A58" s="276"/>
      <c r="B58" s="322" t="s">
        <v>42</v>
      </c>
      <c r="C58" s="392" t="s">
        <v>74</v>
      </c>
      <c r="D58" s="393"/>
      <c r="E58" s="252"/>
      <c r="F58" s="49">
        <v>38</v>
      </c>
      <c r="G58" s="11"/>
      <c r="H58" s="49"/>
      <c r="I58" s="44"/>
      <c r="J58" s="11"/>
      <c r="K58" s="11"/>
      <c r="L58" s="11"/>
      <c r="M58" s="11"/>
    </row>
    <row r="59" spans="1:18" s="48" customFormat="1" ht="18" x14ac:dyDescent="0.2">
      <c r="A59" s="276"/>
      <c r="B59" s="11" t="s">
        <v>46</v>
      </c>
      <c r="C59" s="163" t="s">
        <v>103</v>
      </c>
      <c r="D59" s="126"/>
      <c r="E59" s="126"/>
      <c r="F59" s="49">
        <f>23*0.04</f>
        <v>0.92</v>
      </c>
      <c r="G59" s="11"/>
      <c r="H59" s="49"/>
      <c r="I59" s="44"/>
      <c r="J59" s="11"/>
      <c r="K59" s="11"/>
      <c r="L59" s="11"/>
      <c r="M59" s="11"/>
    </row>
    <row r="60" spans="1:18" s="114" customFormat="1" ht="18" x14ac:dyDescent="0.2">
      <c r="A60" s="276"/>
      <c r="B60" s="11" t="s">
        <v>45</v>
      </c>
      <c r="C60" s="203" t="s">
        <v>102</v>
      </c>
      <c r="D60" s="126"/>
      <c r="E60" s="126"/>
      <c r="F60" s="49">
        <f>27*0.01</f>
        <v>0.27</v>
      </c>
      <c r="G60" s="187"/>
      <c r="H60" s="187"/>
      <c r="I60" s="195"/>
      <c r="J60" s="11"/>
      <c r="K60" s="11"/>
      <c r="L60" s="11"/>
      <c r="M60" s="11"/>
    </row>
    <row r="61" spans="1:18" s="48" customFormat="1" ht="15" x14ac:dyDescent="0.2">
      <c r="A61" s="276"/>
      <c r="B61" s="11" t="s">
        <v>49</v>
      </c>
      <c r="C61" s="124" t="s">
        <v>101</v>
      </c>
      <c r="D61" s="234" t="s">
        <v>80</v>
      </c>
      <c r="E61" s="234"/>
      <c r="F61" s="188"/>
      <c r="G61" s="187"/>
      <c r="H61" s="187"/>
      <c r="I61" s="195"/>
      <c r="J61" s="11"/>
      <c r="K61" s="11"/>
      <c r="L61" s="11"/>
      <c r="M61" s="11"/>
    </row>
    <row r="62" spans="1:18" s="48" customFormat="1" ht="15" x14ac:dyDescent="0.2">
      <c r="A62" s="276"/>
      <c r="B62" s="11" t="s">
        <v>50</v>
      </c>
      <c r="C62" s="124" t="s">
        <v>100</v>
      </c>
      <c r="D62" s="234" t="s">
        <v>80</v>
      </c>
      <c r="E62" s="234"/>
      <c r="F62" s="188"/>
      <c r="G62" s="187"/>
      <c r="H62" s="187"/>
      <c r="I62" s="195"/>
      <c r="J62" s="11"/>
      <c r="K62" s="11"/>
      <c r="L62" s="11"/>
      <c r="M62" s="11"/>
    </row>
    <row r="63" spans="1:18" s="48" customFormat="1" ht="15" x14ac:dyDescent="0.2">
      <c r="A63" s="276"/>
      <c r="B63" s="11" t="s">
        <v>51</v>
      </c>
      <c r="C63" s="124" t="s">
        <v>104</v>
      </c>
      <c r="D63" s="234" t="s">
        <v>80</v>
      </c>
      <c r="E63" s="234"/>
      <c r="F63" s="49"/>
      <c r="G63" s="11"/>
      <c r="H63" s="49"/>
      <c r="I63" s="44"/>
      <c r="J63" s="11"/>
      <c r="K63" s="11"/>
      <c r="L63" s="11"/>
      <c r="M63" s="11"/>
    </row>
    <row r="64" spans="1:18" s="65" customFormat="1" ht="18.75" x14ac:dyDescent="0.25">
      <c r="A64" s="321"/>
      <c r="B64" s="11" t="s">
        <v>52</v>
      </c>
      <c r="C64" s="124" t="s">
        <v>105</v>
      </c>
      <c r="D64" s="126"/>
      <c r="E64" s="126"/>
      <c r="F64" s="49">
        <v>0</v>
      </c>
      <c r="G64" s="129"/>
      <c r="H64" s="236"/>
      <c r="I64" s="228"/>
      <c r="J64" s="129"/>
      <c r="K64" s="129"/>
      <c r="L64" s="129"/>
      <c r="M64" s="129"/>
    </row>
    <row r="65" spans="1:13" s="65" customFormat="1" ht="18.75" x14ac:dyDescent="0.25">
      <c r="A65" s="321"/>
      <c r="B65" s="11"/>
      <c r="C65" s="124"/>
      <c r="D65" s="126"/>
      <c r="E65" s="126"/>
      <c r="F65" s="49"/>
      <c r="G65" s="129"/>
      <c r="H65" s="236"/>
      <c r="I65" s="228"/>
      <c r="J65" s="129"/>
      <c r="K65" s="129"/>
      <c r="L65" s="129"/>
      <c r="M65" s="129"/>
    </row>
    <row r="66" spans="1:13" s="48" customFormat="1" ht="18" x14ac:dyDescent="0.2">
      <c r="A66" s="276"/>
      <c r="B66" s="126"/>
      <c r="C66" s="124" t="s">
        <v>195</v>
      </c>
      <c r="D66" s="126"/>
      <c r="E66" s="126"/>
      <c r="F66" s="49">
        <f>SUM($F$56:$F$64)</f>
        <v>60.190000000000005</v>
      </c>
      <c r="G66" s="11" t="s">
        <v>15</v>
      </c>
      <c r="H66" s="49">
        <v>37.44</v>
      </c>
      <c r="I66" s="45">
        <f>($H$66/60)*$F$66</f>
        <v>37.55856</v>
      </c>
      <c r="J66" s="11"/>
      <c r="K66" s="11"/>
      <c r="L66" s="11"/>
      <c r="M66" s="11"/>
    </row>
    <row r="67" spans="1:13" ht="15" x14ac:dyDescent="0.2">
      <c r="A67" s="277"/>
      <c r="B67" s="7"/>
      <c r="C67" s="15"/>
      <c r="D67" s="7"/>
      <c r="E67" s="7"/>
      <c r="F67" s="30"/>
      <c r="G67" s="7"/>
      <c r="H67" s="30"/>
      <c r="I67" s="194"/>
      <c r="J67" s="7"/>
      <c r="K67" s="7"/>
      <c r="L67" s="7"/>
      <c r="M67" s="7"/>
    </row>
    <row r="68" spans="1:13" ht="15" x14ac:dyDescent="0.2">
      <c r="A68" s="277">
        <v>5</v>
      </c>
      <c r="B68" s="14" t="s">
        <v>7</v>
      </c>
      <c r="C68" s="15"/>
      <c r="D68" s="7"/>
      <c r="E68" s="7"/>
      <c r="F68" s="30"/>
      <c r="G68" s="7"/>
      <c r="H68" s="30"/>
      <c r="I68" s="194"/>
      <c r="J68" s="7"/>
      <c r="K68" s="7"/>
      <c r="L68" s="7"/>
      <c r="M68" s="7"/>
    </row>
    <row r="69" spans="1:13" ht="15" x14ac:dyDescent="0.2">
      <c r="A69" s="277"/>
      <c r="B69" s="14"/>
      <c r="C69" s="124" t="s">
        <v>107</v>
      </c>
      <c r="D69" s="56"/>
      <c r="E69" s="56"/>
      <c r="F69" s="30"/>
      <c r="G69" s="7"/>
      <c r="H69" s="30"/>
      <c r="I69" s="44">
        <v>0.12</v>
      </c>
      <c r="J69" s="7"/>
      <c r="K69" s="7"/>
      <c r="L69" s="7"/>
      <c r="M69" s="7"/>
    </row>
    <row r="70" spans="1:13" ht="15" x14ac:dyDescent="0.2">
      <c r="A70" s="277"/>
      <c r="B70" s="14"/>
      <c r="C70" s="124" t="s">
        <v>124</v>
      </c>
      <c r="D70" s="235"/>
      <c r="E70" s="235"/>
      <c r="F70" s="30"/>
      <c r="G70" s="7"/>
      <c r="H70" s="30"/>
      <c r="I70" s="44">
        <v>0.67</v>
      </c>
      <c r="J70" s="7"/>
      <c r="K70" s="7"/>
      <c r="L70" s="7"/>
      <c r="M70" s="7"/>
    </row>
    <row r="71" spans="1:13" ht="15" x14ac:dyDescent="0.2">
      <c r="A71" s="277"/>
      <c r="B71" s="14"/>
      <c r="C71" s="124" t="s">
        <v>108</v>
      </c>
      <c r="D71" s="235"/>
      <c r="E71" s="235"/>
      <c r="F71" s="30"/>
      <c r="G71" s="7"/>
      <c r="H71" s="30"/>
      <c r="I71" s="44">
        <v>0.65</v>
      </c>
      <c r="J71" s="7"/>
      <c r="K71" s="7"/>
      <c r="L71" s="7"/>
      <c r="M71" s="7"/>
    </row>
    <row r="72" spans="1:13" ht="15" x14ac:dyDescent="0.2">
      <c r="A72" s="277"/>
      <c r="B72" s="14"/>
      <c r="C72" s="124" t="s">
        <v>109</v>
      </c>
      <c r="D72" s="56"/>
      <c r="E72" s="56"/>
      <c r="F72" s="30"/>
      <c r="G72" s="7"/>
      <c r="H72" s="30"/>
      <c r="I72" s="44">
        <v>0.02</v>
      </c>
      <c r="J72" s="7"/>
      <c r="K72" s="7"/>
      <c r="L72" s="7"/>
      <c r="M72" s="7"/>
    </row>
    <row r="73" spans="1:13" ht="15" x14ac:dyDescent="0.2">
      <c r="A73" s="277"/>
      <c r="B73" s="14"/>
      <c r="C73" s="124" t="s">
        <v>112</v>
      </c>
      <c r="D73" s="56"/>
      <c r="E73" s="56"/>
      <c r="F73" s="30"/>
      <c r="G73" s="7"/>
      <c r="H73" s="30"/>
      <c r="I73" s="44">
        <v>0.28999999999999998</v>
      </c>
      <c r="J73" s="7"/>
      <c r="K73" s="56"/>
      <c r="L73" s="7"/>
      <c r="M73" s="7"/>
    </row>
    <row r="74" spans="1:13" ht="15" x14ac:dyDescent="0.2">
      <c r="A74" s="277"/>
      <c r="B74" s="14"/>
      <c r="C74" s="124" t="s">
        <v>113</v>
      </c>
      <c r="D74" s="56"/>
      <c r="E74" s="56"/>
      <c r="F74" s="30"/>
      <c r="G74" s="7"/>
      <c r="H74" s="30"/>
      <c r="I74" s="44">
        <v>0.09</v>
      </c>
      <c r="J74" s="7"/>
      <c r="K74" s="56"/>
      <c r="L74" s="7"/>
      <c r="M74" s="7"/>
    </row>
    <row r="75" spans="1:13" ht="15" x14ac:dyDescent="0.2">
      <c r="A75" s="277"/>
      <c r="B75" s="14"/>
      <c r="C75" s="124" t="s">
        <v>111</v>
      </c>
      <c r="D75" s="56"/>
      <c r="E75" s="56"/>
      <c r="F75" s="30"/>
      <c r="G75" s="7"/>
      <c r="H75" s="30"/>
      <c r="I75" s="44">
        <v>5.0000000000000001E-3</v>
      </c>
      <c r="J75" s="7"/>
      <c r="K75" s="56"/>
      <c r="L75" s="7"/>
      <c r="M75" s="7"/>
    </row>
    <row r="76" spans="1:13" ht="15" x14ac:dyDescent="0.2">
      <c r="A76" s="277"/>
      <c r="B76" s="14"/>
      <c r="C76" s="124" t="s">
        <v>125</v>
      </c>
      <c r="D76" s="56"/>
      <c r="E76" s="56"/>
      <c r="F76" s="30"/>
      <c r="G76" s="7"/>
      <c r="H76" s="30"/>
      <c r="I76" s="44">
        <v>2.15</v>
      </c>
      <c r="J76" s="30"/>
      <c r="K76" s="56"/>
      <c r="L76" s="7"/>
      <c r="M76" s="7"/>
    </row>
    <row r="77" spans="1:13" ht="15" x14ac:dyDescent="0.2">
      <c r="A77" s="277"/>
      <c r="B77" s="7"/>
      <c r="C77" s="15"/>
      <c r="D77" s="7"/>
      <c r="E77" s="7"/>
      <c r="F77" s="30"/>
      <c r="G77" s="7"/>
      <c r="H77" s="30"/>
      <c r="I77" s="194"/>
      <c r="J77" s="7"/>
      <c r="K77" s="7"/>
      <c r="L77" s="7"/>
      <c r="M77" s="7"/>
    </row>
    <row r="78" spans="1:13" ht="15" x14ac:dyDescent="0.2">
      <c r="A78" s="276">
        <v>6</v>
      </c>
      <c r="B78" s="31" t="s">
        <v>8</v>
      </c>
      <c r="C78" s="124"/>
      <c r="D78" s="11"/>
      <c r="E78" s="11"/>
      <c r="F78" s="49"/>
      <c r="G78" s="11"/>
      <c r="H78" s="49"/>
      <c r="I78" s="44"/>
      <c r="J78" s="11"/>
      <c r="K78" s="7"/>
      <c r="L78" s="7"/>
      <c r="M78" s="7"/>
    </row>
    <row r="79" spans="1:13" ht="15" x14ac:dyDescent="0.2">
      <c r="A79" s="276"/>
      <c r="B79" s="31" t="s">
        <v>41</v>
      </c>
      <c r="C79" s="383" t="s">
        <v>73</v>
      </c>
      <c r="D79" s="383"/>
      <c r="E79" s="163"/>
      <c r="F79" s="49"/>
      <c r="G79" s="11"/>
      <c r="H79" s="49"/>
      <c r="I79" s="44"/>
      <c r="J79" s="11"/>
      <c r="K79" s="7"/>
      <c r="L79" s="7"/>
      <c r="M79" s="7"/>
    </row>
    <row r="80" spans="1:13" ht="15" x14ac:dyDescent="0.2">
      <c r="A80" s="276"/>
      <c r="B80" s="31"/>
      <c r="C80" s="124"/>
      <c r="D80" s="11"/>
      <c r="E80" s="11"/>
      <c r="F80" s="113"/>
      <c r="G80" s="11"/>
      <c r="H80" s="49"/>
      <c r="I80" s="45"/>
      <c r="J80" s="11"/>
      <c r="K80" s="7"/>
      <c r="L80" s="7"/>
      <c r="M80" s="7"/>
    </row>
    <row r="81" spans="1:13" s="48" customFormat="1" ht="15" x14ac:dyDescent="0.2">
      <c r="A81" s="276"/>
      <c r="B81" s="31" t="s">
        <v>42</v>
      </c>
      <c r="C81" s="384" t="s">
        <v>170</v>
      </c>
      <c r="D81" s="384"/>
      <c r="E81" s="66"/>
      <c r="F81" s="49"/>
      <c r="G81" s="11"/>
      <c r="H81" s="49"/>
      <c r="I81" s="44">
        <f>$I$66*(4.9/60)</f>
        <v>3.0672824000000003</v>
      </c>
      <c r="J81" s="11"/>
      <c r="K81" s="11"/>
      <c r="L81" s="11"/>
      <c r="M81" s="11"/>
    </row>
    <row r="82" spans="1:13" ht="15" x14ac:dyDescent="0.2">
      <c r="A82" s="276"/>
      <c r="B82" s="11"/>
      <c r="C82" s="124"/>
      <c r="D82" s="11"/>
      <c r="E82" s="11"/>
      <c r="F82" s="49"/>
      <c r="G82" s="11"/>
      <c r="H82" s="49"/>
      <c r="I82" s="44"/>
      <c r="J82" s="11"/>
      <c r="K82" s="7"/>
      <c r="L82" s="7"/>
      <c r="M82" s="7"/>
    </row>
    <row r="83" spans="1:13" ht="15" x14ac:dyDescent="0.2">
      <c r="A83" s="276">
        <v>7</v>
      </c>
      <c r="B83" s="31" t="s">
        <v>98</v>
      </c>
      <c r="C83" s="124"/>
      <c r="D83" s="11"/>
      <c r="E83" s="11"/>
      <c r="F83" s="49"/>
      <c r="G83" s="11"/>
      <c r="H83" s="49"/>
      <c r="I83" s="44"/>
      <c r="J83" s="11"/>
      <c r="K83" s="7"/>
      <c r="L83" s="7"/>
      <c r="M83" s="7"/>
    </row>
    <row r="84" spans="1:13" s="48" customFormat="1" ht="18" x14ac:dyDescent="0.2">
      <c r="A84" s="276"/>
      <c r="B84" s="11"/>
      <c r="C84" s="383" t="s">
        <v>99</v>
      </c>
      <c r="D84" s="383"/>
      <c r="E84" s="163"/>
      <c r="F84" s="49"/>
      <c r="G84" s="11"/>
      <c r="H84" s="126"/>
      <c r="I84" s="44">
        <f>$F$66*(3.19/60)</f>
        <v>3.2001016666666668</v>
      </c>
      <c r="J84" s="11"/>
      <c r="K84" s="11"/>
      <c r="L84" s="11"/>
      <c r="M84" s="11"/>
    </row>
    <row r="85" spans="1:13" ht="15" x14ac:dyDescent="0.2">
      <c r="A85" s="276"/>
      <c r="B85" s="11"/>
      <c r="C85" s="15"/>
      <c r="D85" s="11"/>
      <c r="E85" s="11"/>
      <c r="F85" s="49"/>
      <c r="G85" s="11"/>
      <c r="H85" s="49"/>
      <c r="I85" s="44"/>
      <c r="J85" s="11"/>
      <c r="K85" s="7"/>
      <c r="L85" s="7"/>
      <c r="M85" s="7"/>
    </row>
    <row r="86" spans="1:13" s="48" customFormat="1" ht="18" x14ac:dyDescent="0.2">
      <c r="A86" s="276">
        <v>8</v>
      </c>
      <c r="B86" s="33" t="s">
        <v>9</v>
      </c>
      <c r="C86" s="124"/>
      <c r="D86" s="11"/>
      <c r="E86" s="11"/>
      <c r="F86" s="49"/>
      <c r="G86" s="11"/>
      <c r="H86" s="126"/>
      <c r="I86" s="44">
        <f>(89.17-$I$66-$I$81)*0.08</f>
        <v>3.8835326079999999</v>
      </c>
      <c r="J86" s="11"/>
      <c r="K86" s="11"/>
      <c r="L86" s="11"/>
      <c r="M86" s="11"/>
    </row>
    <row r="87" spans="1:13" ht="15" x14ac:dyDescent="0.2">
      <c r="A87" s="276"/>
      <c r="B87" s="11"/>
      <c r="C87" s="124"/>
      <c r="D87" s="11"/>
      <c r="E87" s="11"/>
      <c r="F87" s="49"/>
      <c r="G87" s="11"/>
      <c r="H87" s="49"/>
      <c r="I87" s="44"/>
      <c r="J87" s="11"/>
      <c r="K87" s="7"/>
      <c r="L87" s="7"/>
      <c r="M87" s="7"/>
    </row>
    <row r="88" spans="1:13" ht="15" x14ac:dyDescent="0.2">
      <c r="A88" s="276">
        <v>9</v>
      </c>
      <c r="B88" s="31" t="s">
        <v>258</v>
      </c>
      <c r="C88" s="31"/>
      <c r="D88" s="211"/>
      <c r="E88" s="211"/>
      <c r="F88" s="229"/>
      <c r="G88" s="211"/>
      <c r="H88" s="229"/>
      <c r="I88" s="230"/>
      <c r="J88" s="11"/>
      <c r="K88" s="7"/>
      <c r="L88" s="7"/>
      <c r="M88" s="7"/>
    </row>
    <row r="89" spans="1:13" s="48" customFormat="1" ht="15" x14ac:dyDescent="0.2">
      <c r="A89" s="276"/>
      <c r="B89" s="11"/>
      <c r="C89" s="124" t="s">
        <v>248</v>
      </c>
      <c r="D89" s="11"/>
      <c r="E89" s="11"/>
      <c r="F89" s="49"/>
      <c r="G89" s="11"/>
      <c r="H89" s="49"/>
      <c r="I89" s="44">
        <f>'Page 5 DISC'!$I$79</f>
        <v>29.524545833333327</v>
      </c>
      <c r="J89" s="11"/>
      <c r="K89" s="11"/>
      <c r="L89" s="11"/>
      <c r="M89" s="11"/>
    </row>
    <row r="90" spans="1:13" ht="15" x14ac:dyDescent="0.2">
      <c r="A90" s="276"/>
      <c r="B90" s="11"/>
      <c r="C90" s="124"/>
      <c r="D90" s="11"/>
      <c r="E90" s="11"/>
      <c r="F90" s="49"/>
      <c r="G90" s="11"/>
      <c r="H90" s="49"/>
      <c r="I90" s="46"/>
      <c r="J90" s="11"/>
      <c r="K90" s="7"/>
      <c r="L90" s="7"/>
      <c r="M90" s="7"/>
    </row>
    <row r="91" spans="1:13" ht="15.75" thickBot="1" x14ac:dyDescent="0.25">
      <c r="A91" s="276">
        <v>10</v>
      </c>
      <c r="B91" s="31" t="s">
        <v>13</v>
      </c>
      <c r="C91" s="124"/>
      <c r="D91" s="11"/>
      <c r="E91" s="11"/>
      <c r="F91" s="49"/>
      <c r="G91" s="11"/>
      <c r="H91" s="49"/>
      <c r="I91" s="40">
        <f>SUM($I$24:$I$90)</f>
        <v>86.849354174666672</v>
      </c>
      <c r="J91" s="11"/>
      <c r="K91" s="7"/>
      <c r="L91" s="7"/>
      <c r="M91" s="7"/>
    </row>
    <row r="92" spans="1:13" ht="15.75" thickTop="1" x14ac:dyDescent="0.2">
      <c r="A92" s="276"/>
      <c r="B92" s="11"/>
      <c r="C92" s="124"/>
      <c r="D92" s="11"/>
      <c r="E92" s="11"/>
      <c r="F92" s="49"/>
      <c r="G92" s="11"/>
      <c r="H92" s="49"/>
      <c r="I92" s="45"/>
      <c r="J92" s="11"/>
      <c r="K92" s="7"/>
      <c r="L92" s="7"/>
      <c r="M92" s="7"/>
    </row>
    <row r="93" spans="1:13" s="48" customFormat="1" ht="20.25" x14ac:dyDescent="0.35">
      <c r="A93" s="276">
        <v>11</v>
      </c>
      <c r="B93" s="223" t="s">
        <v>36</v>
      </c>
      <c r="C93" s="124"/>
      <c r="D93" s="11"/>
      <c r="E93" s="11"/>
      <c r="F93" s="49"/>
      <c r="G93" s="11"/>
      <c r="H93" s="126"/>
      <c r="I93" s="51">
        <f>($F$58*($H$66/60))+$I$86</f>
        <v>27.595532607999999</v>
      </c>
      <c r="J93" s="11"/>
      <c r="K93" s="224"/>
      <c r="L93" s="11"/>
      <c r="M93" s="11"/>
    </row>
    <row r="94" spans="1:13" s="115" customFormat="1" ht="15" x14ac:dyDescent="0.2">
      <c r="A94" s="284"/>
      <c r="B94" s="284"/>
      <c r="C94" s="354"/>
      <c r="D94" s="284"/>
      <c r="E94" s="284"/>
      <c r="F94" s="355"/>
      <c r="G94" s="284"/>
      <c r="H94" s="355"/>
      <c r="I94" s="356"/>
      <c r="J94" s="284"/>
      <c r="K94" s="111"/>
      <c r="L94" s="111"/>
      <c r="M94" s="111"/>
    </row>
    <row r="95" spans="1:13" x14ac:dyDescent="0.15">
      <c r="A95" s="56"/>
      <c r="B95" s="56"/>
      <c r="C95" s="56"/>
      <c r="D95" s="56"/>
      <c r="E95" s="56"/>
      <c r="F95" s="233"/>
      <c r="G95" s="56"/>
      <c r="H95" s="56"/>
      <c r="I95" s="184"/>
      <c r="J95" s="56"/>
      <c r="K95" s="56"/>
      <c r="L95" s="56"/>
      <c r="M95" s="56"/>
    </row>
    <row r="96" spans="1:13" x14ac:dyDescent="0.15">
      <c r="A96" s="56"/>
      <c r="B96" s="56"/>
      <c r="C96" s="56"/>
      <c r="D96" s="56"/>
      <c r="E96" s="56"/>
      <c r="F96" s="233"/>
      <c r="G96" s="56"/>
      <c r="H96" s="56"/>
      <c r="I96" s="184"/>
      <c r="J96" s="56"/>
      <c r="K96" s="56"/>
      <c r="L96" s="56"/>
      <c r="M96" s="56"/>
    </row>
    <row r="97" spans="1:13" x14ac:dyDescent="0.15">
      <c r="A97" s="56"/>
      <c r="B97" s="56"/>
      <c r="C97" s="56"/>
      <c r="D97" s="56"/>
      <c r="E97" s="56"/>
      <c r="F97" s="233"/>
      <c r="G97" s="56"/>
      <c r="H97" s="56"/>
      <c r="I97" s="184"/>
      <c r="J97" s="56"/>
      <c r="K97" s="56"/>
      <c r="L97" s="56"/>
      <c r="M97" s="56"/>
    </row>
    <row r="98" spans="1:13" x14ac:dyDescent="0.15">
      <c r="A98" s="56"/>
      <c r="B98" s="56"/>
      <c r="C98" s="56"/>
      <c r="D98" s="56"/>
      <c r="E98" s="56"/>
      <c r="F98" s="233"/>
      <c r="G98" s="56"/>
      <c r="H98" s="56"/>
      <c r="I98" s="184"/>
      <c r="J98" s="56"/>
      <c r="K98" s="56"/>
      <c r="L98" s="56"/>
      <c r="M98" s="56"/>
    </row>
    <row r="99" spans="1:13" x14ac:dyDescent="0.15">
      <c r="A99" s="56"/>
      <c r="B99" s="56"/>
      <c r="C99" s="56"/>
      <c r="D99" s="56"/>
      <c r="E99" s="56"/>
      <c r="F99" s="233"/>
      <c r="G99" s="56"/>
      <c r="H99" s="56"/>
      <c r="I99" s="184"/>
      <c r="J99" s="56"/>
      <c r="K99" s="56"/>
      <c r="L99" s="56"/>
      <c r="M99" s="56"/>
    </row>
    <row r="100" spans="1:13" ht="15" x14ac:dyDescent="0.2">
      <c r="A100" s="56"/>
      <c r="B100" s="56"/>
      <c r="C100" s="124" t="s">
        <v>63</v>
      </c>
      <c r="D100" s="56"/>
      <c r="E100" s="56"/>
      <c r="F100" s="233"/>
      <c r="G100" s="56"/>
      <c r="H100" s="56"/>
      <c r="I100" s="184"/>
      <c r="J100" s="56"/>
      <c r="K100" s="56"/>
      <c r="L100" s="56"/>
      <c r="M100" s="56"/>
    </row>
    <row r="101" spans="1:13" s="114" customFormat="1" ht="18" x14ac:dyDescent="0.2">
      <c r="B101" s="126">
        <v>3</v>
      </c>
      <c r="C101" s="252" t="s">
        <v>78</v>
      </c>
      <c r="F101" s="265"/>
      <c r="I101" s="266"/>
    </row>
    <row r="102" spans="1:13" s="48" customFormat="1" ht="18" x14ac:dyDescent="0.2">
      <c r="B102" s="76">
        <v>4</v>
      </c>
      <c r="C102" s="9" t="s">
        <v>81</v>
      </c>
      <c r="F102" s="58"/>
      <c r="I102" s="59"/>
    </row>
    <row r="103" spans="1:13" s="48" customFormat="1" ht="18" x14ac:dyDescent="0.2">
      <c r="B103" s="76">
        <v>5</v>
      </c>
      <c r="C103" s="9" t="s">
        <v>82</v>
      </c>
      <c r="F103" s="58"/>
      <c r="I103" s="59"/>
    </row>
    <row r="104" spans="1:13" s="48" customFormat="1" ht="30" x14ac:dyDescent="0.2">
      <c r="B104" s="76">
        <v>6</v>
      </c>
      <c r="C104" s="9" t="s">
        <v>159</v>
      </c>
      <c r="F104" s="58"/>
      <c r="I104" s="59"/>
    </row>
    <row r="105" spans="1:13" s="48" customFormat="1" ht="30" x14ac:dyDescent="0.2">
      <c r="B105" s="76">
        <v>7</v>
      </c>
      <c r="C105" s="9" t="s">
        <v>139</v>
      </c>
      <c r="F105" s="58"/>
      <c r="I105" s="59"/>
    </row>
    <row r="106" spans="1:13" s="48" customFormat="1" ht="18" x14ac:dyDescent="0.2">
      <c r="B106" s="76">
        <v>8</v>
      </c>
      <c r="C106" s="9" t="s">
        <v>171</v>
      </c>
      <c r="F106" s="58"/>
      <c r="I106" s="59"/>
    </row>
    <row r="107" spans="1:13" s="48" customFormat="1" ht="18" x14ac:dyDescent="0.2">
      <c r="B107" s="101"/>
      <c r="C107" s="63"/>
      <c r="F107" s="58"/>
      <c r="I107" s="59"/>
    </row>
    <row r="108" spans="1:13" s="48" customFormat="1" ht="30" x14ac:dyDescent="0.2">
      <c r="B108" s="76">
        <v>10</v>
      </c>
      <c r="C108" s="9" t="s">
        <v>75</v>
      </c>
      <c r="F108" s="58"/>
      <c r="I108" s="59"/>
    </row>
    <row r="109" spans="1:13" ht="18" x14ac:dyDescent="0.2">
      <c r="B109" s="76">
        <v>11</v>
      </c>
      <c r="C109" s="9" t="s">
        <v>85</v>
      </c>
    </row>
    <row r="110" spans="1:13" ht="45" x14ac:dyDescent="0.2">
      <c r="B110" s="76">
        <v>12</v>
      </c>
      <c r="C110" s="9" t="s">
        <v>188</v>
      </c>
    </row>
    <row r="111" spans="1:13" ht="30" x14ac:dyDescent="0.2">
      <c r="B111" s="76">
        <v>13</v>
      </c>
      <c r="C111" s="9" t="s">
        <v>106</v>
      </c>
    </row>
    <row r="112" spans="1:13" ht="30" x14ac:dyDescent="0.2">
      <c r="B112" s="76">
        <v>14</v>
      </c>
      <c r="C112" s="9" t="s">
        <v>114</v>
      </c>
    </row>
  </sheetData>
  <mergeCells count="17">
    <mergeCell ref="C20:D20"/>
    <mergeCell ref="C23:D23"/>
    <mergeCell ref="C31:D31"/>
    <mergeCell ref="J3:K3"/>
    <mergeCell ref="C17:D17"/>
    <mergeCell ref="C18:D18"/>
    <mergeCell ref="C19:D19"/>
    <mergeCell ref="C27:D27"/>
    <mergeCell ref="D3:H3"/>
    <mergeCell ref="D5:H5"/>
    <mergeCell ref="D6:H6"/>
    <mergeCell ref="D7:H7"/>
    <mergeCell ref="J44:K44"/>
    <mergeCell ref="C84:D84"/>
    <mergeCell ref="C79:D79"/>
    <mergeCell ref="C81:D81"/>
    <mergeCell ref="C58:D58"/>
  </mergeCells>
  <phoneticPr fontId="4" type="noConversion"/>
  <printOptions horizontalCentered="1"/>
  <pageMargins left="0.25" right="0.25" top="0.75" bottom="0.5" header="0.3" footer="0.3"/>
  <pageSetup scale="57" fitToHeight="0" orientation="landscape" r:id="rId1"/>
  <headerFooter alignWithMargins="0">
    <oddFooter xml:space="preserve">&amp;LSUPPORTING SCHEDULES:&amp;RRECAP SCHEDULES:  </oddFooter>
  </headerFooter>
  <rowBreaks count="1" manualBreakCount="1">
    <brk id="4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M108"/>
  <sheetViews>
    <sheetView tabSelected="1" view="pageBreakPreview" zoomScale="80" zoomScaleNormal="75" zoomScaleSheetLayoutView="80" workbookViewId="0">
      <selection activeCell="C83" sqref="C83"/>
    </sheetView>
  </sheetViews>
  <sheetFormatPr defaultColWidth="9" defaultRowHeight="12" x14ac:dyDescent="0.15"/>
  <cols>
    <col min="1" max="1" width="12" style="53" customWidth="1"/>
    <col min="2" max="2" width="4.375" style="53" customWidth="1"/>
    <col min="3" max="3" width="81.25" style="53" customWidth="1"/>
    <col min="4" max="4" width="60" style="53" customWidth="1"/>
    <col min="5" max="5" width="8.25" style="53" customWidth="1"/>
    <col min="6" max="6" width="9" style="54"/>
    <col min="7" max="7" width="10.5" style="53" customWidth="1"/>
    <col min="8" max="8" width="18.625" style="53" customWidth="1"/>
    <col min="9" max="9" width="14.625" style="55" customWidth="1"/>
    <col min="10" max="10" width="16" style="53" customWidth="1"/>
    <col min="11" max="11" width="20.875" style="53" customWidth="1"/>
    <col min="12" max="12" width="6" style="53" customWidth="1"/>
    <col min="13" max="16384" width="9" style="53"/>
  </cols>
  <sheetData>
    <row r="1" spans="1:13" s="56" customFormat="1" x14ac:dyDescent="0.15">
      <c r="F1" s="233"/>
      <c r="I1" s="184"/>
    </row>
    <row r="2" spans="1:13" s="56" customFormat="1" ht="21" customHeight="1" x14ac:dyDescent="0.2">
      <c r="A2" s="14" t="s">
        <v>0</v>
      </c>
      <c r="B2" s="7"/>
      <c r="C2" s="15"/>
      <c r="D2" s="23" t="s">
        <v>296</v>
      </c>
      <c r="E2" s="23"/>
      <c r="F2" s="17"/>
      <c r="G2" s="16"/>
      <c r="H2" s="312"/>
      <c r="I2" s="331"/>
      <c r="J2" s="18" t="s">
        <v>256</v>
      </c>
    </row>
    <row r="3" spans="1:13" s="56" customFormat="1" ht="15" x14ac:dyDescent="0.2">
      <c r="A3" s="3"/>
      <c r="B3" s="3"/>
      <c r="C3" s="4"/>
      <c r="D3" s="334"/>
      <c r="E3" s="334"/>
      <c r="F3" s="12"/>
      <c r="G3" s="5"/>
      <c r="H3" s="310"/>
      <c r="I3" s="333"/>
      <c r="J3" s="3"/>
      <c r="K3" s="115"/>
      <c r="L3" s="3"/>
    </row>
    <row r="4" spans="1:13" s="56" customFormat="1" ht="15" x14ac:dyDescent="0.2">
      <c r="A4" s="14" t="s">
        <v>1</v>
      </c>
      <c r="B4" s="7"/>
      <c r="C4" s="15"/>
      <c r="D4" s="23" t="s">
        <v>22</v>
      </c>
      <c r="E4" s="23"/>
      <c r="F4" s="25"/>
      <c r="G4" s="24"/>
      <c r="H4" s="164"/>
      <c r="I4" s="339"/>
      <c r="J4" s="7" t="str">
        <f>+Input!B2</f>
        <v>TYPE OF DATA SHOWN:</v>
      </c>
      <c r="L4" s="11"/>
    </row>
    <row r="5" spans="1:13" s="56" customFormat="1" ht="15" x14ac:dyDescent="0.2">
      <c r="A5" s="7"/>
      <c r="B5" s="7"/>
      <c r="C5" s="15"/>
      <c r="D5" s="23" t="s">
        <v>25</v>
      </c>
      <c r="E5" s="23"/>
      <c r="F5" s="26"/>
      <c r="G5" s="23"/>
      <c r="H5" s="97"/>
      <c r="I5" s="340"/>
      <c r="J5" s="7" t="str">
        <f>+Input!B3</f>
        <v>HISTORIC BASE YEAR DATA:  12/31/19</v>
      </c>
      <c r="L5" s="27"/>
    </row>
    <row r="6" spans="1:13" s="56" customFormat="1" ht="15" x14ac:dyDescent="0.2">
      <c r="A6" s="14" t="s">
        <v>235</v>
      </c>
      <c r="B6" s="7"/>
      <c r="C6" s="15"/>
      <c r="D6" s="336" t="s">
        <v>24</v>
      </c>
      <c r="E6" s="336"/>
      <c r="F6" s="26"/>
      <c r="G6" s="24"/>
      <c r="H6" s="164"/>
      <c r="I6" s="339"/>
      <c r="J6" s="7" t="str">
        <f>+Input!B4</f>
        <v>WITNESS:  M. WHITAKER</v>
      </c>
      <c r="L6" s="25"/>
    </row>
    <row r="7" spans="1:13" s="56" customFormat="1" ht="15" x14ac:dyDescent="0.2">
      <c r="A7" s="14"/>
      <c r="B7" s="7"/>
      <c r="C7" s="15"/>
      <c r="D7" s="33"/>
      <c r="E7" s="33"/>
      <c r="F7" s="26"/>
      <c r="G7" s="24"/>
      <c r="H7" s="24"/>
      <c r="I7" s="36"/>
      <c r="J7" s="24"/>
      <c r="K7" s="24"/>
      <c r="L7" s="25"/>
    </row>
    <row r="8" spans="1:13" s="56" customFormat="1" ht="15" x14ac:dyDescent="0.2">
      <c r="A8" s="111" t="str">
        <f>+Input!A2</f>
        <v>DOCKET NO.:  20200051-GU</v>
      </c>
      <c r="B8" s="111"/>
      <c r="C8" s="323"/>
      <c r="D8" s="324"/>
      <c r="E8" s="324"/>
      <c r="F8" s="325"/>
      <c r="G8" s="326"/>
      <c r="H8" s="326"/>
      <c r="I8" s="327"/>
      <c r="J8" s="326"/>
      <c r="K8" s="326"/>
      <c r="L8" s="328"/>
    </row>
    <row r="9" spans="1:13" s="56" customFormat="1" ht="15" x14ac:dyDescent="0.2">
      <c r="A9" s="19"/>
      <c r="B9" s="19"/>
      <c r="C9" s="20"/>
      <c r="D9" s="19"/>
      <c r="E9" s="19"/>
      <c r="F9" s="100"/>
      <c r="G9" s="19"/>
      <c r="H9" s="100"/>
      <c r="I9" s="35"/>
      <c r="J9" s="19"/>
      <c r="K9" s="19"/>
      <c r="L9" s="19"/>
    </row>
    <row r="10" spans="1:13" s="56" customFormat="1" ht="15" hidden="1" x14ac:dyDescent="0.2">
      <c r="A10" s="19"/>
      <c r="B10" s="19"/>
      <c r="C10" s="20"/>
      <c r="D10" s="19"/>
      <c r="E10" s="19"/>
      <c r="F10" s="100"/>
      <c r="G10" s="19"/>
      <c r="H10" s="100"/>
      <c r="I10" s="35"/>
      <c r="J10" s="19"/>
      <c r="K10" s="19"/>
      <c r="L10" s="19"/>
    </row>
    <row r="11" spans="1:13" s="56" customFormat="1" ht="15" hidden="1" x14ac:dyDescent="0.2">
      <c r="A11" s="7"/>
      <c r="B11" s="7"/>
      <c r="C11" s="14" t="s">
        <v>3</v>
      </c>
      <c r="F11" s="32" t="s">
        <v>4</v>
      </c>
      <c r="G11" s="7"/>
      <c r="H11" s="152" t="s">
        <v>40</v>
      </c>
      <c r="I11" s="153" t="s">
        <v>5</v>
      </c>
      <c r="J11" s="7"/>
      <c r="K11" s="7"/>
      <c r="L11" s="7"/>
    </row>
    <row r="12" spans="1:13" s="56" customFormat="1" ht="9.75" customHeight="1" x14ac:dyDescent="0.2">
      <c r="A12" s="19"/>
      <c r="B12" s="19"/>
      <c r="C12" s="20"/>
      <c r="D12" s="19"/>
      <c r="E12" s="19"/>
      <c r="F12" s="100"/>
      <c r="G12" s="19"/>
      <c r="H12" s="100"/>
      <c r="I12" s="35"/>
      <c r="J12" s="19"/>
      <c r="K12" s="19"/>
      <c r="L12" s="19"/>
    </row>
    <row r="13" spans="1:13" ht="15" x14ac:dyDescent="0.2">
      <c r="A13" s="275" t="s">
        <v>297</v>
      </c>
      <c r="B13" s="111"/>
      <c r="C13" s="125" t="s">
        <v>3</v>
      </c>
      <c r="D13" s="115"/>
      <c r="E13" s="115"/>
      <c r="F13" s="397" t="s">
        <v>4</v>
      </c>
      <c r="G13" s="397"/>
      <c r="H13" s="272" t="s">
        <v>40</v>
      </c>
      <c r="I13" s="148" t="s">
        <v>5</v>
      </c>
      <c r="J13" s="111"/>
      <c r="K13" s="111"/>
      <c r="L13" s="111"/>
      <c r="M13" s="56"/>
    </row>
    <row r="14" spans="1:13" ht="36.6" customHeight="1" x14ac:dyDescent="0.2">
      <c r="A14" s="276">
        <v>1</v>
      </c>
      <c r="B14" s="31" t="s">
        <v>39</v>
      </c>
      <c r="C14" s="124"/>
      <c r="D14" s="11"/>
      <c r="E14" s="11"/>
      <c r="F14" s="49"/>
      <c r="G14" s="11"/>
      <c r="H14" s="49"/>
      <c r="I14" s="45"/>
      <c r="J14" s="7"/>
      <c r="K14" s="7"/>
      <c r="L14" s="7"/>
      <c r="M14" s="56"/>
    </row>
    <row r="15" spans="1:13" ht="21.75" customHeight="1" x14ac:dyDescent="0.2">
      <c r="A15" s="276"/>
      <c r="B15" s="31"/>
      <c r="C15" s="11" t="s">
        <v>60</v>
      </c>
      <c r="D15" s="11"/>
      <c r="E15" s="11"/>
      <c r="F15" s="49"/>
      <c r="G15" s="11"/>
      <c r="H15" s="49"/>
      <c r="I15" s="45"/>
      <c r="J15" s="7"/>
      <c r="K15" s="7"/>
      <c r="L15" s="7"/>
      <c r="M15" s="56"/>
    </row>
    <row r="16" spans="1:13" ht="21.75" customHeight="1" x14ac:dyDescent="0.2">
      <c r="A16" s="276"/>
      <c r="B16" s="31"/>
      <c r="C16" s="11" t="s">
        <v>61</v>
      </c>
      <c r="D16" s="11"/>
      <c r="E16" s="11"/>
      <c r="F16" s="49"/>
      <c r="G16" s="11"/>
      <c r="H16" s="49"/>
      <c r="I16" s="45"/>
      <c r="J16" s="7"/>
      <c r="K16" s="7"/>
      <c r="L16" s="7"/>
      <c r="M16" s="56"/>
    </row>
    <row r="17" spans="1:13" ht="21.75" customHeight="1" x14ac:dyDescent="0.2">
      <c r="A17" s="276"/>
      <c r="B17" s="31"/>
      <c r="C17" s="124" t="s">
        <v>56</v>
      </c>
      <c r="D17" s="164"/>
      <c r="E17" s="164"/>
      <c r="F17" s="49"/>
      <c r="G17" s="11"/>
      <c r="H17" s="49"/>
      <c r="I17" s="45"/>
      <c r="J17" s="7"/>
      <c r="K17" s="7"/>
      <c r="L17" s="7"/>
      <c r="M17" s="56"/>
    </row>
    <row r="18" spans="1:13" ht="21.75" customHeight="1" x14ac:dyDescent="0.2">
      <c r="A18" s="276"/>
      <c r="B18" s="31"/>
      <c r="C18" s="392" t="s">
        <v>83</v>
      </c>
      <c r="D18" s="392"/>
      <c r="E18" s="124"/>
      <c r="F18" s="49"/>
      <c r="G18" s="11"/>
      <c r="H18" s="49"/>
      <c r="I18" s="45"/>
      <c r="J18" s="7"/>
      <c r="K18" s="7"/>
      <c r="L18" s="7"/>
      <c r="M18" s="56"/>
    </row>
    <row r="19" spans="1:13" ht="21.75" customHeight="1" x14ac:dyDescent="0.2">
      <c r="A19" s="276"/>
      <c r="B19" s="31"/>
      <c r="C19" s="392" t="s">
        <v>57</v>
      </c>
      <c r="D19" s="392"/>
      <c r="E19" s="124"/>
      <c r="F19" s="49"/>
      <c r="G19" s="11"/>
      <c r="H19" s="49"/>
      <c r="I19" s="45"/>
      <c r="J19" s="7"/>
      <c r="K19" s="7"/>
      <c r="L19" s="7"/>
      <c r="M19" s="56"/>
    </row>
    <row r="20" spans="1:13" ht="21.75" customHeight="1" x14ac:dyDescent="0.2">
      <c r="A20" s="276"/>
      <c r="B20" s="31"/>
      <c r="C20" s="124" t="s">
        <v>58</v>
      </c>
      <c r="D20" s="164"/>
      <c r="E20" s="164"/>
      <c r="F20" s="49"/>
      <c r="G20" s="11"/>
      <c r="H20" s="49"/>
      <c r="I20" s="45"/>
      <c r="J20" s="7"/>
      <c r="K20" s="7"/>
      <c r="L20" s="7"/>
      <c r="M20" s="56"/>
    </row>
    <row r="21" spans="1:13" ht="21.75" customHeight="1" x14ac:dyDescent="0.2">
      <c r="A21" s="276"/>
      <c r="B21" s="31"/>
      <c r="C21" s="392" t="s">
        <v>59</v>
      </c>
      <c r="D21" s="392"/>
      <c r="E21" s="124"/>
      <c r="F21" s="49"/>
      <c r="G21" s="11"/>
      <c r="H21" s="49"/>
      <c r="I21" s="45"/>
      <c r="J21" s="7"/>
      <c r="K21" s="7"/>
      <c r="L21" s="7"/>
      <c r="M21" s="56"/>
    </row>
    <row r="22" spans="1:13" ht="21.75" customHeight="1" x14ac:dyDescent="0.2">
      <c r="A22" s="276"/>
      <c r="B22" s="31"/>
      <c r="C22" s="392" t="s">
        <v>84</v>
      </c>
      <c r="D22" s="392"/>
      <c r="E22" s="124"/>
      <c r="F22" s="49"/>
      <c r="G22" s="11"/>
      <c r="H22" s="49"/>
      <c r="I22" s="45"/>
      <c r="J22" s="7"/>
      <c r="K22" s="7"/>
      <c r="L22" s="7"/>
      <c r="M22" s="56"/>
    </row>
    <row r="23" spans="1:13" ht="15" hidden="1" x14ac:dyDescent="0.2">
      <c r="A23" s="276"/>
      <c r="B23" s="31"/>
      <c r="C23" s="124"/>
      <c r="D23" s="124"/>
      <c r="E23" s="124"/>
      <c r="F23" s="49"/>
      <c r="G23" s="11"/>
      <c r="H23" s="49"/>
      <c r="I23" s="45"/>
      <c r="J23" s="7"/>
      <c r="K23" s="7"/>
      <c r="L23" s="7"/>
      <c r="M23" s="56"/>
    </row>
    <row r="24" spans="1:13" ht="30" customHeight="1" x14ac:dyDescent="0.2">
      <c r="A24" s="276"/>
      <c r="B24" s="31"/>
      <c r="C24" s="164" t="s">
        <v>64</v>
      </c>
      <c r="D24" s="164"/>
      <c r="E24" s="164"/>
      <c r="F24" s="49"/>
      <c r="G24" s="11"/>
      <c r="H24" s="49"/>
      <c r="I24" s="45"/>
      <c r="J24" s="7"/>
      <c r="K24" s="7"/>
      <c r="L24" s="7"/>
      <c r="M24" s="56"/>
    </row>
    <row r="25" spans="1:13" ht="48.75" customHeight="1" x14ac:dyDescent="0.2">
      <c r="A25" s="276"/>
      <c r="B25" s="31"/>
      <c r="C25" s="392" t="s">
        <v>62</v>
      </c>
      <c r="D25" s="392"/>
      <c r="E25" s="124"/>
      <c r="F25" s="49"/>
      <c r="G25" s="11"/>
      <c r="H25" s="49"/>
      <c r="I25" s="45"/>
      <c r="J25" s="7"/>
      <c r="K25" s="7"/>
      <c r="L25" s="7"/>
      <c r="M25" s="56"/>
    </row>
    <row r="26" spans="1:13" s="48" customFormat="1" ht="25.5" customHeight="1" x14ac:dyDescent="0.2">
      <c r="A26" s="276"/>
      <c r="B26" s="126"/>
      <c r="C26" s="124" t="s">
        <v>167</v>
      </c>
      <c r="D26" s="11"/>
      <c r="E26" s="11"/>
      <c r="F26" s="49">
        <v>7.08</v>
      </c>
      <c r="G26" s="11" t="s">
        <v>15</v>
      </c>
      <c r="H26" s="49">
        <v>37.56</v>
      </c>
      <c r="I26" s="45">
        <f>($H$26/60)*$F$26</f>
        <v>4.43208</v>
      </c>
      <c r="J26" s="11"/>
      <c r="K26" s="11"/>
      <c r="L26" s="11"/>
      <c r="M26" s="114"/>
    </row>
    <row r="27" spans="1:13" ht="22.5" customHeight="1" x14ac:dyDescent="0.2">
      <c r="A27" s="277"/>
      <c r="B27" s="7"/>
      <c r="C27" s="15"/>
      <c r="D27" s="15"/>
      <c r="E27" s="15"/>
      <c r="F27" s="30"/>
      <c r="G27" s="7"/>
      <c r="H27" s="30"/>
      <c r="I27" s="34"/>
      <c r="J27" s="7"/>
      <c r="K27" s="7"/>
      <c r="L27" s="7"/>
      <c r="M27" s="56"/>
    </row>
    <row r="28" spans="1:13" ht="21.75" customHeight="1" x14ac:dyDescent="0.2">
      <c r="A28" s="277">
        <v>2</v>
      </c>
      <c r="B28" s="7" t="s">
        <v>44</v>
      </c>
      <c r="C28" s="186"/>
      <c r="D28" s="7"/>
      <c r="E28" s="7"/>
      <c r="F28" s="30"/>
      <c r="G28" s="7"/>
      <c r="H28" s="30"/>
      <c r="I28" s="34"/>
      <c r="J28" s="7"/>
      <c r="K28" s="7"/>
      <c r="L28" s="7"/>
      <c r="M28" s="56"/>
    </row>
    <row r="29" spans="1:13" ht="64.5" customHeight="1" x14ac:dyDescent="0.2">
      <c r="A29" s="277"/>
      <c r="B29" s="7"/>
      <c r="C29" s="398" t="s">
        <v>97</v>
      </c>
      <c r="D29" s="398"/>
      <c r="E29" s="196"/>
      <c r="F29" s="133"/>
      <c r="G29" s="120"/>
      <c r="H29" s="133"/>
      <c r="I29" s="134"/>
      <c r="J29" s="7"/>
      <c r="K29" s="7"/>
      <c r="L29" s="7"/>
      <c r="M29" s="56"/>
    </row>
    <row r="30" spans="1:13" ht="31.5" customHeight="1" x14ac:dyDescent="0.2">
      <c r="A30" s="277"/>
      <c r="B30" s="7"/>
      <c r="C30" s="196"/>
      <c r="D30" s="196"/>
      <c r="E30" s="196"/>
      <c r="F30" s="133"/>
      <c r="G30" s="120"/>
      <c r="H30" s="133"/>
      <c r="I30" s="134"/>
      <c r="J30" s="7"/>
      <c r="K30" s="7"/>
      <c r="L30" s="7"/>
      <c r="M30" s="56"/>
    </row>
    <row r="31" spans="1:13" s="48" customFormat="1" ht="21.75" customHeight="1" x14ac:dyDescent="0.2">
      <c r="A31" s="276"/>
      <c r="B31" s="126"/>
      <c r="C31" s="124" t="s">
        <v>127</v>
      </c>
      <c r="D31" s="126"/>
      <c r="E31" s="126"/>
      <c r="F31" s="49">
        <f>2*0.36</f>
        <v>0.72</v>
      </c>
      <c r="G31" s="11" t="s">
        <v>15</v>
      </c>
      <c r="H31" s="49">
        <v>37.36</v>
      </c>
      <c r="I31" s="45">
        <f>($H$31/60)*$F$31</f>
        <v>0.44832</v>
      </c>
      <c r="J31" s="11"/>
      <c r="K31" s="11"/>
      <c r="L31" s="11"/>
      <c r="M31" s="114"/>
    </row>
    <row r="32" spans="1:13" ht="21.75" customHeight="1" x14ac:dyDescent="0.2">
      <c r="A32" s="277"/>
      <c r="B32" s="7"/>
      <c r="C32" s="189"/>
      <c r="D32" s="7"/>
      <c r="E32" s="7"/>
      <c r="F32" s="30"/>
      <c r="G32" s="7"/>
      <c r="H32" s="133"/>
      <c r="I32" s="134"/>
      <c r="J32" s="7"/>
      <c r="K32" s="7"/>
      <c r="L32" s="7"/>
      <c r="M32" s="56"/>
    </row>
    <row r="33" spans="1:13" ht="15" x14ac:dyDescent="0.2">
      <c r="A33" s="277">
        <v>3</v>
      </c>
      <c r="B33" s="7" t="s">
        <v>48</v>
      </c>
      <c r="C33" s="15"/>
      <c r="D33" s="7"/>
      <c r="E33" s="7"/>
      <c r="F33" s="30"/>
      <c r="G33" s="7"/>
      <c r="H33" s="133"/>
      <c r="I33" s="134"/>
      <c r="J33" s="7"/>
      <c r="K33" s="7"/>
      <c r="L33" s="7"/>
      <c r="M33" s="56"/>
    </row>
    <row r="34" spans="1:13" s="48" customFormat="1" ht="54.75" hidden="1" customHeight="1" x14ac:dyDescent="0.2">
      <c r="A34" s="276"/>
      <c r="B34" s="11" t="s">
        <v>41</v>
      </c>
      <c r="C34" s="383" t="s">
        <v>96</v>
      </c>
      <c r="D34" s="383"/>
      <c r="E34" s="163"/>
      <c r="F34" s="49"/>
      <c r="G34" s="11"/>
      <c r="H34" s="188"/>
      <c r="I34" s="195"/>
      <c r="J34" s="11"/>
      <c r="K34" s="11"/>
      <c r="L34" s="11"/>
      <c r="M34" s="114"/>
    </row>
    <row r="35" spans="1:13" s="48" customFormat="1" ht="21.75" customHeight="1" x14ac:dyDescent="0.2">
      <c r="A35" s="276"/>
      <c r="B35" s="11"/>
      <c r="C35" s="163"/>
      <c r="D35" s="163"/>
      <c r="E35" s="163"/>
      <c r="F35" s="49"/>
      <c r="G35" s="11"/>
      <c r="H35" s="188"/>
      <c r="I35" s="195"/>
      <c r="J35" s="11"/>
      <c r="K35" s="11"/>
      <c r="L35" s="11"/>
      <c r="M35" s="114"/>
    </row>
    <row r="36" spans="1:13" s="48" customFormat="1" ht="18" x14ac:dyDescent="0.2">
      <c r="A36" s="276"/>
      <c r="B36" s="126"/>
      <c r="C36" s="124" t="s">
        <v>173</v>
      </c>
      <c r="D36" s="11"/>
      <c r="E36" s="11"/>
      <c r="F36" s="49">
        <v>3</v>
      </c>
      <c r="G36" s="11" t="s">
        <v>15</v>
      </c>
      <c r="H36" s="49">
        <v>43.34</v>
      </c>
      <c r="I36" s="45">
        <f>($H$36/60)*$F$36</f>
        <v>2.1670000000000003</v>
      </c>
      <c r="J36" s="11"/>
      <c r="K36" s="11"/>
      <c r="L36" s="11"/>
      <c r="M36" s="114"/>
    </row>
    <row r="37" spans="1:13" s="48" customFormat="1" ht="18" x14ac:dyDescent="0.2">
      <c r="A37" s="276"/>
      <c r="B37" s="126"/>
      <c r="C37" s="124"/>
      <c r="D37" s="11"/>
      <c r="E37" s="11"/>
      <c r="F37" s="49"/>
      <c r="G37" s="11"/>
      <c r="H37" s="49"/>
      <c r="I37" s="45"/>
      <c r="J37" s="11"/>
      <c r="K37" s="11"/>
      <c r="L37" s="11"/>
      <c r="M37" s="114"/>
    </row>
    <row r="38" spans="1:13" s="48" customFormat="1" ht="36.75" hidden="1" customHeight="1" x14ac:dyDescent="0.2">
      <c r="A38" s="276"/>
      <c r="B38" s="126"/>
      <c r="C38" s="124"/>
      <c r="D38" s="11"/>
      <c r="E38" s="11"/>
      <c r="F38" s="49"/>
      <c r="G38" s="11"/>
      <c r="H38" s="49"/>
      <c r="I38" s="45"/>
      <c r="J38" s="11"/>
      <c r="K38" s="11"/>
      <c r="L38" s="11"/>
      <c r="M38" s="114"/>
    </row>
    <row r="39" spans="1:13" s="48" customFormat="1" ht="27" customHeight="1" x14ac:dyDescent="0.2">
      <c r="A39" s="276"/>
      <c r="B39" s="126"/>
      <c r="C39" s="124"/>
      <c r="D39" s="11"/>
      <c r="E39" s="11"/>
      <c r="F39" s="49"/>
      <c r="G39" s="11"/>
      <c r="H39" s="49"/>
      <c r="I39" s="45"/>
      <c r="J39" s="11"/>
      <c r="K39" s="11"/>
      <c r="L39" s="11"/>
      <c r="M39" s="114"/>
    </row>
    <row r="40" spans="1:13" s="48" customFormat="1" ht="18" hidden="1" x14ac:dyDescent="0.2">
      <c r="A40" s="11"/>
      <c r="B40" s="126"/>
      <c r="C40" s="124"/>
      <c r="D40" s="11"/>
      <c r="E40" s="11"/>
      <c r="F40" s="49"/>
      <c r="G40" s="11"/>
      <c r="H40" s="49"/>
      <c r="I40" s="45"/>
      <c r="J40" s="11"/>
      <c r="K40" s="11"/>
      <c r="L40" s="11"/>
      <c r="M40" s="114"/>
    </row>
    <row r="41" spans="1:13" s="48" customFormat="1" ht="18" hidden="1" x14ac:dyDescent="0.2">
      <c r="A41" s="11"/>
      <c r="B41" s="126"/>
      <c r="C41" s="124"/>
      <c r="D41" s="11"/>
      <c r="E41" s="11"/>
      <c r="F41" s="49"/>
      <c r="G41" s="11"/>
      <c r="H41" s="49"/>
      <c r="I41" s="45"/>
      <c r="J41" s="11"/>
      <c r="K41" s="11"/>
      <c r="L41" s="11"/>
      <c r="M41" s="114"/>
    </row>
    <row r="42" spans="1:13" s="48" customFormat="1" ht="21.75" customHeight="1" x14ac:dyDescent="0.2">
      <c r="A42" s="11"/>
      <c r="B42" s="126"/>
      <c r="C42" s="124"/>
      <c r="D42" s="11"/>
      <c r="E42" s="11"/>
      <c r="F42" s="49"/>
      <c r="G42" s="11"/>
      <c r="H42" s="49"/>
      <c r="I42" s="45"/>
      <c r="J42" s="11"/>
      <c r="K42" s="11"/>
      <c r="L42" s="11"/>
      <c r="M42" s="114"/>
    </row>
    <row r="43" spans="1:13" s="48" customFormat="1" ht="22.5" customHeight="1" x14ac:dyDescent="0.2">
      <c r="A43" s="11"/>
      <c r="B43" s="126"/>
      <c r="C43" s="124"/>
      <c r="D43" s="11"/>
      <c r="E43" s="11"/>
      <c r="F43" s="49"/>
      <c r="G43" s="11"/>
      <c r="H43" s="49"/>
      <c r="I43" s="45"/>
      <c r="J43" s="11"/>
      <c r="K43" s="11"/>
      <c r="L43" s="11"/>
      <c r="M43" s="114"/>
    </row>
    <row r="44" spans="1:13" s="367" customFormat="1" ht="22.5" customHeight="1" x14ac:dyDescent="0.2">
      <c r="A44" s="284"/>
      <c r="B44" s="353"/>
      <c r="C44" s="354"/>
      <c r="D44" s="284"/>
      <c r="E44" s="284"/>
      <c r="F44" s="355"/>
      <c r="G44" s="284"/>
      <c r="H44" s="355"/>
      <c r="I44" s="356"/>
      <c r="J44" s="284"/>
      <c r="K44" s="284"/>
      <c r="L44" s="284"/>
    </row>
    <row r="45" spans="1:13" s="56" customFormat="1" ht="13.5" customHeight="1" x14ac:dyDescent="0.2">
      <c r="A45" s="7"/>
      <c r="B45" s="7"/>
      <c r="C45" s="15"/>
      <c r="D45" s="7"/>
      <c r="E45" s="7"/>
      <c r="F45" s="30"/>
      <c r="G45" s="7"/>
      <c r="H45" s="133"/>
      <c r="I45" s="134"/>
      <c r="J45" s="7"/>
      <c r="K45" s="7"/>
      <c r="L45" s="7"/>
    </row>
    <row r="46" spans="1:13" s="56" customFormat="1" ht="25.5" customHeight="1" x14ac:dyDescent="0.2">
      <c r="A46" s="14" t="str">
        <f>+A2</f>
        <v>SCHEDULE E-3</v>
      </c>
      <c r="B46" s="7"/>
      <c r="C46" s="15"/>
      <c r="D46" s="23" t="str">
        <f>+D2</f>
        <v>COST STUDY - CONNECTIONS AND RECONNECTIONS - COMMERCIAL AFTER DISCONNECTION FOR CAUSE</v>
      </c>
      <c r="E46" s="23"/>
      <c r="F46" s="17"/>
      <c r="G46" s="16"/>
      <c r="H46" s="312"/>
      <c r="I46" s="256"/>
      <c r="J46" s="18" t="s">
        <v>257</v>
      </c>
    </row>
    <row r="47" spans="1:13" s="56" customFormat="1" ht="15" x14ac:dyDescent="0.2">
      <c r="A47" s="3"/>
      <c r="B47" s="3"/>
      <c r="C47" s="4"/>
      <c r="D47" s="334"/>
      <c r="E47" s="334"/>
      <c r="F47" s="12"/>
      <c r="G47" s="5"/>
      <c r="H47" s="310"/>
      <c r="I47" s="332"/>
      <c r="J47" s="3"/>
      <c r="K47" s="115"/>
      <c r="L47" s="3"/>
    </row>
    <row r="48" spans="1:13" s="56" customFormat="1" ht="18" customHeight="1" x14ac:dyDescent="0.2">
      <c r="A48" s="14" t="str">
        <f>+A4</f>
        <v>FLORIDA PUBLIC SERVICE COMMISSION</v>
      </c>
      <c r="B48" s="7"/>
      <c r="C48" s="15"/>
      <c r="D48" s="23" t="s">
        <v>22</v>
      </c>
      <c r="E48" s="23"/>
      <c r="F48" s="25"/>
      <c r="G48" s="24"/>
      <c r="H48" s="164"/>
      <c r="I48" s="256"/>
      <c r="J48" s="7" t="str">
        <f>+J4</f>
        <v>TYPE OF DATA SHOWN:</v>
      </c>
      <c r="L48" s="11"/>
    </row>
    <row r="49" spans="1:13" s="56" customFormat="1" ht="15" x14ac:dyDescent="0.2">
      <c r="A49" s="7"/>
      <c r="B49" s="7"/>
      <c r="C49" s="15"/>
      <c r="D49" s="23" t="s">
        <v>25</v>
      </c>
      <c r="E49" s="23"/>
      <c r="F49" s="26"/>
      <c r="G49" s="23"/>
      <c r="H49" s="97"/>
      <c r="I49" s="256"/>
      <c r="J49" s="7" t="str">
        <f>+J5</f>
        <v>HISTORIC BASE YEAR DATA:  12/31/19</v>
      </c>
      <c r="L49" s="27"/>
    </row>
    <row r="50" spans="1:13" s="56" customFormat="1" ht="22.5" customHeight="1" x14ac:dyDescent="0.2">
      <c r="A50" s="14" t="s">
        <v>235</v>
      </c>
      <c r="B50" s="7"/>
      <c r="C50" s="15"/>
      <c r="D50" s="336" t="s">
        <v>24</v>
      </c>
      <c r="E50" s="336"/>
      <c r="F50" s="26"/>
      <c r="G50" s="24"/>
      <c r="H50" s="164"/>
      <c r="I50" s="256"/>
      <c r="J50" s="7" t="str">
        <f>+J6</f>
        <v>WITNESS:  M. WHITAKER</v>
      </c>
      <c r="L50" s="25"/>
    </row>
    <row r="51" spans="1:13" s="56" customFormat="1" ht="15" x14ac:dyDescent="0.2">
      <c r="A51" s="14"/>
      <c r="B51" s="7"/>
      <c r="C51" s="15"/>
      <c r="D51" s="33"/>
      <c r="E51" s="33"/>
      <c r="F51" s="26"/>
      <c r="G51" s="24"/>
      <c r="H51" s="24"/>
      <c r="I51" s="24"/>
      <c r="J51" s="24"/>
      <c r="L51" s="25"/>
    </row>
    <row r="52" spans="1:13" s="56" customFormat="1" ht="24" customHeight="1" x14ac:dyDescent="0.2">
      <c r="A52" s="111" t="str">
        <f>+A8</f>
        <v>DOCKET NO.:  20200051-GU</v>
      </c>
      <c r="B52" s="111"/>
      <c r="C52" s="323"/>
      <c r="D52" s="324"/>
      <c r="E52" s="324"/>
      <c r="F52" s="325"/>
      <c r="G52" s="326"/>
      <c r="H52" s="326"/>
      <c r="I52" s="327"/>
      <c r="J52" s="326"/>
      <c r="K52" s="326"/>
      <c r="L52" s="328"/>
      <c r="M52" s="115"/>
    </row>
    <row r="53" spans="1:13" ht="21.75" hidden="1" customHeight="1" x14ac:dyDescent="0.2">
      <c r="A53" s="19"/>
      <c r="B53" s="19"/>
      <c r="C53" s="20"/>
      <c r="D53" s="19"/>
      <c r="E53" s="19"/>
      <c r="F53" s="100"/>
      <c r="G53" s="19"/>
      <c r="H53" s="100"/>
      <c r="I53" s="35"/>
      <c r="J53" s="19"/>
      <c r="K53" s="19"/>
      <c r="L53" s="19"/>
      <c r="M53" s="56"/>
    </row>
    <row r="54" spans="1:13" s="115" customFormat="1" ht="21.75" hidden="1" customHeight="1" x14ac:dyDescent="0.2">
      <c r="A54" s="275" t="s">
        <v>297</v>
      </c>
      <c r="B54" s="111"/>
      <c r="C54" s="125" t="s">
        <v>3</v>
      </c>
      <c r="F54" s="397" t="s">
        <v>4</v>
      </c>
      <c r="G54" s="397"/>
      <c r="H54" s="272" t="s">
        <v>40</v>
      </c>
      <c r="I54" s="148" t="s">
        <v>5</v>
      </c>
      <c r="J54" s="111"/>
      <c r="K54" s="111"/>
      <c r="L54" s="111"/>
    </row>
    <row r="55" spans="1:13" ht="24" hidden="1" customHeight="1" x14ac:dyDescent="0.2">
      <c r="A55" s="274"/>
      <c r="B55" s="19"/>
      <c r="C55" s="20"/>
      <c r="D55" s="19"/>
      <c r="E55" s="19"/>
      <c r="F55" s="100"/>
      <c r="G55" s="19"/>
      <c r="H55" s="100"/>
      <c r="I55" s="35"/>
      <c r="J55" s="19"/>
      <c r="K55" s="19"/>
      <c r="L55" s="19"/>
      <c r="M55" s="56"/>
    </row>
    <row r="56" spans="1:13" ht="15" hidden="1" x14ac:dyDescent="0.2">
      <c r="A56" s="277">
        <v>4</v>
      </c>
      <c r="B56" s="14" t="s">
        <v>6</v>
      </c>
      <c r="C56" s="15"/>
      <c r="D56" s="7"/>
      <c r="E56" s="7"/>
      <c r="F56" s="30"/>
      <c r="G56" s="7"/>
      <c r="H56" s="30"/>
      <c r="I56" s="194"/>
      <c r="J56" s="7"/>
      <c r="K56" s="7"/>
      <c r="L56" s="7"/>
      <c r="M56" s="56"/>
    </row>
    <row r="57" spans="1:13" ht="28.5" customHeight="1" x14ac:dyDescent="0.2">
      <c r="A57" s="277"/>
      <c r="B57" s="7" t="s">
        <v>41</v>
      </c>
      <c r="C57" s="29" t="s">
        <v>47</v>
      </c>
      <c r="D57" s="126"/>
      <c r="E57" s="126"/>
      <c r="F57" s="49">
        <v>22</v>
      </c>
      <c r="G57" s="120"/>
      <c r="H57" s="120"/>
      <c r="I57" s="134"/>
      <c r="J57" s="7"/>
      <c r="K57" s="7"/>
      <c r="L57" s="7"/>
      <c r="M57" s="56"/>
    </row>
    <row r="58" spans="1:13" s="193" customFormat="1" ht="82.5" customHeight="1" x14ac:dyDescent="0.15">
      <c r="A58" s="278"/>
      <c r="B58" s="165" t="s">
        <v>42</v>
      </c>
      <c r="C58" s="386" t="s">
        <v>72</v>
      </c>
      <c r="D58" s="386"/>
      <c r="E58" s="190"/>
      <c r="F58" s="131">
        <v>40</v>
      </c>
      <c r="H58" s="131"/>
      <c r="I58" s="259"/>
      <c r="J58" s="268"/>
      <c r="K58" s="165"/>
      <c r="L58" s="165"/>
    </row>
    <row r="59" spans="1:13" s="48" customFormat="1" ht="33.75" customHeight="1" x14ac:dyDescent="0.2">
      <c r="A59" s="276"/>
      <c r="B59" s="11" t="s">
        <v>46</v>
      </c>
      <c r="C59" s="163" t="s">
        <v>103</v>
      </c>
      <c r="D59" s="126"/>
      <c r="E59" s="126"/>
      <c r="F59" s="49">
        <f>24*0.06</f>
        <v>1.44</v>
      </c>
      <c r="G59" s="11"/>
      <c r="H59" s="49"/>
      <c r="I59" s="44"/>
      <c r="J59" s="11"/>
      <c r="K59" s="11"/>
      <c r="L59" s="11"/>
      <c r="M59" s="114"/>
    </row>
    <row r="60" spans="1:13" s="48" customFormat="1" ht="22.5" customHeight="1" x14ac:dyDescent="0.2">
      <c r="A60" s="276"/>
      <c r="B60" s="11" t="s">
        <v>45</v>
      </c>
      <c r="C60" s="124" t="s">
        <v>102</v>
      </c>
      <c r="D60" s="126"/>
      <c r="E60" s="126"/>
      <c r="F60" s="49">
        <f>27*0.04</f>
        <v>1.08</v>
      </c>
      <c r="G60" s="187"/>
      <c r="H60" s="187"/>
      <c r="I60" s="195"/>
      <c r="J60" s="11"/>
      <c r="K60" s="11"/>
      <c r="L60" s="11"/>
      <c r="M60" s="114"/>
    </row>
    <row r="61" spans="1:13" s="48" customFormat="1" ht="20.25" customHeight="1" x14ac:dyDescent="0.2">
      <c r="A61" s="276"/>
      <c r="B61" s="11" t="s">
        <v>49</v>
      </c>
      <c r="C61" s="124" t="s">
        <v>101</v>
      </c>
      <c r="D61" s="234" t="s">
        <v>80</v>
      </c>
      <c r="E61" s="234"/>
      <c r="F61" s="114"/>
      <c r="G61" s="187"/>
      <c r="H61" s="187"/>
      <c r="I61" s="195"/>
      <c r="J61" s="11"/>
      <c r="K61" s="11"/>
      <c r="L61" s="11"/>
      <c r="M61" s="114"/>
    </row>
    <row r="62" spans="1:13" s="48" customFormat="1" ht="18.75" customHeight="1" x14ac:dyDescent="0.2">
      <c r="A62" s="276"/>
      <c r="B62" s="11" t="s">
        <v>50</v>
      </c>
      <c r="C62" s="124" t="s">
        <v>100</v>
      </c>
      <c r="D62" s="234" t="s">
        <v>80</v>
      </c>
      <c r="E62" s="234"/>
      <c r="F62" s="188"/>
      <c r="G62" s="187"/>
      <c r="H62" s="187"/>
      <c r="I62" s="195"/>
      <c r="J62" s="11"/>
      <c r="K62" s="11"/>
      <c r="L62" s="11"/>
      <c r="M62" s="114"/>
    </row>
    <row r="63" spans="1:13" s="48" customFormat="1" ht="35.25" customHeight="1" x14ac:dyDescent="0.2">
      <c r="A63" s="276"/>
      <c r="B63" s="11" t="s">
        <v>51</v>
      </c>
      <c r="C63" s="124" t="s">
        <v>104</v>
      </c>
      <c r="D63" s="234" t="s">
        <v>80</v>
      </c>
      <c r="E63" s="234"/>
      <c r="F63" s="49"/>
      <c r="G63" s="11"/>
      <c r="H63" s="49"/>
      <c r="I63" s="44"/>
      <c r="J63" s="11"/>
      <c r="K63" s="11"/>
      <c r="L63" s="11"/>
      <c r="M63" s="114"/>
    </row>
    <row r="64" spans="1:13" s="132" customFormat="1" ht="36.75" customHeight="1" x14ac:dyDescent="0.15">
      <c r="A64" s="278"/>
      <c r="B64" s="165" t="s">
        <v>52</v>
      </c>
      <c r="C64" s="190" t="s">
        <v>55</v>
      </c>
      <c r="D64" s="258" t="s">
        <v>190</v>
      </c>
      <c r="E64" s="258"/>
      <c r="F64" s="131"/>
      <c r="G64" s="165"/>
      <c r="H64" s="131"/>
      <c r="I64" s="259"/>
      <c r="J64" s="165"/>
      <c r="K64" s="165"/>
      <c r="L64" s="165"/>
      <c r="M64" s="193"/>
    </row>
    <row r="65" spans="1:13" s="48" customFormat="1" ht="21.75" hidden="1" customHeight="1" x14ac:dyDescent="0.2">
      <c r="A65" s="276"/>
      <c r="B65" s="11" t="s">
        <v>53</v>
      </c>
      <c r="C65" s="124" t="s">
        <v>105</v>
      </c>
      <c r="D65" s="234"/>
      <c r="E65" s="234"/>
      <c r="F65" s="49">
        <v>0</v>
      </c>
      <c r="G65" s="11"/>
      <c r="H65" s="49"/>
      <c r="I65" s="44"/>
      <c r="J65" s="11"/>
      <c r="K65" s="11"/>
      <c r="L65" s="11"/>
      <c r="M65" s="114"/>
    </row>
    <row r="66" spans="1:13" s="48" customFormat="1" ht="18" x14ac:dyDescent="0.2">
      <c r="A66" s="276"/>
      <c r="B66" s="126"/>
      <c r="C66" s="124" t="s">
        <v>173</v>
      </c>
      <c r="D66" s="126"/>
      <c r="E66" s="126"/>
      <c r="F66" s="49">
        <f>SUM($F$57:$F$65)</f>
        <v>64.52</v>
      </c>
      <c r="G66" s="11" t="s">
        <v>15</v>
      </c>
      <c r="H66" s="49">
        <v>43.34</v>
      </c>
      <c r="I66" s="45">
        <f>($H$66/60)*$F$66</f>
        <v>46.60494666666667</v>
      </c>
      <c r="J66" s="11"/>
      <c r="K66" s="11"/>
      <c r="L66" s="11"/>
      <c r="M66" s="114"/>
    </row>
    <row r="67" spans="1:13" ht="10.5" hidden="1" customHeight="1" x14ac:dyDescent="0.2">
      <c r="A67" s="277"/>
      <c r="B67" s="7"/>
      <c r="C67" s="15"/>
      <c r="D67" s="7"/>
      <c r="E67" s="7"/>
      <c r="F67" s="30"/>
      <c r="G67" s="7"/>
      <c r="H67" s="30"/>
      <c r="I67" s="194"/>
      <c r="J67" s="7"/>
      <c r="K67" s="7"/>
      <c r="L67" s="7"/>
      <c r="M67" s="56"/>
    </row>
    <row r="68" spans="1:13" ht="34.5" customHeight="1" x14ac:dyDescent="0.2">
      <c r="A68" s="277">
        <v>5</v>
      </c>
      <c r="B68" s="14" t="s">
        <v>7</v>
      </c>
      <c r="C68" s="15"/>
      <c r="D68" s="7"/>
      <c r="E68" s="7"/>
      <c r="F68" s="30"/>
      <c r="G68" s="7"/>
      <c r="H68" s="30"/>
      <c r="I68" s="194"/>
      <c r="J68" s="7"/>
      <c r="K68" s="7"/>
      <c r="L68" s="7"/>
      <c r="M68" s="56"/>
    </row>
    <row r="69" spans="1:13" ht="19.5" customHeight="1" x14ac:dyDescent="0.2">
      <c r="A69" s="277"/>
      <c r="B69" s="14"/>
      <c r="C69" s="124" t="s">
        <v>107</v>
      </c>
      <c r="D69" s="56"/>
      <c r="E69" s="56"/>
      <c r="F69" s="30"/>
      <c r="G69" s="7"/>
      <c r="H69" s="30"/>
      <c r="I69" s="44">
        <v>0.12</v>
      </c>
      <c r="J69" s="7"/>
      <c r="K69" s="7"/>
      <c r="L69" s="7"/>
      <c r="M69" s="56"/>
    </row>
    <row r="70" spans="1:13" ht="19.5" customHeight="1" x14ac:dyDescent="0.2">
      <c r="A70" s="277"/>
      <c r="B70" s="14"/>
      <c r="C70" s="124" t="s">
        <v>124</v>
      </c>
      <c r="D70" s="235"/>
      <c r="E70" s="235"/>
      <c r="F70" s="30"/>
      <c r="G70" s="7"/>
      <c r="H70" s="30"/>
      <c r="I70" s="44">
        <v>0.67</v>
      </c>
      <c r="J70" s="7"/>
      <c r="K70" s="7"/>
      <c r="L70" s="7"/>
      <c r="M70" s="56"/>
    </row>
    <row r="71" spans="1:13" ht="19.5" customHeight="1" x14ac:dyDescent="0.2">
      <c r="A71" s="277"/>
      <c r="B71" s="14"/>
      <c r="C71" s="124" t="s">
        <v>108</v>
      </c>
      <c r="D71" s="235"/>
      <c r="E71" s="235"/>
      <c r="F71" s="30"/>
      <c r="G71" s="7"/>
      <c r="H71" s="30"/>
      <c r="I71" s="44">
        <v>0.65</v>
      </c>
      <c r="J71" s="7"/>
      <c r="K71" s="7"/>
      <c r="L71" s="7"/>
      <c r="M71" s="56"/>
    </row>
    <row r="72" spans="1:13" ht="19.5" customHeight="1" x14ac:dyDescent="0.2">
      <c r="A72" s="277"/>
      <c r="B72" s="14"/>
      <c r="C72" s="124" t="s">
        <v>109</v>
      </c>
      <c r="D72" s="56"/>
      <c r="E72" s="56"/>
      <c r="F72" s="30"/>
      <c r="G72" s="7"/>
      <c r="H72" s="30"/>
      <c r="I72" s="44">
        <v>0.02</v>
      </c>
      <c r="J72" s="7"/>
      <c r="K72" s="7"/>
      <c r="L72" s="7"/>
      <c r="M72" s="56"/>
    </row>
    <row r="73" spans="1:13" ht="19.5" customHeight="1" x14ac:dyDescent="0.2">
      <c r="A73" s="277"/>
      <c r="B73" s="14"/>
      <c r="C73" s="124" t="s">
        <v>112</v>
      </c>
      <c r="D73" s="56"/>
      <c r="E73" s="56"/>
      <c r="F73" s="30"/>
      <c r="G73" s="7"/>
      <c r="H73" s="30"/>
      <c r="I73" s="44">
        <v>0.57999999999999996</v>
      </c>
      <c r="J73" s="7"/>
      <c r="K73" s="56"/>
      <c r="L73" s="7"/>
      <c r="M73" s="56"/>
    </row>
    <row r="74" spans="1:13" ht="19.5" customHeight="1" x14ac:dyDescent="0.2">
      <c r="A74" s="277"/>
      <c r="B74" s="14"/>
      <c r="C74" s="124" t="s">
        <v>113</v>
      </c>
      <c r="D74" s="56"/>
      <c r="E74" s="56"/>
      <c r="F74" s="30"/>
      <c r="G74" s="7"/>
      <c r="H74" s="30"/>
      <c r="I74" s="44">
        <v>0.14000000000000001</v>
      </c>
      <c r="J74" s="7"/>
      <c r="K74" s="56"/>
      <c r="L74" s="7"/>
      <c r="M74" s="56"/>
    </row>
    <row r="75" spans="1:13" ht="19.5" customHeight="1" x14ac:dyDescent="0.2">
      <c r="A75" s="277"/>
      <c r="B75" s="14"/>
      <c r="C75" s="124" t="s">
        <v>111</v>
      </c>
      <c r="D75" s="56"/>
      <c r="E75" s="56"/>
      <c r="F75" s="30"/>
      <c r="G75" s="7"/>
      <c r="H75" s="30"/>
      <c r="I75" s="44">
        <v>0.01</v>
      </c>
      <c r="J75" s="7"/>
      <c r="K75" s="56"/>
      <c r="L75" s="7"/>
      <c r="M75" s="56"/>
    </row>
    <row r="76" spans="1:13" ht="28.5" customHeight="1" x14ac:dyDescent="0.2">
      <c r="A76" s="277"/>
      <c r="B76" s="14"/>
      <c r="C76" s="124" t="s">
        <v>126</v>
      </c>
      <c r="D76" s="56"/>
      <c r="E76" s="56"/>
      <c r="F76" s="30"/>
      <c r="G76" s="7"/>
      <c r="H76" s="30"/>
      <c r="I76" s="44">
        <v>3.03</v>
      </c>
      <c r="J76" s="30"/>
      <c r="K76" s="56"/>
      <c r="L76" s="7"/>
      <c r="M76" s="56"/>
    </row>
    <row r="77" spans="1:13" ht="10.5" hidden="1" customHeight="1" x14ac:dyDescent="0.2">
      <c r="A77" s="277"/>
      <c r="B77" s="7"/>
      <c r="C77" s="15"/>
      <c r="D77" s="7"/>
      <c r="E77" s="7"/>
      <c r="F77" s="30"/>
      <c r="G77" s="7"/>
      <c r="H77" s="30"/>
      <c r="I77" s="194"/>
      <c r="J77" s="7"/>
      <c r="K77" s="7"/>
      <c r="L77" s="7"/>
      <c r="M77" s="56"/>
    </row>
    <row r="78" spans="1:13" ht="30" customHeight="1" x14ac:dyDescent="0.2">
      <c r="A78" s="276">
        <v>6</v>
      </c>
      <c r="B78" s="31" t="s">
        <v>8</v>
      </c>
      <c r="C78" s="124"/>
      <c r="D78" s="11"/>
      <c r="E78" s="11"/>
      <c r="F78" s="49"/>
      <c r="G78" s="11"/>
      <c r="H78" s="49"/>
      <c r="I78" s="44"/>
      <c r="J78" s="11"/>
      <c r="K78" s="7"/>
      <c r="L78" s="7"/>
      <c r="M78" s="56"/>
    </row>
    <row r="79" spans="1:13" ht="22.5" customHeight="1" x14ac:dyDescent="0.2">
      <c r="A79" s="276"/>
      <c r="B79" s="31" t="s">
        <v>41</v>
      </c>
      <c r="C79" s="383" t="s">
        <v>73</v>
      </c>
      <c r="D79" s="383"/>
      <c r="E79" s="11"/>
      <c r="F79" s="49"/>
      <c r="G79" s="11"/>
      <c r="H79" s="49"/>
      <c r="I79" s="44"/>
      <c r="J79" s="11"/>
      <c r="K79" s="7"/>
      <c r="L79" s="7"/>
      <c r="M79" s="56"/>
    </row>
    <row r="80" spans="1:13" ht="28.5" hidden="1" customHeight="1" x14ac:dyDescent="0.2">
      <c r="A80" s="276"/>
      <c r="B80" s="31"/>
      <c r="C80" s="124"/>
      <c r="D80" s="11"/>
      <c r="E80" s="11"/>
      <c r="F80" s="113"/>
      <c r="G80" s="11"/>
      <c r="H80" s="49"/>
      <c r="I80" s="45"/>
      <c r="J80" s="11"/>
      <c r="K80" s="7"/>
      <c r="L80" s="7"/>
      <c r="M80" s="56"/>
    </row>
    <row r="81" spans="1:13" s="48" customFormat="1" ht="22.5" customHeight="1" x14ac:dyDescent="0.2">
      <c r="A81" s="276"/>
      <c r="B81" s="31" t="s">
        <v>42</v>
      </c>
      <c r="C81" s="383" t="s">
        <v>142</v>
      </c>
      <c r="D81" s="383"/>
      <c r="E81" s="11"/>
      <c r="F81" s="49"/>
      <c r="G81" s="11"/>
      <c r="H81" s="49"/>
      <c r="I81" s="44">
        <f>$F$66*(4.9/60)</f>
        <v>5.2691333333333334</v>
      </c>
      <c r="J81" s="11"/>
      <c r="K81" s="11"/>
      <c r="L81" s="11"/>
      <c r="M81" s="114"/>
    </row>
    <row r="82" spans="1:13" ht="9" hidden="1" customHeight="1" x14ac:dyDescent="0.2">
      <c r="A82" s="276"/>
      <c r="B82" s="11"/>
      <c r="C82" s="124"/>
      <c r="D82" s="11"/>
      <c r="E82" s="11"/>
      <c r="F82" s="49"/>
      <c r="G82" s="11"/>
      <c r="H82" s="49"/>
      <c r="I82" s="44"/>
      <c r="J82" s="11"/>
      <c r="K82" s="7"/>
      <c r="L82" s="7"/>
      <c r="M82" s="56"/>
    </row>
    <row r="83" spans="1:13" ht="33" customHeight="1" x14ac:dyDescent="0.2">
      <c r="A83" s="276">
        <v>7</v>
      </c>
      <c r="B83" s="31" t="s">
        <v>98</v>
      </c>
      <c r="C83" s="124"/>
      <c r="D83" s="222"/>
      <c r="E83" s="222"/>
      <c r="F83" s="49"/>
      <c r="G83" s="11"/>
      <c r="H83" s="49"/>
      <c r="I83" s="44"/>
      <c r="J83" s="11"/>
      <c r="K83" s="7"/>
      <c r="L83" s="7"/>
      <c r="M83" s="56"/>
    </row>
    <row r="84" spans="1:13" s="48" customFormat="1" ht="24" customHeight="1" x14ac:dyDescent="0.2">
      <c r="A84" s="276"/>
      <c r="B84" s="11"/>
      <c r="C84" s="383" t="s">
        <v>99</v>
      </c>
      <c r="D84" s="383"/>
      <c r="E84" s="11"/>
      <c r="F84" s="49"/>
      <c r="G84" s="11"/>
      <c r="H84" s="126"/>
      <c r="I84" s="44">
        <f>$F$66*(3.19/60)</f>
        <v>3.4303133333333333</v>
      </c>
      <c r="J84" s="11"/>
      <c r="K84" s="11"/>
      <c r="L84" s="11"/>
      <c r="M84" s="114"/>
    </row>
    <row r="85" spans="1:13" ht="6" customHeight="1" x14ac:dyDescent="0.2">
      <c r="A85" s="276"/>
      <c r="B85" s="11"/>
      <c r="C85" s="124"/>
      <c r="D85" s="11"/>
      <c r="E85" s="11"/>
      <c r="F85" s="49"/>
      <c r="G85" s="11"/>
      <c r="H85" s="49"/>
      <c r="I85" s="44"/>
      <c r="J85" s="11"/>
      <c r="K85" s="7"/>
      <c r="L85" s="7"/>
      <c r="M85" s="56"/>
    </row>
    <row r="86" spans="1:13" ht="30" customHeight="1" x14ac:dyDescent="0.2">
      <c r="A86" s="277">
        <v>8</v>
      </c>
      <c r="B86" s="167" t="s">
        <v>9</v>
      </c>
      <c r="C86" s="15"/>
      <c r="D86" s="7"/>
      <c r="E86" s="7"/>
      <c r="F86" s="30"/>
      <c r="G86" s="7"/>
      <c r="H86" s="151"/>
      <c r="I86" s="34">
        <f>(89.13-$I$66-$I$81)*0.07</f>
        <v>2.6079143999999994</v>
      </c>
      <c r="J86" s="11"/>
      <c r="K86" s="7"/>
      <c r="L86" s="7"/>
      <c r="M86" s="56"/>
    </row>
    <row r="87" spans="1:13" ht="9" hidden="1" customHeight="1" x14ac:dyDescent="0.2">
      <c r="A87" s="276"/>
      <c r="B87" s="11"/>
      <c r="C87" s="124"/>
      <c r="D87" s="11"/>
      <c r="E87" s="11"/>
      <c r="F87" s="49"/>
      <c r="G87" s="11"/>
      <c r="H87" s="49"/>
      <c r="I87" s="44"/>
      <c r="J87" s="11"/>
      <c r="K87" s="7"/>
      <c r="L87" s="7"/>
      <c r="M87" s="56"/>
    </row>
    <row r="88" spans="1:13" s="48" customFormat="1" ht="25.5" customHeight="1" x14ac:dyDescent="0.25">
      <c r="A88" s="330">
        <v>9</v>
      </c>
      <c r="B88" s="33" t="s">
        <v>292</v>
      </c>
      <c r="C88" s="33"/>
      <c r="D88" s="129"/>
      <c r="E88" s="129"/>
      <c r="F88" s="236"/>
      <c r="G88" s="129"/>
      <c r="H88" s="236"/>
      <c r="I88" s="228"/>
      <c r="J88" s="11"/>
      <c r="K88" s="11"/>
      <c r="L88" s="11"/>
      <c r="M88" s="114"/>
    </row>
    <row r="89" spans="1:13" s="48" customFormat="1" ht="27" customHeight="1" x14ac:dyDescent="0.2">
      <c r="A89" s="276"/>
      <c r="B89" s="11"/>
      <c r="C89" s="124" t="s">
        <v>248</v>
      </c>
      <c r="D89" s="11"/>
      <c r="E89" s="11"/>
      <c r="F89" s="49"/>
      <c r="G89" s="11"/>
      <c r="H89" s="49"/>
      <c r="I89" s="44">
        <f>'Page 5 DISC'!$I$79</f>
        <v>29.524545833333327</v>
      </c>
      <c r="J89" s="11"/>
      <c r="K89" s="11"/>
      <c r="L89" s="11"/>
      <c r="M89" s="114"/>
    </row>
    <row r="90" spans="1:13" ht="10.5" hidden="1" customHeight="1" x14ac:dyDescent="0.2">
      <c r="A90" s="276"/>
      <c r="B90" s="11"/>
      <c r="C90" s="124"/>
      <c r="D90" s="11"/>
      <c r="E90" s="11"/>
      <c r="F90" s="49"/>
      <c r="G90" s="11"/>
      <c r="H90" s="49"/>
      <c r="I90" s="46"/>
      <c r="J90" s="11"/>
      <c r="K90" s="7"/>
      <c r="L90" s="7"/>
      <c r="M90" s="56"/>
    </row>
    <row r="91" spans="1:13" ht="25.5" customHeight="1" thickBot="1" x14ac:dyDescent="0.25">
      <c r="A91" s="276">
        <v>10</v>
      </c>
      <c r="B91" s="31" t="s">
        <v>13</v>
      </c>
      <c r="C91" s="225"/>
      <c r="D91" s="225"/>
      <c r="E91" s="225"/>
      <c r="F91" s="225"/>
      <c r="G91" s="225"/>
      <c r="H91" s="225"/>
      <c r="I91" s="40">
        <f>SUM($I$26:$I$89)</f>
        <v>99.704253566666665</v>
      </c>
      <c r="J91" s="11"/>
      <c r="K91" s="7"/>
      <c r="L91" s="7"/>
      <c r="M91" s="56"/>
    </row>
    <row r="92" spans="1:13" ht="15.75" thickTop="1" x14ac:dyDescent="0.2">
      <c r="A92" s="276"/>
      <c r="B92" s="31"/>
      <c r="C92" s="225"/>
      <c r="D92" s="225"/>
      <c r="E92" s="225"/>
      <c r="F92" s="225"/>
      <c r="G92" s="225"/>
      <c r="H92" s="225"/>
      <c r="I92" s="45"/>
      <c r="J92" s="11"/>
      <c r="K92" s="7"/>
      <c r="L92" s="7"/>
      <c r="M92" s="56"/>
    </row>
    <row r="93" spans="1:13" s="115" customFormat="1" ht="25.5" customHeight="1" x14ac:dyDescent="0.35">
      <c r="A93" s="377">
        <v>11</v>
      </c>
      <c r="B93" s="127" t="s">
        <v>36</v>
      </c>
      <c r="C93" s="369"/>
      <c r="D93" s="369"/>
      <c r="E93" s="369"/>
      <c r="F93" s="369"/>
      <c r="G93" s="369"/>
      <c r="H93" s="146"/>
      <c r="I93" s="378">
        <f>($F$58*($H$66/60))+$I$86</f>
        <v>31.501247733333333</v>
      </c>
      <c r="J93" s="111"/>
      <c r="K93" s="111"/>
      <c r="L93" s="379"/>
    </row>
    <row r="94" spans="1:13" s="368" customFormat="1" ht="6" customHeight="1" x14ac:dyDescent="0.2">
      <c r="A94" s="297"/>
      <c r="B94" s="297"/>
      <c r="C94" s="298"/>
      <c r="D94" s="380"/>
      <c r="E94" s="380"/>
      <c r="F94" s="345"/>
      <c r="G94" s="344"/>
      <c r="H94" s="345"/>
      <c r="I94" s="300"/>
      <c r="J94" s="297"/>
      <c r="K94" s="297"/>
      <c r="L94" s="297"/>
    </row>
    <row r="95" spans="1:13" x14ac:dyDescent="0.15">
      <c r="A95" s="56"/>
      <c r="B95" s="56"/>
      <c r="C95" s="56"/>
      <c r="D95" s="56"/>
      <c r="E95" s="56"/>
      <c r="F95" s="233"/>
      <c r="G95" s="56"/>
      <c r="H95" s="56"/>
      <c r="I95" s="184"/>
      <c r="J95" s="56"/>
      <c r="K95" s="56"/>
      <c r="L95" s="56"/>
      <c r="M95" s="56"/>
    </row>
    <row r="96" spans="1:13" ht="15" x14ac:dyDescent="0.2">
      <c r="A96" s="56"/>
      <c r="B96" s="56"/>
      <c r="C96" s="124" t="s">
        <v>63</v>
      </c>
      <c r="D96" s="56"/>
      <c r="E96" s="56"/>
      <c r="F96" s="233"/>
      <c r="G96" s="56"/>
      <c r="H96" s="56"/>
      <c r="I96" s="184"/>
      <c r="J96" s="56"/>
      <c r="K96" s="56"/>
      <c r="L96" s="56"/>
      <c r="M96" s="56"/>
    </row>
    <row r="97" spans="1:13" ht="18" x14ac:dyDescent="0.2">
      <c r="A97" s="56"/>
      <c r="B97" s="151">
        <v>1</v>
      </c>
      <c r="C97" s="124" t="s">
        <v>177</v>
      </c>
      <c r="D97" s="56"/>
      <c r="E97" s="56"/>
      <c r="F97" s="233"/>
      <c r="G97" s="56"/>
      <c r="H97" s="56"/>
      <c r="I97" s="184"/>
      <c r="J97" s="56"/>
      <c r="K97" s="56"/>
      <c r="L97" s="56"/>
      <c r="M97" s="56"/>
    </row>
    <row r="98" spans="1:13" ht="18" x14ac:dyDescent="0.2">
      <c r="A98" s="56"/>
      <c r="B98" s="151">
        <v>2</v>
      </c>
      <c r="C98" s="124" t="s">
        <v>79</v>
      </c>
      <c r="D98" s="56"/>
      <c r="E98" s="56"/>
      <c r="F98" s="233"/>
      <c r="G98" s="56"/>
      <c r="H98" s="56"/>
      <c r="I98" s="184"/>
      <c r="J98" s="56"/>
      <c r="K98" s="56"/>
      <c r="L98" s="56"/>
      <c r="M98" s="56"/>
    </row>
    <row r="99" spans="1:13" s="56" customFormat="1" ht="18" x14ac:dyDescent="0.2">
      <c r="B99" s="151">
        <v>5</v>
      </c>
      <c r="C99" s="240" t="s">
        <v>86</v>
      </c>
      <c r="F99" s="233"/>
      <c r="I99" s="184"/>
    </row>
    <row r="100" spans="1:13" ht="18" x14ac:dyDescent="0.2">
      <c r="B100" s="98">
        <v>6</v>
      </c>
      <c r="C100" s="9" t="s">
        <v>176</v>
      </c>
    </row>
    <row r="101" spans="1:13" ht="18" x14ac:dyDescent="0.2">
      <c r="B101" s="98">
        <v>7</v>
      </c>
      <c r="C101" s="9" t="s">
        <v>175</v>
      </c>
    </row>
    <row r="102" spans="1:13" ht="18" x14ac:dyDescent="0.2">
      <c r="B102" s="98">
        <v>8</v>
      </c>
      <c r="C102" s="9" t="s">
        <v>171</v>
      </c>
    </row>
    <row r="103" spans="1:13" ht="18" x14ac:dyDescent="0.2">
      <c r="B103" s="98"/>
      <c r="C103" s="9"/>
    </row>
    <row r="104" spans="1:13" ht="18" x14ac:dyDescent="0.2">
      <c r="B104" s="98">
        <v>10</v>
      </c>
      <c r="C104" s="9" t="s">
        <v>174</v>
      </c>
    </row>
    <row r="105" spans="1:13" ht="18" x14ac:dyDescent="0.2">
      <c r="B105" s="98">
        <v>11</v>
      </c>
      <c r="C105" s="9" t="s">
        <v>85</v>
      </c>
    </row>
    <row r="106" spans="1:13" ht="30" x14ac:dyDescent="0.2">
      <c r="B106" s="98">
        <v>12</v>
      </c>
      <c r="C106" s="9" t="s">
        <v>189</v>
      </c>
    </row>
    <row r="107" spans="1:13" ht="18" x14ac:dyDescent="0.2">
      <c r="B107" s="98"/>
      <c r="C107" s="9"/>
    </row>
    <row r="108" spans="1:13" ht="30" x14ac:dyDescent="0.2">
      <c r="B108" s="98">
        <v>14</v>
      </c>
      <c r="C108" s="9" t="s">
        <v>114</v>
      </c>
    </row>
  </sheetData>
  <mergeCells count="13">
    <mergeCell ref="F13:G13"/>
    <mergeCell ref="F54:G54"/>
    <mergeCell ref="C34:D34"/>
    <mergeCell ref="C79:D79"/>
    <mergeCell ref="C84:D84"/>
    <mergeCell ref="C81:D81"/>
    <mergeCell ref="C58:D58"/>
    <mergeCell ref="C29:D29"/>
    <mergeCell ref="C18:D18"/>
    <mergeCell ref="C19:D19"/>
    <mergeCell ref="C21:D21"/>
    <mergeCell ref="C22:D22"/>
    <mergeCell ref="C25:D25"/>
  </mergeCells>
  <phoneticPr fontId="4" type="noConversion"/>
  <printOptions horizontalCentered="1"/>
  <pageMargins left="0.25" right="0.25" top="0.75" bottom="0.5" header="0.3" footer="0.3"/>
  <pageSetup scale="52" fitToHeight="0" orientation="landscape" r:id="rId1"/>
  <headerFooter alignWithMargins="0">
    <oddFooter xml:space="preserve">&amp;LSUPPORTING SCHEDULES:&amp;RRECAP SCHEDULES:  </oddFooter>
  </headerFooter>
  <rowBreaks count="1" manualBreakCount="1">
    <brk id="44"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03"/>
  <sheetViews>
    <sheetView tabSelected="1" view="pageBreakPreview" zoomScale="90" zoomScaleNormal="100" zoomScaleSheetLayoutView="90" workbookViewId="0">
      <selection activeCell="C83" sqref="C83"/>
    </sheetView>
  </sheetViews>
  <sheetFormatPr defaultColWidth="9" defaultRowHeight="15" x14ac:dyDescent="0.2"/>
  <cols>
    <col min="1" max="1" width="12" style="53" customWidth="1"/>
    <col min="2" max="2" width="9" style="53"/>
    <col min="3" max="3" width="56.125" style="53" customWidth="1"/>
    <col min="4" max="4" width="48.375" style="53" customWidth="1"/>
    <col min="5" max="5" width="5.75" style="53" customWidth="1"/>
    <col min="6" max="6" width="16.75" style="6" customWidth="1"/>
    <col min="7" max="7" width="10.625" style="53" customWidth="1"/>
    <col min="8" max="8" width="12.75" style="53" customWidth="1"/>
    <col min="9" max="9" width="13.875" style="55" customWidth="1"/>
    <col min="10" max="10" width="4.75" style="53" customWidth="1"/>
    <col min="11" max="11" width="25.75" style="53" customWidth="1"/>
    <col min="12" max="12" width="17.625" style="53" customWidth="1"/>
    <col min="13" max="13" width="9" style="56"/>
    <col min="14" max="16384" width="9" style="53"/>
  </cols>
  <sheetData>
    <row r="1" spans="1:14" s="115" customFormat="1" x14ac:dyDescent="0.2">
      <c r="F1" s="372"/>
      <c r="I1" s="117"/>
    </row>
    <row r="2" spans="1:14" s="56" customFormat="1" x14ac:dyDescent="0.2">
      <c r="A2" s="14" t="s">
        <v>0</v>
      </c>
      <c r="B2" s="7"/>
      <c r="C2" s="15"/>
      <c r="D2" s="370" t="s">
        <v>295</v>
      </c>
      <c r="E2" s="370"/>
      <c r="F2" s="370"/>
      <c r="G2" s="370"/>
      <c r="H2" s="371"/>
      <c r="I2" s="371"/>
      <c r="J2" s="7"/>
      <c r="K2" s="18" t="s">
        <v>252</v>
      </c>
      <c r="M2" s="7"/>
      <c r="N2" s="7"/>
    </row>
    <row r="3" spans="1:14" s="56" customFormat="1" x14ac:dyDescent="0.2">
      <c r="A3" s="3"/>
      <c r="B3" s="3"/>
      <c r="C3" s="4"/>
      <c r="D3" s="342"/>
      <c r="E3" s="342"/>
      <c r="F3" s="342"/>
      <c r="G3" s="342"/>
      <c r="H3" s="343"/>
      <c r="I3" s="343"/>
      <c r="J3" s="3"/>
      <c r="K3" s="3"/>
      <c r="L3" s="3"/>
      <c r="M3" s="19"/>
      <c r="N3" s="7"/>
    </row>
    <row r="4" spans="1:14" s="56" customFormat="1" x14ac:dyDescent="0.2">
      <c r="A4" s="14" t="s">
        <v>1</v>
      </c>
      <c r="B4" s="7"/>
      <c r="C4" s="15"/>
      <c r="D4" s="341"/>
      <c r="E4" s="21"/>
      <c r="F4" s="25"/>
      <c r="G4" s="24"/>
      <c r="H4" s="276"/>
      <c r="I4" s="337"/>
      <c r="J4" s="24"/>
      <c r="K4" s="113" t="str">
        <f>+Input!B2</f>
        <v>TYPE OF DATA SHOWN:</v>
      </c>
      <c r="L4" s="24"/>
      <c r="M4" s="7"/>
      <c r="N4" s="7"/>
    </row>
    <row r="5" spans="1:14" s="56" customFormat="1" x14ac:dyDescent="0.2">
      <c r="A5" s="7"/>
      <c r="B5" s="7"/>
      <c r="C5" s="15"/>
      <c r="D5" s="21" t="s">
        <v>26</v>
      </c>
      <c r="E5" s="21"/>
      <c r="F5" s="26"/>
      <c r="G5" s="23"/>
      <c r="H5" s="335"/>
      <c r="I5" s="338"/>
      <c r="J5" s="23"/>
      <c r="K5" s="128" t="str">
        <f>+Input!B3</f>
        <v>HISTORIC BASE YEAR DATA:  12/31/19</v>
      </c>
      <c r="L5" s="23"/>
      <c r="M5" s="7"/>
      <c r="N5" s="7"/>
    </row>
    <row r="6" spans="1:14" s="56" customFormat="1" x14ac:dyDescent="0.2">
      <c r="A6" s="14" t="s">
        <v>235</v>
      </c>
      <c r="B6" s="7"/>
      <c r="C6" s="15"/>
      <c r="D6" s="21" t="s">
        <v>27</v>
      </c>
      <c r="E6" s="341"/>
      <c r="F6" s="26"/>
      <c r="G6" s="24"/>
      <c r="H6" s="276"/>
      <c r="I6" s="337"/>
      <c r="J6" s="24"/>
      <c r="K6" s="57" t="str">
        <f>+Input!B4</f>
        <v>WITNESS:  M. WHITAKER</v>
      </c>
      <c r="L6" s="25"/>
      <c r="M6" s="7"/>
      <c r="N6" s="7"/>
    </row>
    <row r="7" spans="1:14" s="56" customFormat="1" x14ac:dyDescent="0.2">
      <c r="A7" s="7"/>
      <c r="B7" s="7"/>
      <c r="C7" s="15"/>
      <c r="F7" s="25"/>
      <c r="G7" s="24"/>
      <c r="H7" s="24"/>
      <c r="I7" s="36"/>
      <c r="J7" s="24"/>
      <c r="K7" s="25"/>
      <c r="L7" s="24"/>
      <c r="M7" s="7"/>
      <c r="N7" s="7"/>
    </row>
    <row r="8" spans="1:14" s="56" customFormat="1" x14ac:dyDescent="0.2">
      <c r="A8" s="28" t="str">
        <f>+Input!A2</f>
        <v>DOCKET NO.:  20200051-GU</v>
      </c>
      <c r="B8" s="7"/>
      <c r="C8" s="29"/>
      <c r="F8" s="25"/>
      <c r="G8" s="24"/>
      <c r="H8" s="24"/>
      <c r="I8" s="36"/>
      <c r="J8" s="24"/>
      <c r="K8" s="25"/>
      <c r="L8" s="24"/>
      <c r="M8" s="7"/>
      <c r="N8" s="7"/>
    </row>
    <row r="9" spans="1:14" ht="15.75" hidden="1" thickBot="1" x14ac:dyDescent="0.25">
      <c r="A9" s="297"/>
      <c r="B9" s="297"/>
      <c r="C9" s="298"/>
      <c r="D9" s="344"/>
      <c r="E9" s="344"/>
      <c r="F9" s="345"/>
      <c r="G9" s="344"/>
      <c r="H9" s="345"/>
      <c r="I9" s="346"/>
      <c r="J9" s="344"/>
      <c r="K9" s="344"/>
      <c r="L9" s="344"/>
      <c r="M9" s="239"/>
      <c r="N9" s="1"/>
    </row>
    <row r="10" spans="1:14" s="115" customFormat="1" x14ac:dyDescent="0.2">
      <c r="A10" s="3"/>
      <c r="B10" s="3"/>
      <c r="C10" s="4"/>
      <c r="D10" s="5"/>
      <c r="E10" s="5"/>
      <c r="F10" s="12"/>
      <c r="G10" s="5"/>
      <c r="H10" s="12"/>
      <c r="I10" s="375"/>
      <c r="J10" s="5"/>
      <c r="K10" s="5"/>
      <c r="L10" s="5"/>
      <c r="M10" s="3"/>
      <c r="N10" s="111"/>
    </row>
    <row r="11" spans="1:14" s="56" customFormat="1" ht="30" x14ac:dyDescent="0.2">
      <c r="A11" s="275" t="s">
        <v>297</v>
      </c>
      <c r="B11" s="111"/>
      <c r="C11" s="125" t="s">
        <v>3</v>
      </c>
      <c r="D11" s="115"/>
      <c r="E11" s="115"/>
      <c r="F11" s="399" t="s">
        <v>250</v>
      </c>
      <c r="G11" s="399"/>
      <c r="H11" s="272" t="s">
        <v>40</v>
      </c>
      <c r="I11" s="148" t="s">
        <v>77</v>
      </c>
      <c r="J11" s="111"/>
      <c r="K11" s="111"/>
      <c r="L11" s="111"/>
      <c r="M11" s="7"/>
      <c r="N11" s="7"/>
    </row>
    <row r="12" spans="1:14" s="56" customFormat="1" x14ac:dyDescent="0.2">
      <c r="A12" s="274"/>
      <c r="B12" s="19"/>
      <c r="C12" s="20"/>
      <c r="D12" s="19"/>
      <c r="E12" s="19"/>
      <c r="F12" s="100"/>
      <c r="G12" s="19"/>
      <c r="H12" s="100"/>
      <c r="I12" s="35"/>
      <c r="J12" s="19"/>
      <c r="K12" s="19"/>
      <c r="L12" s="19"/>
      <c r="M12" s="19"/>
      <c r="N12" s="7"/>
    </row>
    <row r="13" spans="1:14" x14ac:dyDescent="0.2">
      <c r="A13" s="274"/>
      <c r="B13" s="19"/>
      <c r="C13" s="20"/>
      <c r="D13" s="19"/>
      <c r="E13" s="19"/>
      <c r="F13" s="100"/>
      <c r="G13" s="19"/>
      <c r="H13" s="100"/>
      <c r="I13" s="35"/>
      <c r="J13" s="19"/>
      <c r="K13" s="19"/>
      <c r="L13" s="19"/>
      <c r="M13" s="19"/>
      <c r="N13" s="1"/>
    </row>
    <row r="14" spans="1:14" x14ac:dyDescent="0.2">
      <c r="A14" s="276">
        <v>1</v>
      </c>
      <c r="B14" s="31" t="s">
        <v>136</v>
      </c>
      <c r="C14" s="124"/>
      <c r="D14" s="11"/>
      <c r="E14" s="11"/>
      <c r="F14" s="49"/>
      <c r="G14" s="11"/>
      <c r="H14" s="49"/>
      <c r="I14" s="45"/>
      <c r="J14" s="7"/>
      <c r="K14" s="7"/>
      <c r="L14" s="7"/>
      <c r="M14" s="7"/>
      <c r="N14" s="1"/>
    </row>
    <row r="15" spans="1:14" x14ac:dyDescent="0.2">
      <c r="A15" s="276"/>
      <c r="B15" s="31"/>
      <c r="C15" s="11" t="s">
        <v>60</v>
      </c>
      <c r="D15" s="11"/>
      <c r="E15" s="11"/>
      <c r="F15" s="49"/>
      <c r="G15" s="11"/>
      <c r="H15" s="49"/>
      <c r="I15" s="45"/>
      <c r="J15" s="7"/>
      <c r="K15" s="7"/>
      <c r="L15" s="7"/>
      <c r="M15" s="7"/>
      <c r="N15" s="1"/>
    </row>
    <row r="16" spans="1:14" x14ac:dyDescent="0.2">
      <c r="A16" s="276"/>
      <c r="B16" s="31"/>
      <c r="C16" s="11" t="s">
        <v>61</v>
      </c>
      <c r="D16" s="11"/>
      <c r="E16" s="11"/>
      <c r="F16" s="49"/>
      <c r="G16" s="11"/>
      <c r="H16" s="49"/>
      <c r="I16" s="45"/>
      <c r="J16" s="7"/>
      <c r="K16" s="7"/>
      <c r="L16" s="7"/>
      <c r="M16" s="7"/>
      <c r="N16" s="1"/>
    </row>
    <row r="17" spans="1:14" x14ac:dyDescent="0.2">
      <c r="A17" s="276"/>
      <c r="B17" s="31"/>
      <c r="C17" s="163" t="s">
        <v>56</v>
      </c>
      <c r="D17" s="164"/>
      <c r="E17" s="164"/>
      <c r="F17" s="49"/>
      <c r="G17" s="11"/>
      <c r="H17" s="49"/>
      <c r="I17" s="45"/>
      <c r="J17" s="7"/>
      <c r="K17" s="7"/>
      <c r="L17" s="7"/>
      <c r="M17" s="7"/>
      <c r="N17" s="1"/>
    </row>
    <row r="18" spans="1:14" x14ac:dyDescent="0.2">
      <c r="A18" s="276"/>
      <c r="B18" s="31"/>
      <c r="C18" s="383" t="s">
        <v>83</v>
      </c>
      <c r="D18" s="383"/>
      <c r="E18" s="163"/>
      <c r="F18" s="49"/>
      <c r="G18" s="11"/>
      <c r="H18" s="49"/>
      <c r="I18" s="45"/>
      <c r="J18" s="7"/>
      <c r="K18" s="7"/>
      <c r="L18" s="7"/>
      <c r="M18" s="7"/>
      <c r="N18" s="1"/>
    </row>
    <row r="19" spans="1:14" x14ac:dyDescent="0.2">
      <c r="A19" s="276"/>
      <c r="B19" s="31"/>
      <c r="C19" s="383" t="s">
        <v>57</v>
      </c>
      <c r="D19" s="383"/>
      <c r="E19" s="163"/>
      <c r="F19" s="49"/>
      <c r="G19" s="11"/>
      <c r="H19" s="49"/>
      <c r="I19" s="45"/>
      <c r="J19" s="7"/>
      <c r="K19" s="7"/>
      <c r="L19" s="7"/>
      <c r="M19" s="7"/>
      <c r="N19" s="1"/>
    </row>
    <row r="20" spans="1:14" x14ac:dyDescent="0.2">
      <c r="A20" s="276"/>
      <c r="B20" s="31"/>
      <c r="C20" s="163" t="s">
        <v>58</v>
      </c>
      <c r="D20" s="57"/>
      <c r="E20" s="57"/>
      <c r="F20" s="49"/>
      <c r="G20" s="11"/>
      <c r="H20" s="49"/>
      <c r="I20" s="45"/>
      <c r="J20" s="7"/>
      <c r="K20" s="7"/>
      <c r="L20" s="7"/>
      <c r="M20" s="7"/>
      <c r="N20" s="1"/>
    </row>
    <row r="21" spans="1:14" x14ac:dyDescent="0.2">
      <c r="A21" s="276"/>
      <c r="B21" s="31"/>
      <c r="C21" s="383" t="s">
        <v>59</v>
      </c>
      <c r="D21" s="383"/>
      <c r="E21" s="163"/>
      <c r="F21" s="49"/>
      <c r="G21" s="11"/>
      <c r="H21" s="49"/>
      <c r="I21" s="45"/>
      <c r="J21" s="7"/>
      <c r="K21" s="7"/>
      <c r="L21" s="7"/>
      <c r="M21" s="7"/>
      <c r="N21" s="1"/>
    </row>
    <row r="22" spans="1:14" x14ac:dyDescent="0.2">
      <c r="A22" s="276"/>
      <c r="B22" s="31"/>
      <c r="C22" s="383" t="s">
        <v>84</v>
      </c>
      <c r="D22" s="383"/>
      <c r="E22" s="163"/>
      <c r="F22" s="49"/>
      <c r="G22" s="11"/>
      <c r="H22" s="49"/>
      <c r="I22" s="45"/>
      <c r="J22" s="7"/>
      <c r="K22" s="7"/>
      <c r="L22" s="7"/>
      <c r="M22" s="7"/>
      <c r="N22" s="1"/>
    </row>
    <row r="23" spans="1:14" x14ac:dyDescent="0.2">
      <c r="A23" s="276"/>
      <c r="B23" s="31"/>
      <c r="C23" s="163"/>
      <c r="D23" s="163"/>
      <c r="E23" s="163"/>
      <c r="F23" s="49"/>
      <c r="G23" s="11"/>
      <c r="H23" s="49"/>
      <c r="I23" s="45"/>
      <c r="J23" s="7"/>
      <c r="K23" s="7"/>
      <c r="L23" s="7"/>
      <c r="M23" s="7"/>
      <c r="N23" s="1"/>
    </row>
    <row r="24" spans="1:14" s="48" customFormat="1" ht="18" x14ac:dyDescent="0.2">
      <c r="A24" s="276"/>
      <c r="B24" s="126"/>
      <c r="C24" s="124" t="s">
        <v>185</v>
      </c>
      <c r="D24" s="213"/>
      <c r="E24" s="213"/>
      <c r="F24" s="49">
        <v>6.45</v>
      </c>
      <c r="G24" s="11" t="s">
        <v>15</v>
      </c>
      <c r="H24" s="49">
        <v>30.95</v>
      </c>
      <c r="I24" s="45">
        <f>((H24/60)*F24)*0.1</f>
        <v>0.33271250000000002</v>
      </c>
      <c r="J24" s="11"/>
      <c r="K24" s="11"/>
      <c r="L24" s="11"/>
      <c r="M24" s="11"/>
      <c r="N24" s="8"/>
    </row>
    <row r="25" spans="1:14" x14ac:dyDescent="0.2">
      <c r="A25" s="276"/>
      <c r="B25" s="11"/>
      <c r="C25" s="124"/>
      <c r="D25" s="11"/>
      <c r="E25" s="11"/>
      <c r="F25" s="49"/>
      <c r="G25" s="11"/>
      <c r="H25" s="49"/>
      <c r="I25" s="45"/>
      <c r="J25" s="7"/>
      <c r="K25" s="7"/>
      <c r="L25" s="7"/>
      <c r="M25" s="7"/>
      <c r="N25" s="1"/>
    </row>
    <row r="26" spans="1:14" x14ac:dyDescent="0.2">
      <c r="A26" s="277">
        <v>2</v>
      </c>
      <c r="B26" s="7" t="s">
        <v>65</v>
      </c>
      <c r="C26" s="186"/>
      <c r="D26" s="7"/>
      <c r="E26" s="7"/>
      <c r="F26" s="30"/>
      <c r="G26" s="7"/>
      <c r="H26" s="30"/>
      <c r="I26" s="34"/>
      <c r="J26" s="7"/>
      <c r="K26" s="7"/>
      <c r="L26" s="7"/>
      <c r="M26" s="7"/>
      <c r="N26" s="1"/>
    </row>
    <row r="27" spans="1:14" ht="30" customHeight="1" x14ac:dyDescent="0.2">
      <c r="A27" s="277"/>
      <c r="B27" s="7"/>
      <c r="C27" s="398" t="s">
        <v>134</v>
      </c>
      <c r="D27" s="398"/>
      <c r="E27" s="15"/>
      <c r="F27" s="30">
        <v>1</v>
      </c>
      <c r="G27" s="120"/>
      <c r="H27" s="133"/>
      <c r="I27" s="134"/>
      <c r="J27" s="7"/>
      <c r="K27" s="7"/>
      <c r="L27" s="7"/>
      <c r="M27" s="7"/>
      <c r="N27" s="1"/>
    </row>
    <row r="28" spans="1:14" x14ac:dyDescent="0.2">
      <c r="A28" s="277"/>
      <c r="B28" s="7"/>
      <c r="C28" s="15"/>
      <c r="D28" s="189"/>
      <c r="E28" s="189"/>
      <c r="F28" s="30"/>
      <c r="G28" s="120"/>
      <c r="H28" s="133"/>
      <c r="I28" s="214"/>
      <c r="J28" s="7"/>
      <c r="K28" s="7"/>
      <c r="L28" s="7"/>
      <c r="M28" s="7"/>
      <c r="N28" s="1"/>
    </row>
    <row r="29" spans="1:14" s="48" customFormat="1" ht="18" x14ac:dyDescent="0.2">
      <c r="A29" s="276"/>
      <c r="B29" s="126"/>
      <c r="C29" s="124" t="s">
        <v>127</v>
      </c>
      <c r="D29" s="126"/>
      <c r="E29" s="126"/>
      <c r="F29" s="49">
        <f>SUM(F27:F28)</f>
        <v>1</v>
      </c>
      <c r="G29" s="11" t="s">
        <v>15</v>
      </c>
      <c r="H29" s="49">
        <v>37.36</v>
      </c>
      <c r="I29" s="45">
        <f>(H29/60)*F29</f>
        <v>0.6226666666666667</v>
      </c>
      <c r="J29" s="11"/>
      <c r="K29" s="11"/>
      <c r="L29" s="11"/>
      <c r="M29" s="11"/>
      <c r="N29" s="8"/>
    </row>
    <row r="30" spans="1:14" x14ac:dyDescent="0.2">
      <c r="A30" s="277"/>
      <c r="B30" s="7"/>
      <c r="C30" s="15"/>
      <c r="D30" s="189"/>
      <c r="E30" s="189"/>
      <c r="F30" s="30"/>
      <c r="G30" s="7"/>
      <c r="H30" s="30"/>
      <c r="I30" s="34"/>
      <c r="J30" s="7"/>
      <c r="K30" s="7"/>
      <c r="L30" s="7"/>
      <c r="M30" s="7"/>
      <c r="N30" s="1"/>
    </row>
    <row r="31" spans="1:14" s="104" customFormat="1" x14ac:dyDescent="0.2">
      <c r="A31" s="277">
        <v>3</v>
      </c>
      <c r="B31" s="7" t="s">
        <v>44</v>
      </c>
      <c r="C31" s="15"/>
      <c r="D31" s="7"/>
      <c r="E31" s="7"/>
      <c r="F31" s="30"/>
      <c r="G31" s="7"/>
      <c r="H31" s="30"/>
      <c r="I31" s="34"/>
      <c r="J31" s="7"/>
      <c r="K31" s="7"/>
      <c r="L31" s="7"/>
      <c r="M31" s="7"/>
      <c r="N31" s="1"/>
    </row>
    <row r="32" spans="1:14" s="104" customFormat="1" ht="65.25" customHeight="1" x14ac:dyDescent="0.2">
      <c r="A32" s="277"/>
      <c r="B32" s="7"/>
      <c r="C32" s="398" t="s">
        <v>133</v>
      </c>
      <c r="D32" s="398"/>
      <c r="E32" s="196"/>
      <c r="F32" s="30"/>
      <c r="G32" s="7"/>
      <c r="H32" s="30"/>
      <c r="I32" s="34"/>
      <c r="J32" s="7"/>
      <c r="K32" s="7"/>
      <c r="L32" s="7"/>
      <c r="M32" s="7"/>
      <c r="N32" s="1"/>
    </row>
    <row r="33" spans="1:14" s="104" customFormat="1" x14ac:dyDescent="0.2">
      <c r="A33" s="277"/>
      <c r="B33" s="7"/>
      <c r="C33" s="196"/>
      <c r="D33" s="196"/>
      <c r="E33" s="196"/>
      <c r="F33" s="30"/>
      <c r="G33" s="7"/>
      <c r="H33" s="30"/>
      <c r="I33" s="34"/>
      <c r="J33" s="7"/>
      <c r="K33" s="7"/>
      <c r="L33" s="7"/>
      <c r="M33" s="7"/>
      <c r="N33" s="1"/>
    </row>
    <row r="34" spans="1:14" s="102" customFormat="1" ht="18" x14ac:dyDescent="0.2">
      <c r="A34" s="276"/>
      <c r="B34" s="126"/>
      <c r="C34" s="124" t="s">
        <v>123</v>
      </c>
      <c r="D34" s="126"/>
      <c r="E34" s="126"/>
      <c r="F34" s="49">
        <f>3*0.12</f>
        <v>0.36</v>
      </c>
      <c r="G34" s="11" t="s">
        <v>15</v>
      </c>
      <c r="H34" s="49">
        <v>34.630000000000003</v>
      </c>
      <c r="I34" s="45">
        <v>0</v>
      </c>
      <c r="J34" s="11"/>
      <c r="K34" s="11"/>
      <c r="L34" s="11"/>
      <c r="M34" s="11"/>
      <c r="N34" s="8"/>
    </row>
    <row r="35" spans="1:14" s="102" customFormat="1" ht="18" x14ac:dyDescent="0.2">
      <c r="A35" s="276"/>
      <c r="B35" s="126"/>
      <c r="C35" s="124"/>
      <c r="D35" s="126"/>
      <c r="E35" s="126"/>
      <c r="F35" s="49"/>
      <c r="G35" s="11"/>
      <c r="H35" s="49"/>
      <c r="I35" s="45"/>
      <c r="J35" s="11"/>
      <c r="K35" s="11"/>
      <c r="L35" s="11"/>
      <c r="M35" s="11"/>
      <c r="N35" s="8"/>
    </row>
    <row r="36" spans="1:14" s="102" customFormat="1" ht="18" x14ac:dyDescent="0.2">
      <c r="A36" s="276"/>
      <c r="B36" s="126"/>
      <c r="C36" s="124"/>
      <c r="D36" s="126"/>
      <c r="E36" s="126"/>
      <c r="F36" s="49"/>
      <c r="G36" s="11"/>
      <c r="H36" s="49"/>
      <c r="I36" s="45"/>
      <c r="J36" s="11"/>
      <c r="K36" s="11"/>
      <c r="L36" s="11"/>
      <c r="M36" s="11"/>
      <c r="N36" s="8"/>
    </row>
    <row r="37" spans="1:14" s="102" customFormat="1" ht="18" x14ac:dyDescent="0.2">
      <c r="A37" s="276"/>
      <c r="B37" s="126"/>
      <c r="C37" s="124"/>
      <c r="D37" s="126"/>
      <c r="E37" s="126"/>
      <c r="F37" s="49"/>
      <c r="G37" s="11"/>
      <c r="H37" s="49"/>
      <c r="I37" s="45"/>
      <c r="J37" s="11"/>
      <c r="K37" s="11"/>
      <c r="L37" s="11"/>
      <c r="M37" s="11"/>
      <c r="N37" s="8"/>
    </row>
    <row r="38" spans="1:14" s="102" customFormat="1" ht="18" x14ac:dyDescent="0.2">
      <c r="A38" s="276"/>
      <c r="B38" s="126"/>
      <c r="C38" s="124"/>
      <c r="D38" s="126"/>
      <c r="E38" s="126"/>
      <c r="F38" s="49"/>
      <c r="G38" s="11"/>
      <c r="H38" s="49"/>
      <c r="I38" s="45"/>
      <c r="J38" s="11"/>
      <c r="K38" s="11"/>
      <c r="L38" s="11"/>
      <c r="M38" s="11"/>
      <c r="N38" s="8"/>
    </row>
    <row r="39" spans="1:14" s="102" customFormat="1" ht="18" x14ac:dyDescent="0.2">
      <c r="A39" s="276"/>
      <c r="B39" s="126"/>
      <c r="C39" s="124"/>
      <c r="D39" s="126"/>
      <c r="E39" s="126"/>
      <c r="F39" s="49"/>
      <c r="G39" s="11"/>
      <c r="H39" s="49"/>
      <c r="I39" s="45"/>
      <c r="J39" s="11"/>
      <c r="K39" s="11"/>
      <c r="L39" s="11"/>
      <c r="M39" s="11"/>
      <c r="N39" s="8"/>
    </row>
    <row r="40" spans="1:14" s="102" customFormat="1" ht="18" x14ac:dyDescent="0.2">
      <c r="A40" s="11"/>
      <c r="B40" s="126"/>
      <c r="C40" s="124"/>
      <c r="D40" s="126"/>
      <c r="E40" s="126"/>
      <c r="F40" s="49"/>
      <c r="G40" s="11"/>
      <c r="H40" s="49"/>
      <c r="I40" s="45"/>
      <c r="J40" s="11"/>
      <c r="K40" s="11"/>
      <c r="L40" s="11"/>
      <c r="M40" s="11"/>
      <c r="N40" s="8"/>
    </row>
    <row r="41" spans="1:14" s="102" customFormat="1" ht="18" x14ac:dyDescent="0.2">
      <c r="A41" s="11"/>
      <c r="B41" s="126"/>
      <c r="C41" s="124"/>
      <c r="D41" s="126"/>
      <c r="E41" s="126"/>
      <c r="F41" s="49"/>
      <c r="G41" s="11"/>
      <c r="H41" s="49"/>
      <c r="I41" s="45"/>
      <c r="J41" s="11"/>
      <c r="K41" s="11"/>
      <c r="L41" s="11"/>
      <c r="M41" s="11"/>
      <c r="N41" s="8"/>
    </row>
    <row r="42" spans="1:14" s="369" customFormat="1" ht="18" x14ac:dyDescent="0.2">
      <c r="A42" s="284"/>
      <c r="B42" s="353"/>
      <c r="C42" s="354"/>
      <c r="D42" s="353"/>
      <c r="E42" s="353"/>
      <c r="F42" s="355"/>
      <c r="G42" s="284"/>
      <c r="H42" s="355"/>
      <c r="I42" s="356"/>
      <c r="J42" s="284"/>
      <c r="K42" s="284"/>
      <c r="L42" s="284"/>
      <c r="M42" s="284"/>
      <c r="N42" s="284"/>
    </row>
    <row r="43" spans="1:14" x14ac:dyDescent="0.2">
      <c r="A43" s="7"/>
      <c r="B43" s="7"/>
      <c r="C43" s="15"/>
      <c r="D43" s="189"/>
      <c r="E43" s="189"/>
      <c r="F43" s="30"/>
      <c r="G43" s="7"/>
      <c r="H43" s="133"/>
      <c r="I43" s="134"/>
      <c r="J43" s="7"/>
      <c r="K43" s="7"/>
      <c r="L43" s="7"/>
      <c r="M43" s="7"/>
      <c r="N43" s="1"/>
    </row>
    <row r="44" spans="1:14" s="56" customFormat="1" x14ac:dyDescent="0.2">
      <c r="A44" s="14" t="s">
        <v>0</v>
      </c>
      <c r="B44" s="7"/>
      <c r="C44" s="15"/>
      <c r="D44" s="23" t="str">
        <f>+D2</f>
        <v>COST STUDY - CONNECTIONS AND RECONNECTIONS - COST OF TEMPORARY DISCONNECT AT CUSTOMER REQUEST</v>
      </c>
      <c r="E44" s="23"/>
      <c r="F44" s="23"/>
      <c r="G44" s="97"/>
      <c r="H44" s="97"/>
      <c r="I44" s="97"/>
      <c r="J44" s="7"/>
      <c r="K44" s="18" t="s">
        <v>251</v>
      </c>
      <c r="M44" s="7"/>
      <c r="N44" s="7"/>
    </row>
    <row r="45" spans="1:14" s="56" customFormat="1" x14ac:dyDescent="0.2">
      <c r="A45" s="3"/>
      <c r="B45" s="3"/>
      <c r="C45" s="4"/>
      <c r="D45" s="308"/>
      <c r="E45" s="308"/>
      <c r="F45" s="308"/>
      <c r="G45" s="301"/>
      <c r="H45" s="301"/>
      <c r="I45" s="301"/>
      <c r="J45" s="3"/>
      <c r="K45" s="3"/>
      <c r="L45" s="3"/>
      <c r="M45" s="19"/>
      <c r="N45" s="7"/>
    </row>
    <row r="46" spans="1:14" s="56" customFormat="1" x14ac:dyDescent="0.2">
      <c r="A46" s="14" t="str">
        <f>+A8</f>
        <v>DOCKET NO.:  20200051-GU</v>
      </c>
      <c r="B46" s="7"/>
      <c r="C46" s="15"/>
      <c r="D46" s="341"/>
      <c r="E46" s="21"/>
      <c r="F46" s="25"/>
      <c r="G46" s="164"/>
      <c r="H46" s="164"/>
      <c r="I46" s="339"/>
      <c r="J46" s="24"/>
      <c r="K46" s="113" t="str">
        <f>+K4</f>
        <v>TYPE OF DATA SHOWN:</v>
      </c>
      <c r="L46" s="24"/>
      <c r="M46" s="7"/>
      <c r="N46" s="7"/>
    </row>
    <row r="47" spans="1:14" s="56" customFormat="1" x14ac:dyDescent="0.2">
      <c r="A47" s="7"/>
      <c r="B47" s="7"/>
      <c r="C47" s="15"/>
      <c r="D47" s="21" t="s">
        <v>26</v>
      </c>
      <c r="E47" s="21"/>
      <c r="F47" s="26"/>
      <c r="G47" s="97"/>
      <c r="H47" s="97"/>
      <c r="I47" s="340"/>
      <c r="J47" s="23"/>
      <c r="K47" s="128" t="str">
        <f>+K5</f>
        <v>HISTORIC BASE YEAR DATA:  12/31/19</v>
      </c>
      <c r="L47" s="23"/>
      <c r="M47" s="7"/>
      <c r="N47" s="7"/>
    </row>
    <row r="48" spans="1:14" s="56" customFormat="1" x14ac:dyDescent="0.2">
      <c r="A48" s="14"/>
      <c r="B48" s="7"/>
      <c r="C48" s="15"/>
      <c r="D48" s="21" t="s">
        <v>27</v>
      </c>
      <c r="E48" s="341"/>
      <c r="F48" s="26"/>
      <c r="G48" s="164"/>
      <c r="H48" s="164"/>
      <c r="I48" s="339"/>
      <c r="J48" s="24"/>
      <c r="K48" s="57" t="str">
        <f>+K6</f>
        <v>WITNESS:  M. WHITAKER</v>
      </c>
      <c r="L48" s="25"/>
      <c r="M48" s="7"/>
      <c r="N48" s="7"/>
    </row>
    <row r="49" spans="1:14" s="56" customFormat="1" x14ac:dyDescent="0.2">
      <c r="A49" s="7"/>
      <c r="B49" s="7"/>
      <c r="C49" s="15"/>
      <c r="F49" s="25"/>
      <c r="G49" s="24"/>
      <c r="H49" s="24"/>
      <c r="I49" s="36"/>
      <c r="J49" s="24"/>
      <c r="K49" s="25"/>
      <c r="L49" s="24"/>
      <c r="M49" s="7"/>
      <c r="N49" s="7"/>
    </row>
    <row r="50" spans="1:14" s="115" customFormat="1" x14ac:dyDescent="0.2">
      <c r="A50" s="302" t="str">
        <f>+A8</f>
        <v>DOCKET NO.:  20200051-GU</v>
      </c>
      <c r="B50" s="111"/>
      <c r="C50" s="303"/>
      <c r="F50" s="328"/>
      <c r="G50" s="326"/>
      <c r="H50" s="326"/>
      <c r="I50" s="327"/>
      <c r="J50" s="326"/>
      <c r="K50" s="328"/>
      <c r="L50" s="326"/>
      <c r="M50" s="111"/>
      <c r="N50" s="111"/>
    </row>
    <row r="51" spans="1:14" s="56" customFormat="1" x14ac:dyDescent="0.2">
      <c r="A51" s="19"/>
      <c r="B51" s="19"/>
      <c r="C51" s="20"/>
      <c r="D51" s="21"/>
      <c r="E51" s="21"/>
      <c r="F51" s="22"/>
      <c r="G51" s="21"/>
      <c r="H51" s="22"/>
      <c r="I51" s="42"/>
      <c r="J51" s="21"/>
      <c r="K51" s="21"/>
      <c r="L51" s="21"/>
      <c r="M51" s="19"/>
      <c r="N51" s="7"/>
    </row>
    <row r="52" spans="1:14" ht="30" x14ac:dyDescent="0.2">
      <c r="A52" s="275" t="s">
        <v>297</v>
      </c>
      <c r="B52" s="111"/>
      <c r="C52" s="125" t="s">
        <v>3</v>
      </c>
      <c r="D52" s="115"/>
      <c r="E52" s="115"/>
      <c r="F52" s="399" t="s">
        <v>250</v>
      </c>
      <c r="G52" s="399"/>
      <c r="H52" s="155" t="s">
        <v>40</v>
      </c>
      <c r="I52" s="148" t="s">
        <v>77</v>
      </c>
      <c r="J52" s="111"/>
      <c r="K52" s="111"/>
      <c r="L52" s="111"/>
      <c r="M52" s="7"/>
      <c r="N52" s="1"/>
    </row>
    <row r="53" spans="1:14" x14ac:dyDescent="0.2">
      <c r="A53" s="274"/>
      <c r="B53" s="19"/>
      <c r="C53" s="20"/>
      <c r="D53" s="19"/>
      <c r="E53" s="19"/>
      <c r="F53" s="100"/>
      <c r="G53" s="19"/>
      <c r="H53" s="100"/>
      <c r="I53" s="35"/>
      <c r="J53" s="19"/>
      <c r="K53" s="19"/>
      <c r="L53" s="19"/>
      <c r="M53" s="19"/>
      <c r="N53" s="1"/>
    </row>
    <row r="54" spans="1:14" s="56" customFormat="1" x14ac:dyDescent="0.2">
      <c r="A54" s="274"/>
      <c r="B54" s="19"/>
      <c r="C54" s="20"/>
      <c r="D54" s="19"/>
      <c r="E54" s="19"/>
      <c r="F54" s="100"/>
      <c r="G54" s="19"/>
      <c r="H54" s="100"/>
      <c r="I54" s="35"/>
      <c r="J54" s="19"/>
      <c r="K54" s="19"/>
      <c r="L54" s="19"/>
      <c r="M54" s="19"/>
      <c r="N54" s="7"/>
    </row>
    <row r="55" spans="1:14" x14ac:dyDescent="0.2">
      <c r="A55" s="277">
        <v>4</v>
      </c>
      <c r="B55" s="14" t="s">
        <v>6</v>
      </c>
      <c r="C55" s="15"/>
      <c r="D55" s="7"/>
      <c r="E55" s="7"/>
      <c r="F55" s="30"/>
      <c r="G55" s="7"/>
      <c r="H55" s="30"/>
      <c r="I55" s="194"/>
      <c r="J55" s="7"/>
      <c r="K55" s="7"/>
      <c r="L55" s="7"/>
      <c r="M55" s="7"/>
      <c r="N55" s="1"/>
    </row>
    <row r="56" spans="1:14" s="48" customFormat="1" ht="18" x14ac:dyDescent="0.2">
      <c r="A56" s="276"/>
      <c r="B56" s="11" t="s">
        <v>41</v>
      </c>
      <c r="C56" s="66" t="s">
        <v>47</v>
      </c>
      <c r="D56" s="126"/>
      <c r="E56" s="126"/>
      <c r="F56" s="49">
        <v>17</v>
      </c>
      <c r="G56" s="187"/>
      <c r="H56" s="187"/>
      <c r="I56" s="195"/>
      <c r="J56" s="11"/>
      <c r="K56" s="11"/>
      <c r="L56" s="11"/>
      <c r="M56" s="11"/>
      <c r="N56" s="8"/>
    </row>
    <row r="57" spans="1:14" s="132" customFormat="1" ht="52.5" customHeight="1" x14ac:dyDescent="0.15">
      <c r="A57" s="278"/>
      <c r="B57" s="165" t="s">
        <v>42</v>
      </c>
      <c r="C57" s="386" t="s">
        <v>71</v>
      </c>
      <c r="D57" s="386"/>
      <c r="E57" s="254"/>
      <c r="F57" s="131">
        <v>8</v>
      </c>
      <c r="G57" s="165"/>
      <c r="H57" s="131"/>
      <c r="I57" s="259"/>
      <c r="J57" s="165"/>
      <c r="K57" s="165"/>
      <c r="L57" s="165"/>
      <c r="M57" s="165"/>
      <c r="N57" s="264"/>
    </row>
    <row r="58" spans="1:14" s="244" customFormat="1" ht="15.75" x14ac:dyDescent="0.25">
      <c r="A58" s="321"/>
      <c r="B58" s="11" t="s">
        <v>43</v>
      </c>
      <c r="C58" s="252" t="s">
        <v>293</v>
      </c>
      <c r="D58" s="252"/>
      <c r="E58" s="252"/>
      <c r="F58" s="49">
        <v>0</v>
      </c>
      <c r="G58" s="242"/>
      <c r="H58" s="243"/>
      <c r="I58" s="228"/>
      <c r="J58" s="129"/>
      <c r="K58" s="129"/>
      <c r="L58" s="129"/>
      <c r="M58" s="129"/>
      <c r="N58" s="129"/>
    </row>
    <row r="59" spans="1:14" s="48" customFormat="1" ht="18" x14ac:dyDescent="0.2">
      <c r="A59" s="276"/>
      <c r="B59" s="126"/>
      <c r="C59" s="124" t="s">
        <v>195</v>
      </c>
      <c r="D59" s="126"/>
      <c r="E59" s="126"/>
      <c r="F59" s="49">
        <f>SUM($F$56:$F$58)</f>
        <v>25</v>
      </c>
      <c r="G59" s="11" t="s">
        <v>15</v>
      </c>
      <c r="H59" s="49">
        <v>37.44</v>
      </c>
      <c r="I59" s="45">
        <f>($H$59/60)*$F$59</f>
        <v>15.6</v>
      </c>
      <c r="J59" s="11"/>
      <c r="K59" s="11"/>
      <c r="L59" s="11"/>
      <c r="M59" s="11"/>
      <c r="N59" s="8"/>
    </row>
    <row r="60" spans="1:14" x14ac:dyDescent="0.2">
      <c r="A60" s="277"/>
      <c r="B60" s="7"/>
      <c r="C60" s="15"/>
      <c r="D60" s="189"/>
      <c r="E60" s="189"/>
      <c r="F60" s="30"/>
      <c r="G60" s="7"/>
      <c r="H60" s="30"/>
      <c r="I60" s="194"/>
      <c r="J60" s="7"/>
      <c r="K60" s="7"/>
      <c r="L60" s="7"/>
      <c r="M60" s="7"/>
      <c r="N60" s="1"/>
    </row>
    <row r="61" spans="1:14" s="48" customFormat="1" x14ac:dyDescent="0.2">
      <c r="A61" s="276">
        <v>5</v>
      </c>
      <c r="B61" s="31" t="s">
        <v>7</v>
      </c>
      <c r="C61" s="124"/>
      <c r="D61" s="11"/>
      <c r="E61" s="11"/>
      <c r="F61" s="49"/>
      <c r="G61" s="11"/>
      <c r="H61" s="49"/>
      <c r="I61" s="44"/>
      <c r="J61" s="11"/>
      <c r="K61" s="11"/>
      <c r="L61" s="11"/>
      <c r="M61" s="11"/>
      <c r="N61" s="8"/>
    </row>
    <row r="62" spans="1:14" s="48" customFormat="1" x14ac:dyDescent="0.2">
      <c r="A62" s="276"/>
      <c r="B62" s="31"/>
      <c r="C62" s="163"/>
      <c r="D62" s="11"/>
      <c r="E62" s="11"/>
      <c r="F62" s="49"/>
      <c r="G62" s="11"/>
      <c r="H62" s="49"/>
      <c r="I62" s="44"/>
      <c r="J62" s="11"/>
      <c r="K62" s="11"/>
      <c r="L62" s="11"/>
      <c r="M62" s="11"/>
      <c r="N62" s="8"/>
    </row>
    <row r="63" spans="1:14" s="48" customFormat="1" x14ac:dyDescent="0.2">
      <c r="A63" s="276"/>
      <c r="B63" s="31"/>
      <c r="C63" s="163" t="s">
        <v>110</v>
      </c>
      <c r="D63" s="11"/>
      <c r="E63" s="11"/>
      <c r="F63" s="49"/>
      <c r="G63" s="11"/>
      <c r="H63" s="49"/>
      <c r="I63" s="44">
        <v>1.42</v>
      </c>
      <c r="J63" s="11"/>
      <c r="K63" s="11"/>
      <c r="L63" s="11"/>
      <c r="M63" s="11"/>
      <c r="N63" s="8"/>
    </row>
    <row r="64" spans="1:14" x14ac:dyDescent="0.2">
      <c r="A64" s="277"/>
      <c r="B64" s="7"/>
      <c r="C64" s="15"/>
      <c r="D64" s="7"/>
      <c r="E64" s="7"/>
      <c r="F64" s="30"/>
      <c r="G64" s="7"/>
      <c r="H64" s="30"/>
      <c r="I64" s="194"/>
      <c r="J64" s="7"/>
      <c r="K64" s="7"/>
      <c r="L64" s="7"/>
      <c r="M64" s="7"/>
      <c r="N64" s="1"/>
    </row>
    <row r="65" spans="1:14" x14ac:dyDescent="0.2">
      <c r="A65" s="276">
        <v>6</v>
      </c>
      <c r="B65" s="31" t="s">
        <v>8</v>
      </c>
      <c r="C65" s="124"/>
      <c r="D65" s="11"/>
      <c r="E65" s="11"/>
      <c r="F65" s="49"/>
      <c r="G65" s="11"/>
      <c r="H65" s="49"/>
      <c r="I65" s="44"/>
      <c r="J65" s="11"/>
      <c r="K65" s="7"/>
      <c r="L65" s="7"/>
      <c r="M65" s="7"/>
      <c r="N65" s="1"/>
    </row>
    <row r="66" spans="1:14" x14ac:dyDescent="0.2">
      <c r="A66" s="276"/>
      <c r="B66" s="31" t="s">
        <v>41</v>
      </c>
      <c r="C66" s="383" t="s">
        <v>73</v>
      </c>
      <c r="D66" s="383"/>
      <c r="E66" s="163"/>
      <c r="F66" s="11"/>
      <c r="G66" s="11"/>
      <c r="H66" s="49"/>
      <c r="I66" s="197"/>
      <c r="J66" s="11"/>
      <c r="K66" s="7"/>
      <c r="L66" s="7"/>
      <c r="M66" s="7"/>
      <c r="N66" s="1"/>
    </row>
    <row r="67" spans="1:14" x14ac:dyDescent="0.2">
      <c r="A67" s="276"/>
      <c r="B67" s="31"/>
      <c r="C67" s="124"/>
      <c r="D67" s="11"/>
      <c r="E67" s="11"/>
      <c r="F67" s="11"/>
      <c r="G67" s="11"/>
      <c r="H67" s="49"/>
      <c r="I67" s="197"/>
      <c r="J67" s="11"/>
      <c r="K67" s="7"/>
      <c r="L67" s="7"/>
      <c r="M67" s="7"/>
      <c r="N67" s="1"/>
    </row>
    <row r="68" spans="1:14" s="48" customFormat="1" x14ac:dyDescent="0.2">
      <c r="A68" s="276"/>
      <c r="B68" s="31" t="s">
        <v>42</v>
      </c>
      <c r="C68" s="383" t="s">
        <v>142</v>
      </c>
      <c r="D68" s="383"/>
      <c r="E68" s="163"/>
      <c r="F68" s="49"/>
      <c r="G68" s="11"/>
      <c r="H68" s="49"/>
      <c r="I68" s="44">
        <f>$F$59*(4.9/60)</f>
        <v>2.041666666666667</v>
      </c>
      <c r="J68" s="11"/>
      <c r="K68" s="11"/>
      <c r="L68" s="11"/>
      <c r="M68" s="11"/>
      <c r="N68" s="8"/>
    </row>
    <row r="69" spans="1:14" x14ac:dyDescent="0.2">
      <c r="A69" s="276"/>
      <c r="B69" s="11"/>
      <c r="C69" s="124"/>
      <c r="D69" s="11"/>
      <c r="E69" s="11"/>
      <c r="F69" s="49"/>
      <c r="G69" s="11"/>
      <c r="H69" s="49"/>
      <c r="I69" s="44"/>
      <c r="J69" s="11"/>
      <c r="K69" s="7"/>
      <c r="L69" s="7"/>
      <c r="M69" s="7"/>
      <c r="N69" s="1"/>
    </row>
    <row r="70" spans="1:14" x14ac:dyDescent="0.2">
      <c r="A70" s="276">
        <v>7</v>
      </c>
      <c r="B70" s="31" t="s">
        <v>98</v>
      </c>
      <c r="C70" s="124"/>
      <c r="D70" s="11"/>
      <c r="E70" s="11"/>
      <c r="F70" s="49"/>
      <c r="G70" s="11"/>
      <c r="H70" s="49"/>
      <c r="I70" s="44"/>
      <c r="J70" s="11"/>
      <c r="K70" s="7"/>
      <c r="L70" s="7"/>
      <c r="M70" s="7"/>
      <c r="N70" s="1"/>
    </row>
    <row r="71" spans="1:14" s="48" customFormat="1" ht="18" x14ac:dyDescent="0.2">
      <c r="A71" s="276"/>
      <c r="B71" s="11"/>
      <c r="C71" s="383" t="s">
        <v>99</v>
      </c>
      <c r="D71" s="383"/>
      <c r="E71" s="163"/>
      <c r="F71" s="49"/>
      <c r="G71" s="11"/>
      <c r="H71" s="126"/>
      <c r="I71" s="44">
        <f>$F$59*(5.92/60)</f>
        <v>2.4666666666666668</v>
      </c>
      <c r="J71" s="11"/>
      <c r="K71" s="11"/>
      <c r="L71" s="11"/>
      <c r="M71" s="11"/>
      <c r="N71" s="8"/>
    </row>
    <row r="72" spans="1:14" x14ac:dyDescent="0.2">
      <c r="A72" s="276"/>
      <c r="B72" s="11"/>
      <c r="C72" s="124"/>
      <c r="D72" s="11"/>
      <c r="E72" s="11"/>
      <c r="F72" s="49"/>
      <c r="G72" s="11"/>
      <c r="H72" s="49"/>
      <c r="I72" s="44"/>
      <c r="J72" s="11"/>
      <c r="K72" s="7"/>
      <c r="L72" s="7"/>
      <c r="M72" s="7"/>
      <c r="N72" s="1"/>
    </row>
    <row r="73" spans="1:14" s="48" customFormat="1" ht="18" x14ac:dyDescent="0.2">
      <c r="A73" s="276">
        <v>8</v>
      </c>
      <c r="B73" s="33" t="s">
        <v>9</v>
      </c>
      <c r="C73" s="124"/>
      <c r="D73" s="211"/>
      <c r="E73" s="211"/>
      <c r="F73" s="229"/>
      <c r="G73" s="211"/>
      <c r="H73" s="126"/>
      <c r="I73" s="44">
        <f>(88.05-$I$59-$I$68)*0.1</f>
        <v>7.0408333333333335</v>
      </c>
      <c r="J73" s="211"/>
      <c r="K73" s="11"/>
      <c r="L73" s="11"/>
      <c r="M73" s="11"/>
      <c r="N73" s="8"/>
    </row>
    <row r="74" spans="1:14" x14ac:dyDescent="0.2">
      <c r="A74" s="276"/>
      <c r="B74" s="11"/>
      <c r="C74" s="66"/>
      <c r="D74" s="11"/>
      <c r="E74" s="11"/>
      <c r="F74" s="49"/>
      <c r="G74" s="11"/>
      <c r="H74" s="49"/>
      <c r="I74" s="44"/>
      <c r="J74" s="11"/>
      <c r="K74" s="7"/>
      <c r="L74" s="7"/>
      <c r="M74" s="7"/>
      <c r="N74" s="1"/>
    </row>
    <row r="75" spans="1:14" x14ac:dyDescent="0.2">
      <c r="A75" s="276"/>
      <c r="B75" s="11"/>
      <c r="C75" s="124"/>
      <c r="D75" s="11"/>
      <c r="E75" s="11"/>
      <c r="F75" s="49"/>
      <c r="G75" s="11"/>
      <c r="H75" s="49"/>
      <c r="I75" s="44"/>
      <c r="J75" s="11"/>
      <c r="K75" s="7"/>
      <c r="L75" s="7"/>
      <c r="M75" s="7"/>
      <c r="N75" s="1"/>
    </row>
    <row r="76" spans="1:14" x14ac:dyDescent="0.2">
      <c r="A76" s="276">
        <v>9</v>
      </c>
      <c r="B76" s="31" t="s">
        <v>10</v>
      </c>
      <c r="C76" s="31" t="s">
        <v>11</v>
      </c>
      <c r="D76" s="211"/>
      <c r="E76" s="211"/>
      <c r="F76" s="229"/>
      <c r="G76" s="211"/>
      <c r="H76" s="229"/>
      <c r="I76" s="230"/>
      <c r="J76" s="11"/>
      <c r="K76" s="7"/>
      <c r="L76" s="7"/>
      <c r="M76" s="7"/>
      <c r="N76" s="1"/>
    </row>
    <row r="77" spans="1:14" s="48" customFormat="1" ht="18" x14ac:dyDescent="0.2">
      <c r="A77" s="276"/>
      <c r="B77" s="11"/>
      <c r="C77" s="124"/>
      <c r="D77" s="126"/>
      <c r="E77" s="126"/>
      <c r="F77" s="49"/>
      <c r="G77" s="11"/>
      <c r="H77" s="45"/>
      <c r="I77" s="45"/>
      <c r="J77" s="11"/>
      <c r="K77" s="11"/>
      <c r="L77" s="11"/>
      <c r="M77" s="11"/>
      <c r="N77" s="8"/>
    </row>
    <row r="78" spans="1:14" x14ac:dyDescent="0.2">
      <c r="A78" s="276"/>
      <c r="B78" s="11"/>
      <c r="C78" s="124"/>
      <c r="D78" s="11"/>
      <c r="E78" s="11"/>
      <c r="F78" s="49"/>
      <c r="G78" s="11"/>
      <c r="H78" s="49"/>
      <c r="I78" s="46"/>
      <c r="J78" s="11"/>
      <c r="K78" s="7"/>
      <c r="L78" s="7"/>
      <c r="M78" s="7"/>
      <c r="N78" s="1"/>
    </row>
    <row r="79" spans="1:14" ht="15.75" thickBot="1" x14ac:dyDescent="0.25">
      <c r="A79" s="276">
        <v>10</v>
      </c>
      <c r="B79" s="31" t="s">
        <v>35</v>
      </c>
      <c r="C79" s="124"/>
      <c r="D79" s="11"/>
      <c r="E79" s="11"/>
      <c r="F79" s="49"/>
      <c r="G79" s="11"/>
      <c r="H79" s="49"/>
      <c r="I79" s="40">
        <f>SUM($I$24:$I$78)</f>
        <v>29.524545833333327</v>
      </c>
      <c r="J79" s="11"/>
      <c r="K79" s="7"/>
      <c r="L79" s="7"/>
      <c r="M79" s="7"/>
      <c r="N79" s="1"/>
    </row>
    <row r="80" spans="1:14" ht="15.75" thickTop="1" x14ac:dyDescent="0.2">
      <c r="A80" s="276"/>
      <c r="B80" s="31"/>
      <c r="C80" s="124"/>
      <c r="D80" s="11"/>
      <c r="E80" s="11"/>
      <c r="F80" s="49"/>
      <c r="G80" s="11"/>
      <c r="H80" s="49"/>
      <c r="I80" s="44"/>
      <c r="J80" s="11"/>
      <c r="K80" s="7"/>
      <c r="L80" s="7"/>
      <c r="M80" s="7"/>
      <c r="N80" s="1"/>
    </row>
    <row r="81" spans="1:14" x14ac:dyDescent="0.2">
      <c r="A81" s="276"/>
      <c r="B81" s="31"/>
      <c r="C81" s="124"/>
      <c r="D81" s="11"/>
      <c r="E81" s="11"/>
      <c r="F81" s="49"/>
      <c r="G81" s="11"/>
      <c r="H81" s="49"/>
      <c r="I81" s="44"/>
      <c r="J81" s="11"/>
      <c r="K81" s="7"/>
      <c r="L81" s="7"/>
      <c r="M81" s="7"/>
      <c r="N81" s="1"/>
    </row>
    <row r="82" spans="1:14" x14ac:dyDescent="0.2">
      <c r="A82" s="276"/>
      <c r="B82" s="31"/>
      <c r="C82" s="124"/>
      <c r="D82" s="11"/>
      <c r="E82" s="11"/>
      <c r="F82" s="49"/>
      <c r="G82" s="11"/>
      <c r="H82" s="49"/>
      <c r="I82" s="44"/>
      <c r="J82" s="11"/>
      <c r="K82" s="7"/>
      <c r="L82" s="7"/>
      <c r="M82" s="7"/>
      <c r="N82" s="1"/>
    </row>
    <row r="83" spans="1:14" s="115" customFormat="1" x14ac:dyDescent="0.2">
      <c r="A83" s="284"/>
      <c r="B83" s="127"/>
      <c r="C83" s="354"/>
      <c r="D83" s="284"/>
      <c r="E83" s="284"/>
      <c r="F83" s="355"/>
      <c r="G83" s="284"/>
      <c r="H83" s="355"/>
      <c r="I83" s="373"/>
      <c r="J83" s="284"/>
      <c r="K83" s="111"/>
      <c r="L83" s="111"/>
      <c r="M83" s="111"/>
      <c r="N83" s="111"/>
    </row>
    <row r="84" spans="1:14" x14ac:dyDescent="0.2">
      <c r="A84" s="11"/>
      <c r="B84" s="31"/>
      <c r="C84" s="124"/>
      <c r="D84" s="11"/>
      <c r="E84" s="11"/>
      <c r="F84" s="49"/>
      <c r="G84" s="11"/>
      <c r="H84" s="49"/>
      <c r="I84" s="44"/>
      <c r="J84" s="11"/>
      <c r="K84" s="7"/>
      <c r="L84" s="7"/>
      <c r="M84" s="7"/>
      <c r="N84" s="1"/>
    </row>
    <row r="85" spans="1:14" x14ac:dyDescent="0.2">
      <c r="A85" s="11"/>
      <c r="B85" s="31"/>
      <c r="C85" s="124"/>
      <c r="D85" s="11"/>
      <c r="E85" s="11"/>
      <c r="F85" s="49"/>
      <c r="G85" s="11"/>
      <c r="H85" s="49"/>
      <c r="I85" s="44"/>
      <c r="J85" s="11"/>
      <c r="K85" s="7"/>
      <c r="L85" s="7"/>
      <c r="M85" s="7"/>
      <c r="N85" s="1"/>
    </row>
    <row r="86" spans="1:14" s="56" customFormat="1" x14ac:dyDescent="0.2">
      <c r="A86" s="11"/>
      <c r="B86" s="11"/>
      <c r="C86" s="252"/>
      <c r="D86" s="11"/>
      <c r="E86" s="11"/>
      <c r="F86" s="49"/>
      <c r="G86" s="11"/>
      <c r="H86" s="49"/>
      <c r="I86" s="45"/>
      <c r="J86" s="11"/>
      <c r="K86" s="7"/>
      <c r="L86" s="7"/>
      <c r="M86" s="7"/>
      <c r="N86" s="7"/>
    </row>
    <row r="87" spans="1:14" x14ac:dyDescent="0.2">
      <c r="A87" s="11"/>
      <c r="B87" s="11"/>
      <c r="C87" s="124"/>
      <c r="D87" s="11"/>
      <c r="E87" s="11"/>
      <c r="F87" s="49"/>
      <c r="G87" s="11"/>
      <c r="H87" s="49"/>
      <c r="I87" s="45"/>
      <c r="J87" s="11"/>
      <c r="K87" s="7"/>
      <c r="L87" s="7"/>
      <c r="M87" s="7"/>
      <c r="N87" s="1"/>
    </row>
    <row r="88" spans="1:14" x14ac:dyDescent="0.2">
      <c r="A88" s="11"/>
      <c r="B88" s="223"/>
      <c r="C88" s="124"/>
      <c r="D88" s="11"/>
      <c r="E88" s="11"/>
      <c r="F88" s="49"/>
      <c r="G88" s="11"/>
      <c r="H88" s="49"/>
      <c r="I88" s="62"/>
      <c r="J88" s="11"/>
      <c r="K88" s="231"/>
      <c r="L88" s="7"/>
      <c r="M88" s="7"/>
      <c r="N88" s="1"/>
    </row>
    <row r="89" spans="1:14" x14ac:dyDescent="0.2">
      <c r="A89" s="11"/>
      <c r="B89" s="11"/>
      <c r="C89" s="124"/>
      <c r="D89" s="11"/>
      <c r="E89" s="11"/>
      <c r="F89" s="49"/>
      <c r="G89" s="11"/>
      <c r="H89" s="49"/>
      <c r="I89" s="45"/>
      <c r="J89" s="11"/>
      <c r="K89" s="7"/>
      <c r="L89" s="7"/>
      <c r="M89" s="7"/>
      <c r="N89" s="1"/>
    </row>
    <row r="90" spans="1:14" x14ac:dyDescent="0.2">
      <c r="A90" s="56"/>
      <c r="B90" s="56"/>
      <c r="C90" s="56"/>
      <c r="D90" s="56"/>
      <c r="E90" s="56"/>
      <c r="F90" s="30"/>
      <c r="G90" s="56"/>
      <c r="H90" s="56"/>
      <c r="I90" s="184"/>
      <c r="J90" s="56"/>
      <c r="K90" s="56"/>
      <c r="L90" s="56"/>
    </row>
    <row r="91" spans="1:14" x14ac:dyDescent="0.2">
      <c r="A91" s="56"/>
      <c r="B91" s="56"/>
      <c r="C91" s="124" t="s">
        <v>63</v>
      </c>
      <c r="D91" s="56"/>
      <c r="E91" s="56"/>
      <c r="F91" s="30"/>
      <c r="G91" s="56"/>
      <c r="H91" s="56"/>
      <c r="I91" s="184"/>
      <c r="J91" s="56"/>
      <c r="K91" s="56"/>
      <c r="L91" s="56"/>
    </row>
    <row r="92" spans="1:14" ht="30" x14ac:dyDescent="0.2">
      <c r="A92" s="56"/>
      <c r="B92" s="151">
        <v>1</v>
      </c>
      <c r="C92" s="124" t="s">
        <v>87</v>
      </c>
      <c r="D92" s="56"/>
      <c r="E92" s="56"/>
      <c r="F92" s="30"/>
      <c r="G92" s="56"/>
      <c r="H92" s="56"/>
      <c r="I92" s="184"/>
      <c r="J92" s="56"/>
      <c r="K92" s="232"/>
      <c r="L92" s="56"/>
    </row>
    <row r="93" spans="1:14" ht="30" x14ac:dyDescent="0.2">
      <c r="A93" s="56"/>
      <c r="B93" s="151">
        <v>2</v>
      </c>
      <c r="C93" s="124" t="s">
        <v>178</v>
      </c>
      <c r="D93" s="56"/>
      <c r="E93" s="56"/>
      <c r="F93" s="30"/>
      <c r="G93" s="56"/>
      <c r="H93" s="56"/>
      <c r="I93" s="184"/>
      <c r="J93" s="56"/>
      <c r="K93" s="56"/>
      <c r="L93" s="56"/>
    </row>
    <row r="94" spans="1:14" s="115" customFormat="1" ht="18" x14ac:dyDescent="0.2">
      <c r="B94" s="146">
        <v>3</v>
      </c>
      <c r="C94" s="354" t="s">
        <v>193</v>
      </c>
      <c r="F94" s="372"/>
      <c r="I94" s="117"/>
      <c r="K94" s="116"/>
    </row>
    <row r="95" spans="1:14" ht="18" x14ac:dyDescent="0.2">
      <c r="A95" s="56"/>
      <c r="B95" s="151">
        <v>4</v>
      </c>
      <c r="C95" s="124" t="s">
        <v>194</v>
      </c>
      <c r="D95" s="56"/>
      <c r="E95" s="56"/>
      <c r="F95" s="30"/>
      <c r="G95" s="56"/>
      <c r="H95" s="56"/>
      <c r="I95" s="184"/>
      <c r="J95" s="56"/>
      <c r="K95" s="56"/>
      <c r="L95" s="56"/>
    </row>
    <row r="96" spans="1:14" ht="18" x14ac:dyDescent="0.2">
      <c r="A96" s="56"/>
      <c r="B96" s="151">
        <v>5</v>
      </c>
      <c r="C96" s="124" t="s">
        <v>171</v>
      </c>
      <c r="D96" s="56"/>
      <c r="E96" s="56"/>
      <c r="F96" s="30"/>
      <c r="G96" s="56"/>
      <c r="H96" s="56"/>
      <c r="I96" s="184"/>
      <c r="J96" s="56"/>
      <c r="K96" s="56"/>
      <c r="L96" s="56"/>
    </row>
    <row r="97" spans="1:12" ht="30" x14ac:dyDescent="0.2">
      <c r="A97" s="56"/>
      <c r="B97" s="151">
        <v>6</v>
      </c>
      <c r="C97" s="124" t="s">
        <v>75</v>
      </c>
      <c r="D97" s="56"/>
      <c r="E97" s="56"/>
      <c r="F97" s="30"/>
      <c r="G97" s="56"/>
      <c r="H97" s="56"/>
      <c r="I97" s="184"/>
      <c r="J97" s="56"/>
      <c r="K97" s="56"/>
      <c r="L97" s="56"/>
    </row>
    <row r="98" spans="1:12" ht="45" x14ac:dyDescent="0.2">
      <c r="A98" s="56"/>
      <c r="B98" s="151">
        <v>7</v>
      </c>
      <c r="C98" s="124" t="s">
        <v>76</v>
      </c>
      <c r="D98" s="56"/>
      <c r="E98" s="56"/>
      <c r="F98" s="30"/>
      <c r="G98" s="56"/>
      <c r="H98" s="56"/>
      <c r="I98" s="184"/>
      <c r="J98" s="56"/>
      <c r="K98" s="56"/>
      <c r="L98" s="56"/>
    </row>
    <row r="99" spans="1:12" s="56" customFormat="1" ht="18" x14ac:dyDescent="0.2">
      <c r="B99" s="151"/>
      <c r="C99" s="252"/>
      <c r="F99" s="30"/>
      <c r="I99" s="184"/>
    </row>
    <row r="100" spans="1:12" ht="30" x14ac:dyDescent="0.2">
      <c r="B100" s="98">
        <v>12</v>
      </c>
      <c r="C100" s="9" t="s">
        <v>88</v>
      </c>
    </row>
    <row r="101" spans="1:12" ht="30" x14ac:dyDescent="0.2">
      <c r="B101" s="98">
        <v>13</v>
      </c>
      <c r="C101" s="9" t="s">
        <v>191</v>
      </c>
    </row>
    <row r="102" spans="1:12" ht="18" x14ac:dyDescent="0.2">
      <c r="B102" s="98"/>
      <c r="C102" s="9"/>
    </row>
    <row r="103" spans="1:12" ht="30" x14ac:dyDescent="0.2">
      <c r="B103" s="98">
        <v>14</v>
      </c>
      <c r="C103" s="9" t="s">
        <v>179</v>
      </c>
    </row>
  </sheetData>
  <mergeCells count="12">
    <mergeCell ref="F52:G52"/>
    <mergeCell ref="F11:G11"/>
    <mergeCell ref="C66:D66"/>
    <mergeCell ref="C68:D68"/>
    <mergeCell ref="C71:D71"/>
    <mergeCell ref="C32:D32"/>
    <mergeCell ref="C18:D18"/>
    <mergeCell ref="C19:D19"/>
    <mergeCell ref="C21:D21"/>
    <mergeCell ref="C57:D57"/>
    <mergeCell ref="C22:D22"/>
    <mergeCell ref="C27:D27"/>
  </mergeCells>
  <phoneticPr fontId="4" type="noConversion"/>
  <printOptions horizontalCentered="1"/>
  <pageMargins left="0.25" right="0.25" top="0.75" bottom="0.5" header="0.3" footer="0.3"/>
  <pageSetup scale="58" fitToHeight="0" orientation="landscape" r:id="rId1"/>
  <headerFooter alignWithMargins="0">
    <oddFooter xml:space="preserve">&amp;LSUPPORTING SCHEDULES:&amp;RRECAP SCHEDULES:  </oddFooter>
  </headerFooter>
  <rowBreaks count="1" manualBreakCount="1">
    <brk id="43"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00"/>
  <sheetViews>
    <sheetView tabSelected="1" view="pageBreakPreview" zoomScale="80" zoomScaleNormal="75" zoomScaleSheetLayoutView="80" workbookViewId="0">
      <selection activeCell="C83" sqref="C83"/>
    </sheetView>
  </sheetViews>
  <sheetFormatPr defaultColWidth="9" defaultRowHeight="12" x14ac:dyDescent="0.15"/>
  <cols>
    <col min="1" max="1" width="12" style="53" customWidth="1"/>
    <col min="2" max="2" width="22.375" style="53" customWidth="1"/>
    <col min="3" max="3" width="56.125" style="53" customWidth="1"/>
    <col min="4" max="4" width="37.625" style="53" customWidth="1"/>
    <col min="5" max="5" width="12" style="53" customWidth="1"/>
    <col min="6" max="6" width="19.25" style="53" customWidth="1"/>
    <col min="7" max="7" width="11.125" style="53" customWidth="1"/>
    <col min="8" max="8" width="13.5" style="55" customWidth="1"/>
    <col min="9" max="9" width="11.875" style="55" customWidth="1"/>
    <col min="10" max="10" width="18.5" style="53" customWidth="1"/>
    <col min="11" max="11" width="9" style="53"/>
    <col min="12" max="12" width="16.625" style="53" customWidth="1"/>
    <col min="13" max="16384" width="9" style="53"/>
  </cols>
  <sheetData>
    <row r="1" spans="1:13" s="56" customFormat="1" x14ac:dyDescent="0.15">
      <c r="H1" s="184"/>
      <c r="I1" s="184"/>
    </row>
    <row r="2" spans="1:13" s="56" customFormat="1" ht="15" x14ac:dyDescent="0.2">
      <c r="A2" s="14" t="s">
        <v>0</v>
      </c>
      <c r="B2" s="7"/>
      <c r="C2" s="15"/>
      <c r="D2" s="21" t="s">
        <v>37</v>
      </c>
      <c r="E2" s="21"/>
      <c r="F2" s="16"/>
      <c r="G2" s="105"/>
      <c r="H2" s="331"/>
      <c r="I2" s="331"/>
      <c r="J2" s="18" t="s">
        <v>255</v>
      </c>
      <c r="L2" s="7"/>
      <c r="M2" s="7"/>
    </row>
    <row r="3" spans="1:13" s="56" customFormat="1" ht="15" x14ac:dyDescent="0.2">
      <c r="A3" s="3"/>
      <c r="B3" s="3"/>
      <c r="C3" s="4"/>
      <c r="D3" s="5"/>
      <c r="E3" s="5"/>
      <c r="F3" s="5"/>
      <c r="G3" s="311"/>
      <c r="H3" s="333"/>
      <c r="I3" s="333"/>
      <c r="J3" s="3"/>
      <c r="K3" s="3"/>
      <c r="L3" s="3"/>
      <c r="M3" s="7"/>
    </row>
    <row r="4" spans="1:13" s="56" customFormat="1" ht="15" x14ac:dyDescent="0.2">
      <c r="A4" s="14" t="s">
        <v>1</v>
      </c>
      <c r="B4" s="7"/>
      <c r="C4" s="15"/>
      <c r="D4" s="21" t="s">
        <v>28</v>
      </c>
      <c r="E4" s="21"/>
      <c r="F4" s="16"/>
      <c r="G4" s="105"/>
      <c r="H4" s="331"/>
      <c r="I4" s="331"/>
      <c r="J4" s="105" t="str">
        <f>+Input!B2</f>
        <v>TYPE OF DATA SHOWN:</v>
      </c>
      <c r="K4" s="7"/>
      <c r="L4" s="7"/>
      <c r="M4" s="7"/>
    </row>
    <row r="5" spans="1:13" s="56" customFormat="1" ht="15" x14ac:dyDescent="0.2">
      <c r="A5" s="7"/>
      <c r="B5" s="7"/>
      <c r="C5" s="15"/>
      <c r="D5" s="21" t="s">
        <v>38</v>
      </c>
      <c r="E5" s="21"/>
      <c r="F5" s="21"/>
      <c r="G5" s="103"/>
      <c r="H5" s="329"/>
      <c r="I5" s="329"/>
      <c r="J5" s="103" t="str">
        <f>+Input!B3</f>
        <v>HISTORIC BASE YEAR DATA:  12/31/19</v>
      </c>
      <c r="K5" s="7"/>
      <c r="L5" s="7"/>
      <c r="M5" s="7"/>
    </row>
    <row r="6" spans="1:13" s="56" customFormat="1" ht="15" x14ac:dyDescent="0.2">
      <c r="A6" s="14" t="s">
        <v>235</v>
      </c>
      <c r="B6" s="7"/>
      <c r="C6" s="15"/>
      <c r="F6" s="16"/>
      <c r="G6" s="16"/>
      <c r="H6" s="41"/>
      <c r="I6" s="41"/>
      <c r="J6" s="105" t="str">
        <f>+Input!B4</f>
        <v>WITNESS:  M. WHITAKER</v>
      </c>
      <c r="K6" s="7"/>
      <c r="L6" s="7"/>
      <c r="M6" s="7"/>
    </row>
    <row r="7" spans="1:13" s="56" customFormat="1" ht="15" x14ac:dyDescent="0.2">
      <c r="A7" s="7"/>
      <c r="B7" s="7"/>
      <c r="C7" s="15"/>
      <c r="D7" s="31"/>
      <c r="E7" s="31"/>
      <c r="F7" s="16"/>
      <c r="G7" s="16"/>
      <c r="H7" s="41"/>
      <c r="I7" s="41"/>
      <c r="J7" s="16"/>
      <c r="K7" s="7"/>
      <c r="L7" s="7"/>
      <c r="M7" s="7"/>
    </row>
    <row r="8" spans="1:13" s="115" customFormat="1" ht="15" x14ac:dyDescent="0.2">
      <c r="A8" s="302" t="str">
        <f>+Input!A2</f>
        <v>DOCKET NO.:  20200051-GU</v>
      </c>
      <c r="B8" s="111"/>
      <c r="C8" s="303"/>
      <c r="D8" s="324"/>
      <c r="E8" s="324"/>
      <c r="F8" s="326"/>
      <c r="G8" s="326"/>
      <c r="H8" s="327"/>
      <c r="I8" s="327"/>
      <c r="J8" s="326"/>
      <c r="K8" s="111"/>
      <c r="L8" s="111"/>
      <c r="M8" s="111"/>
    </row>
    <row r="9" spans="1:13" s="56" customFormat="1" ht="15" x14ac:dyDescent="0.2">
      <c r="A9" s="28"/>
      <c r="B9" s="7"/>
      <c r="C9" s="241"/>
      <c r="D9" s="57"/>
      <c r="E9" s="57"/>
      <c r="F9" s="24"/>
      <c r="G9" s="24"/>
      <c r="H9" s="36"/>
      <c r="I9" s="36"/>
      <c r="J9" s="24"/>
      <c r="K9" s="7"/>
      <c r="L9" s="7"/>
      <c r="M9" s="7"/>
    </row>
    <row r="10" spans="1:13" ht="30" x14ac:dyDescent="0.2">
      <c r="A10" s="275" t="s">
        <v>297</v>
      </c>
      <c r="B10" s="111"/>
      <c r="C10" s="125" t="s">
        <v>3</v>
      </c>
      <c r="D10" s="115"/>
      <c r="E10" s="115"/>
      <c r="F10" s="401" t="s">
        <v>4</v>
      </c>
      <c r="G10" s="401"/>
      <c r="H10" s="347" t="s">
        <v>40</v>
      </c>
      <c r="I10" s="148" t="s">
        <v>5</v>
      </c>
      <c r="J10" s="111"/>
      <c r="K10" s="111"/>
      <c r="L10" s="111"/>
      <c r="M10" s="7"/>
    </row>
    <row r="11" spans="1:13" s="56" customFormat="1" ht="15" x14ac:dyDescent="0.2">
      <c r="A11" s="274"/>
      <c r="B11" s="19"/>
      <c r="C11" s="20"/>
      <c r="D11" s="19"/>
      <c r="E11" s="19"/>
      <c r="F11" s="19"/>
      <c r="G11" s="19"/>
      <c r="H11" s="35"/>
      <c r="I11" s="35"/>
      <c r="J11" s="19"/>
      <c r="K11" s="19"/>
      <c r="L11" s="19"/>
      <c r="M11" s="7"/>
    </row>
    <row r="12" spans="1:13" s="56" customFormat="1" ht="15" x14ac:dyDescent="0.2">
      <c r="A12" s="274"/>
      <c r="B12" s="19"/>
      <c r="C12" s="20"/>
      <c r="D12" s="19"/>
      <c r="E12" s="19"/>
      <c r="F12" s="19"/>
      <c r="G12" s="19"/>
      <c r="H12" s="35"/>
      <c r="I12" s="35"/>
      <c r="J12" s="19"/>
      <c r="K12" s="19"/>
      <c r="L12" s="19"/>
      <c r="M12" s="7"/>
    </row>
    <row r="13" spans="1:13" ht="15" x14ac:dyDescent="0.2">
      <c r="A13" s="276">
        <v>1</v>
      </c>
      <c r="B13" s="31" t="s">
        <v>39</v>
      </c>
      <c r="C13" s="124"/>
      <c r="D13" s="11"/>
      <c r="E13" s="11"/>
      <c r="F13" s="11"/>
      <c r="G13" s="11"/>
      <c r="H13" s="45"/>
      <c r="I13" s="45"/>
      <c r="J13" s="7"/>
      <c r="K13" s="7"/>
      <c r="L13" s="7"/>
      <c r="M13" s="7"/>
    </row>
    <row r="14" spans="1:13" ht="15" x14ac:dyDescent="0.2">
      <c r="A14" s="276"/>
      <c r="B14" s="31"/>
      <c r="C14" s="57" t="s">
        <v>60</v>
      </c>
      <c r="D14" s="57"/>
      <c r="E14" s="57"/>
      <c r="F14" s="49"/>
      <c r="G14" s="11"/>
      <c r="H14" s="45"/>
      <c r="I14" s="45"/>
      <c r="J14" s="7"/>
      <c r="K14" s="7"/>
      <c r="L14" s="7"/>
      <c r="M14" s="7"/>
    </row>
    <row r="15" spans="1:13" ht="15" x14ac:dyDescent="0.2">
      <c r="A15" s="276"/>
      <c r="B15" s="31"/>
      <c r="C15" s="164" t="s">
        <v>61</v>
      </c>
      <c r="D15" s="164"/>
      <c r="E15" s="164"/>
      <c r="F15" s="49"/>
      <c r="G15" s="11"/>
      <c r="H15" s="45"/>
      <c r="I15" s="45"/>
      <c r="J15" s="7"/>
      <c r="K15" s="7"/>
      <c r="L15" s="7"/>
      <c r="M15" s="7"/>
    </row>
    <row r="16" spans="1:13" ht="15" x14ac:dyDescent="0.2">
      <c r="A16" s="276"/>
      <c r="B16" s="31"/>
      <c r="C16" s="124" t="s">
        <v>56</v>
      </c>
      <c r="D16" s="164"/>
      <c r="E16" s="164"/>
      <c r="F16" s="49"/>
      <c r="G16" s="11"/>
      <c r="H16" s="45"/>
      <c r="I16" s="45"/>
      <c r="J16" s="7"/>
      <c r="K16" s="7"/>
      <c r="L16" s="7"/>
      <c r="M16" s="7"/>
    </row>
    <row r="17" spans="1:13" ht="15" x14ac:dyDescent="0.2">
      <c r="A17" s="276"/>
      <c r="B17" s="31"/>
      <c r="C17" s="392" t="s">
        <v>83</v>
      </c>
      <c r="D17" s="392"/>
      <c r="E17" s="124"/>
      <c r="F17" s="49"/>
      <c r="G17" s="11"/>
      <c r="H17" s="45"/>
      <c r="I17" s="45"/>
      <c r="J17" s="7"/>
      <c r="K17" s="7"/>
      <c r="L17" s="7"/>
      <c r="M17" s="7"/>
    </row>
    <row r="18" spans="1:13" ht="15" x14ac:dyDescent="0.2">
      <c r="A18" s="276"/>
      <c r="B18" s="31"/>
      <c r="C18" s="392" t="s">
        <v>57</v>
      </c>
      <c r="D18" s="392"/>
      <c r="E18" s="124"/>
      <c r="F18" s="49"/>
      <c r="G18" s="11"/>
      <c r="H18" s="45"/>
      <c r="I18" s="45"/>
      <c r="J18" s="7"/>
      <c r="K18" s="7"/>
      <c r="L18" s="7"/>
      <c r="M18" s="7"/>
    </row>
    <row r="19" spans="1:13" ht="15" x14ac:dyDescent="0.2">
      <c r="A19" s="276"/>
      <c r="B19" s="31"/>
      <c r="C19" s="124" t="s">
        <v>58</v>
      </c>
      <c r="D19" s="164"/>
      <c r="E19" s="164"/>
      <c r="F19" s="49"/>
      <c r="G19" s="11"/>
      <c r="H19" s="45"/>
      <c r="I19" s="45"/>
      <c r="J19" s="7"/>
      <c r="K19" s="7"/>
      <c r="L19" s="7"/>
      <c r="M19" s="7"/>
    </row>
    <row r="20" spans="1:13" ht="15" x14ac:dyDescent="0.2">
      <c r="A20" s="276"/>
      <c r="B20" s="31"/>
      <c r="C20" s="392" t="s">
        <v>59</v>
      </c>
      <c r="D20" s="392"/>
      <c r="E20" s="124"/>
      <c r="F20" s="49"/>
      <c r="G20" s="11"/>
      <c r="H20" s="45"/>
      <c r="I20" s="45"/>
      <c r="J20" s="7"/>
      <c r="K20" s="7"/>
      <c r="L20" s="7"/>
      <c r="M20" s="7"/>
    </row>
    <row r="21" spans="1:13" ht="15" x14ac:dyDescent="0.2">
      <c r="A21" s="276"/>
      <c r="B21" s="31"/>
      <c r="C21" s="392" t="s">
        <v>84</v>
      </c>
      <c r="D21" s="392"/>
      <c r="E21" s="124"/>
      <c r="F21" s="49"/>
      <c r="G21" s="11"/>
      <c r="H21" s="45"/>
      <c r="I21" s="45"/>
      <c r="J21" s="7"/>
      <c r="K21" s="7"/>
      <c r="L21" s="7"/>
      <c r="M21" s="7"/>
    </row>
    <row r="22" spans="1:13" ht="15" x14ac:dyDescent="0.2">
      <c r="A22" s="276"/>
      <c r="B22" s="31"/>
      <c r="C22" s="164" t="s">
        <v>64</v>
      </c>
      <c r="D22" s="164"/>
      <c r="E22" s="164"/>
      <c r="F22" s="49"/>
      <c r="G22" s="11"/>
      <c r="H22" s="45"/>
      <c r="I22" s="45"/>
      <c r="J22" s="7"/>
      <c r="K22" s="7"/>
      <c r="L22" s="7"/>
      <c r="M22" s="7"/>
    </row>
    <row r="23" spans="1:13" ht="44.25" customHeight="1" x14ac:dyDescent="0.2">
      <c r="A23" s="276"/>
      <c r="B23" s="31"/>
      <c r="C23" s="392" t="s">
        <v>62</v>
      </c>
      <c r="D23" s="392"/>
      <c r="E23" s="124"/>
      <c r="F23" s="49"/>
      <c r="G23" s="11"/>
      <c r="H23" s="45"/>
      <c r="I23" s="45"/>
      <c r="J23" s="7"/>
      <c r="K23" s="7"/>
      <c r="L23" s="7"/>
      <c r="M23" s="7"/>
    </row>
    <row r="24" spans="1:13" ht="15" x14ac:dyDescent="0.2">
      <c r="A24" s="276"/>
      <c r="B24" s="31"/>
      <c r="C24" s="124"/>
      <c r="D24" s="124"/>
      <c r="E24" s="124"/>
      <c r="F24" s="49"/>
      <c r="G24" s="11"/>
      <c r="H24" s="45"/>
      <c r="I24" s="45"/>
      <c r="J24" s="7"/>
      <c r="K24" s="7"/>
      <c r="L24" s="7"/>
      <c r="M24" s="7"/>
    </row>
    <row r="25" spans="1:13" s="48" customFormat="1" ht="18.75" x14ac:dyDescent="0.25">
      <c r="A25" s="276"/>
      <c r="B25" s="204"/>
      <c r="C25" s="124" t="s">
        <v>166</v>
      </c>
      <c r="D25" s="205"/>
      <c r="E25" s="205"/>
      <c r="F25" s="49">
        <v>8.1999999999999993</v>
      </c>
      <c r="G25" s="11" t="s">
        <v>15</v>
      </c>
      <c r="H25" s="45">
        <v>30.95</v>
      </c>
      <c r="I25" s="45">
        <f>($H$25/60)*F25</f>
        <v>4.2298333333333336</v>
      </c>
      <c r="J25" s="11"/>
      <c r="K25" s="11"/>
      <c r="L25" s="11"/>
      <c r="M25" s="11"/>
    </row>
    <row r="26" spans="1:13" ht="15" x14ac:dyDescent="0.2">
      <c r="A26" s="277"/>
      <c r="B26" s="7"/>
      <c r="C26" s="15"/>
      <c r="D26" s="7"/>
      <c r="E26" s="7"/>
      <c r="F26" s="7"/>
      <c r="G26" s="7"/>
      <c r="H26" s="134"/>
      <c r="I26" s="134"/>
      <c r="J26" s="7"/>
      <c r="K26" s="7"/>
      <c r="L26" s="7"/>
      <c r="M26" s="7"/>
    </row>
    <row r="27" spans="1:13" ht="15" x14ac:dyDescent="0.2">
      <c r="A27" s="277">
        <v>2</v>
      </c>
      <c r="B27" s="14" t="s">
        <v>67</v>
      </c>
      <c r="C27" s="15"/>
      <c r="D27" s="15"/>
      <c r="E27" s="15"/>
      <c r="F27" s="7"/>
      <c r="G27" s="7"/>
      <c r="H27" s="34"/>
      <c r="I27" s="194"/>
      <c r="J27" s="7"/>
      <c r="K27" s="7"/>
      <c r="L27" s="7"/>
      <c r="M27" s="7"/>
    </row>
    <row r="28" spans="1:13" ht="18.75" x14ac:dyDescent="0.25">
      <c r="A28" s="277"/>
      <c r="B28" s="7" t="s">
        <v>41</v>
      </c>
      <c r="C28" s="29" t="s">
        <v>47</v>
      </c>
      <c r="D28" s="169"/>
      <c r="E28" s="169"/>
      <c r="F28" s="49">
        <v>18</v>
      </c>
      <c r="G28" s="120"/>
      <c r="H28" s="134"/>
      <c r="I28" s="134"/>
      <c r="J28" s="7"/>
      <c r="K28" s="7"/>
      <c r="L28" s="7"/>
      <c r="M28" s="7"/>
    </row>
    <row r="29" spans="1:13" ht="53.25" customHeight="1" x14ac:dyDescent="0.2">
      <c r="A29" s="277"/>
      <c r="B29" s="7" t="s">
        <v>42</v>
      </c>
      <c r="C29" s="398" t="s">
        <v>89</v>
      </c>
      <c r="D29" s="398"/>
      <c r="E29" s="196"/>
      <c r="F29" s="49">
        <v>5</v>
      </c>
      <c r="G29" s="7"/>
      <c r="H29" s="34"/>
      <c r="I29" s="194"/>
      <c r="J29" s="7"/>
      <c r="K29" s="7"/>
      <c r="L29" s="7"/>
      <c r="M29" s="7"/>
    </row>
    <row r="30" spans="1:13" s="74" customFormat="1" ht="18" x14ac:dyDescent="0.25">
      <c r="A30" s="348"/>
      <c r="B30" s="7" t="s">
        <v>43</v>
      </c>
      <c r="C30" s="124" t="s">
        <v>105</v>
      </c>
      <c r="D30" s="207"/>
      <c r="E30" s="207"/>
      <c r="F30" s="49">
        <v>0</v>
      </c>
      <c r="G30" s="206"/>
      <c r="H30" s="208"/>
      <c r="I30" s="209"/>
      <c r="J30" s="206"/>
      <c r="K30" s="206"/>
      <c r="L30" s="206"/>
      <c r="M30" s="206"/>
    </row>
    <row r="31" spans="1:13" s="48" customFormat="1" ht="18.75" x14ac:dyDescent="0.25">
      <c r="A31" s="276"/>
      <c r="B31" s="204"/>
      <c r="C31" s="124" t="s">
        <v>195</v>
      </c>
      <c r="D31" s="114"/>
      <c r="E31" s="114"/>
      <c r="F31" s="49">
        <f>SUM(F28:F30)</f>
        <v>23</v>
      </c>
      <c r="G31" s="11" t="s">
        <v>15</v>
      </c>
      <c r="H31" s="45">
        <v>37.44</v>
      </c>
      <c r="I31" s="45">
        <f>($H$31/60)*$F$31</f>
        <v>14.352</v>
      </c>
      <c r="J31" s="11"/>
      <c r="K31" s="11"/>
      <c r="L31" s="11"/>
      <c r="M31" s="11"/>
    </row>
    <row r="32" spans="1:13" ht="15" x14ac:dyDescent="0.2">
      <c r="A32" s="277"/>
      <c r="B32" s="7"/>
      <c r="C32" s="15"/>
      <c r="D32" s="7"/>
      <c r="E32" s="7"/>
      <c r="F32" s="7"/>
      <c r="G32" s="7"/>
      <c r="H32" s="34"/>
      <c r="I32" s="194"/>
      <c r="J32" s="7"/>
      <c r="K32" s="7"/>
      <c r="L32" s="7"/>
      <c r="M32" s="7"/>
    </row>
    <row r="33" spans="1:13" ht="15.75" x14ac:dyDescent="0.25">
      <c r="A33" s="277">
        <v>3</v>
      </c>
      <c r="B33" s="14" t="s">
        <v>7</v>
      </c>
      <c r="C33" s="15"/>
      <c r="D33" s="210"/>
      <c r="E33" s="210"/>
      <c r="F33" s="7"/>
      <c r="G33" s="7"/>
      <c r="H33" s="34"/>
      <c r="I33" s="194"/>
      <c r="J33" s="7"/>
      <c r="K33" s="7"/>
      <c r="L33" s="7"/>
      <c r="M33" s="7"/>
    </row>
    <row r="34" spans="1:13" ht="15" x14ac:dyDescent="0.2">
      <c r="A34" s="277"/>
      <c r="B34" s="7"/>
      <c r="C34" s="15"/>
      <c r="D34" s="7"/>
      <c r="E34" s="7"/>
      <c r="F34" s="7"/>
      <c r="G34" s="7"/>
      <c r="H34" s="34"/>
      <c r="I34" s="194"/>
      <c r="J34" s="7"/>
      <c r="K34" s="7"/>
      <c r="L34" s="7"/>
      <c r="M34" s="7"/>
    </row>
    <row r="35" spans="1:13" ht="15" x14ac:dyDescent="0.2">
      <c r="A35" s="277"/>
      <c r="B35" s="7"/>
      <c r="C35" s="15"/>
      <c r="D35" s="7"/>
      <c r="E35" s="7"/>
      <c r="F35" s="7"/>
      <c r="G35" s="7"/>
      <c r="H35" s="34"/>
      <c r="I35" s="194"/>
      <c r="J35" s="7"/>
      <c r="K35" s="7"/>
      <c r="L35" s="7"/>
      <c r="M35" s="7"/>
    </row>
    <row r="36" spans="1:13" ht="15" x14ac:dyDescent="0.2">
      <c r="A36" s="276">
        <v>4</v>
      </c>
      <c r="B36" s="31" t="s">
        <v>8</v>
      </c>
      <c r="C36" s="124"/>
      <c r="D36" s="11"/>
      <c r="E36" s="11"/>
      <c r="F36" s="11"/>
      <c r="G36" s="11"/>
      <c r="H36" s="45"/>
      <c r="I36" s="44"/>
      <c r="J36" s="11"/>
      <c r="K36" s="7"/>
      <c r="L36" s="7"/>
      <c r="M36" s="7"/>
    </row>
    <row r="37" spans="1:13" ht="15" x14ac:dyDescent="0.2">
      <c r="A37" s="276"/>
      <c r="B37" s="31" t="s">
        <v>41</v>
      </c>
      <c r="C37" s="383" t="s">
        <v>73</v>
      </c>
      <c r="D37" s="383"/>
      <c r="E37" s="11"/>
      <c r="F37" s="11"/>
      <c r="G37" s="11"/>
      <c r="H37" s="49"/>
      <c r="I37" s="197"/>
      <c r="J37" s="11"/>
      <c r="K37" s="7"/>
      <c r="L37" s="7"/>
      <c r="M37" s="7"/>
    </row>
    <row r="38" spans="1:13" s="48" customFormat="1" ht="15" x14ac:dyDescent="0.2">
      <c r="A38" s="276"/>
      <c r="B38" s="31"/>
      <c r="C38" s="114"/>
      <c r="D38" s="114"/>
      <c r="E38" s="114"/>
      <c r="F38" s="114"/>
      <c r="G38" s="114"/>
      <c r="H38" s="114"/>
      <c r="I38" s="114"/>
      <c r="J38" s="11"/>
      <c r="K38" s="11"/>
      <c r="L38" s="11"/>
      <c r="M38" s="11"/>
    </row>
    <row r="39" spans="1:13" ht="15" x14ac:dyDescent="0.2">
      <c r="A39" s="276"/>
      <c r="B39" s="31" t="s">
        <v>42</v>
      </c>
      <c r="C39" s="383" t="s">
        <v>142</v>
      </c>
      <c r="D39" s="383"/>
      <c r="E39" s="11"/>
      <c r="F39" s="11"/>
      <c r="G39" s="11"/>
      <c r="H39" s="45"/>
      <c r="I39" s="44">
        <f>$F$31*(4.9/60)</f>
        <v>1.8783333333333336</v>
      </c>
      <c r="J39" s="11"/>
      <c r="K39" s="7"/>
      <c r="L39" s="7"/>
      <c r="M39" s="7"/>
    </row>
    <row r="40" spans="1:13" ht="15" x14ac:dyDescent="0.2">
      <c r="A40" s="276"/>
      <c r="B40" s="31"/>
      <c r="C40" s="124"/>
      <c r="D40" s="11"/>
      <c r="E40" s="11"/>
      <c r="F40" s="11"/>
      <c r="G40" s="11"/>
      <c r="H40" s="45"/>
      <c r="I40" s="44"/>
      <c r="J40" s="11"/>
      <c r="K40" s="7"/>
      <c r="L40" s="7"/>
      <c r="M40" s="7"/>
    </row>
    <row r="41" spans="1:13" ht="15" x14ac:dyDescent="0.2">
      <c r="A41" s="276">
        <v>5</v>
      </c>
      <c r="B41" s="31" t="s">
        <v>98</v>
      </c>
      <c r="C41" s="124"/>
      <c r="D41" s="11"/>
      <c r="E41" s="11"/>
      <c r="F41" s="11"/>
      <c r="G41" s="11"/>
      <c r="H41" s="45"/>
      <c r="I41" s="44"/>
      <c r="J41" s="11"/>
      <c r="K41" s="7"/>
      <c r="L41" s="7"/>
      <c r="M41" s="7"/>
    </row>
    <row r="42" spans="1:13" s="48" customFormat="1" ht="18.75" x14ac:dyDescent="0.25">
      <c r="A42" s="276"/>
      <c r="B42" s="11"/>
      <c r="C42" s="383" t="s">
        <v>99</v>
      </c>
      <c r="D42" s="383"/>
      <c r="E42" s="11"/>
      <c r="F42" s="11"/>
      <c r="G42" s="11"/>
      <c r="H42" s="204"/>
      <c r="I42" s="44">
        <f>F31*(7.29/60)</f>
        <v>2.7944999999999998</v>
      </c>
      <c r="J42" s="11"/>
      <c r="K42" s="11"/>
      <c r="L42" s="11"/>
      <c r="M42" s="11"/>
    </row>
    <row r="43" spans="1:13" ht="15" x14ac:dyDescent="0.2">
      <c r="A43" s="276"/>
      <c r="B43" s="11"/>
      <c r="C43" s="124"/>
      <c r="D43" s="11"/>
      <c r="E43" s="11"/>
      <c r="F43" s="11"/>
      <c r="G43" s="11"/>
      <c r="H43" s="45"/>
      <c r="I43" s="44"/>
      <c r="J43" s="11"/>
      <c r="K43" s="7"/>
      <c r="L43" s="7"/>
      <c r="M43" s="7"/>
    </row>
    <row r="44" spans="1:13" ht="15" x14ac:dyDescent="0.2">
      <c r="A44" s="276">
        <v>6</v>
      </c>
      <c r="B44" s="31" t="s">
        <v>10</v>
      </c>
      <c r="C44" s="31" t="s">
        <v>11</v>
      </c>
      <c r="D44" s="211"/>
      <c r="E44" s="211"/>
      <c r="F44" s="211"/>
      <c r="G44" s="211"/>
      <c r="H44" s="212"/>
      <c r="I44" s="44"/>
      <c r="J44" s="11"/>
      <c r="K44" s="7"/>
      <c r="L44" s="7"/>
      <c r="M44" s="7"/>
    </row>
    <row r="45" spans="1:13" ht="15" x14ac:dyDescent="0.2">
      <c r="A45" s="276"/>
      <c r="B45" s="11"/>
      <c r="C45" s="124"/>
      <c r="D45" s="11"/>
      <c r="E45" s="11"/>
      <c r="F45" s="11"/>
      <c r="G45" s="11"/>
      <c r="H45" s="45"/>
      <c r="I45" s="43"/>
      <c r="J45" s="11"/>
      <c r="K45" s="7"/>
      <c r="L45" s="7"/>
      <c r="M45" s="7"/>
    </row>
    <row r="46" spans="1:13" s="56" customFormat="1" ht="15" x14ac:dyDescent="0.2">
      <c r="A46" s="276"/>
      <c r="B46" s="11"/>
      <c r="C46" s="252"/>
      <c r="D46" s="11"/>
      <c r="E46" s="11"/>
      <c r="F46" s="11"/>
      <c r="G46" s="11"/>
      <c r="H46" s="45"/>
      <c r="I46" s="43"/>
      <c r="J46" s="11"/>
      <c r="K46" s="7"/>
      <c r="L46" s="7"/>
      <c r="M46" s="7"/>
    </row>
    <row r="47" spans="1:13" s="56" customFormat="1" ht="15" x14ac:dyDescent="0.2">
      <c r="A47" s="276">
        <v>7</v>
      </c>
      <c r="B47" s="14" t="s">
        <v>66</v>
      </c>
      <c r="C47" s="252"/>
      <c r="D47" s="11"/>
      <c r="E47" s="11"/>
      <c r="F47" s="11"/>
      <c r="G47" s="11"/>
      <c r="H47" s="45"/>
      <c r="I47" s="44">
        <f>SUM($I$25:$I$45)</f>
        <v>23.254666666666669</v>
      </c>
      <c r="J47" s="11"/>
      <c r="K47" s="7"/>
      <c r="L47" s="7"/>
      <c r="M47" s="7"/>
    </row>
    <row r="48" spans="1:13" s="56" customFormat="1" ht="15" x14ac:dyDescent="0.2">
      <c r="A48" s="276"/>
      <c r="B48" s="400" t="s">
        <v>38</v>
      </c>
      <c r="C48" s="400"/>
      <c r="D48" s="400"/>
      <c r="E48" s="11"/>
      <c r="F48" s="11"/>
      <c r="G48" s="11"/>
      <c r="H48" s="45"/>
      <c r="I48" s="45"/>
      <c r="J48" s="11"/>
      <c r="K48" s="7"/>
      <c r="L48" s="7"/>
      <c r="M48" s="7"/>
    </row>
    <row r="49" spans="1:13" s="115" customFormat="1" ht="15" x14ac:dyDescent="0.2">
      <c r="A49" s="377"/>
      <c r="B49" s="284"/>
      <c r="C49" s="354"/>
      <c r="D49" s="284"/>
      <c r="E49" s="284"/>
      <c r="F49" s="284"/>
      <c r="G49" s="284"/>
      <c r="H49" s="356"/>
      <c r="I49" s="356"/>
      <c r="J49" s="284"/>
      <c r="K49" s="111"/>
      <c r="L49" s="111"/>
      <c r="M49" s="111"/>
    </row>
    <row r="50" spans="1:13" s="56" customFormat="1" ht="15" x14ac:dyDescent="0.2">
      <c r="A50" s="11"/>
      <c r="B50" s="223"/>
      <c r="C50" s="252"/>
      <c r="D50" s="11"/>
      <c r="E50" s="11"/>
      <c r="F50" s="11"/>
      <c r="G50" s="11"/>
      <c r="H50" s="45"/>
      <c r="I50" s="62"/>
      <c r="J50" s="11"/>
      <c r="K50" s="7"/>
      <c r="L50" s="7"/>
      <c r="M50" s="7"/>
    </row>
    <row r="51" spans="1:13" s="56" customFormat="1" ht="15" x14ac:dyDescent="0.2">
      <c r="A51" s="11"/>
      <c r="B51" s="11"/>
      <c r="C51" s="249"/>
      <c r="D51" s="11"/>
      <c r="E51" s="11"/>
      <c r="F51" s="11"/>
      <c r="G51" s="11"/>
      <c r="H51" s="45"/>
      <c r="I51" s="45"/>
      <c r="J51" s="11"/>
      <c r="K51" s="7"/>
      <c r="L51" s="7"/>
      <c r="M51" s="7"/>
    </row>
    <row r="52" spans="1:13" s="56" customFormat="1" ht="15" x14ac:dyDescent="0.2">
      <c r="C52" s="249" t="s">
        <v>63</v>
      </c>
      <c r="H52" s="184"/>
      <c r="I52" s="184"/>
    </row>
    <row r="53" spans="1:13" s="56" customFormat="1" ht="30.75" x14ac:dyDescent="0.25">
      <c r="B53" s="169"/>
      <c r="C53" s="249" t="s">
        <v>90</v>
      </c>
      <c r="H53" s="184"/>
      <c r="I53" s="184"/>
    </row>
    <row r="54" spans="1:13" s="56" customFormat="1" ht="30.75" x14ac:dyDescent="0.25">
      <c r="B54" s="169"/>
      <c r="C54" s="252" t="s">
        <v>91</v>
      </c>
      <c r="H54" s="184"/>
      <c r="I54" s="184"/>
    </row>
    <row r="55" spans="1:13" s="56" customFormat="1" ht="18.75" x14ac:dyDescent="0.25">
      <c r="B55" s="169"/>
      <c r="C55" s="249" t="s">
        <v>180</v>
      </c>
      <c r="H55" s="184"/>
      <c r="I55" s="184"/>
    </row>
    <row r="56" spans="1:13" s="56" customFormat="1" ht="45.75" x14ac:dyDescent="0.25">
      <c r="B56" s="169">
        <v>4</v>
      </c>
      <c r="C56" s="249" t="s">
        <v>76</v>
      </c>
      <c r="H56" s="184"/>
      <c r="I56" s="184"/>
    </row>
    <row r="57" spans="1:13" s="56" customFormat="1" ht="30.75" x14ac:dyDescent="0.25">
      <c r="B57" s="169">
        <v>5</v>
      </c>
      <c r="C57" s="249" t="s">
        <v>75</v>
      </c>
      <c r="H57" s="184"/>
      <c r="I57" s="184"/>
    </row>
    <row r="58" spans="1:13" s="56" customFormat="1" ht="18.75" x14ac:dyDescent="0.25">
      <c r="B58" s="169"/>
      <c r="C58" s="252"/>
      <c r="D58" s="252"/>
      <c r="E58" s="252"/>
      <c r="H58" s="184"/>
      <c r="I58" s="184"/>
    </row>
    <row r="59" spans="1:13" s="56" customFormat="1" ht="30.75" x14ac:dyDescent="0.25">
      <c r="B59" s="169">
        <v>6</v>
      </c>
      <c r="C59" s="249" t="s">
        <v>181</v>
      </c>
      <c r="H59" s="184"/>
      <c r="I59" s="184"/>
    </row>
    <row r="60" spans="1:13" s="56" customFormat="1" x14ac:dyDescent="0.15">
      <c r="H60" s="184"/>
      <c r="I60" s="184"/>
    </row>
    <row r="61" spans="1:13" x14ac:dyDescent="0.15">
      <c r="A61" s="56"/>
      <c r="B61" s="56"/>
      <c r="C61" s="56"/>
      <c r="D61" s="56"/>
      <c r="E61" s="56"/>
      <c r="F61" s="56"/>
      <c r="G61" s="56"/>
      <c r="H61" s="184"/>
      <c r="I61" s="184"/>
      <c r="J61" s="56"/>
      <c r="K61" s="56"/>
      <c r="L61" s="56"/>
      <c r="M61" s="56"/>
    </row>
    <row r="62" spans="1:13" x14ac:dyDescent="0.15">
      <c r="A62" s="56"/>
      <c r="B62" s="56"/>
      <c r="C62" s="56"/>
      <c r="D62" s="56"/>
      <c r="E62" s="56"/>
      <c r="F62" s="56"/>
      <c r="G62" s="56"/>
      <c r="H62" s="184"/>
      <c r="I62" s="184"/>
      <c r="J62" s="56"/>
      <c r="K62" s="56"/>
      <c r="L62" s="56"/>
      <c r="M62" s="56"/>
    </row>
    <row r="63" spans="1:13" x14ac:dyDescent="0.15">
      <c r="A63" s="56"/>
      <c r="B63" s="56"/>
      <c r="C63" s="56"/>
      <c r="D63" s="56"/>
      <c r="E63" s="56"/>
      <c r="F63" s="56"/>
      <c r="G63" s="56"/>
      <c r="H63" s="184"/>
      <c r="I63" s="184"/>
      <c r="J63" s="56"/>
      <c r="K63" s="56"/>
      <c r="L63" s="56"/>
      <c r="M63" s="56"/>
    </row>
    <row r="64" spans="1:13" x14ac:dyDescent="0.15">
      <c r="A64" s="56"/>
      <c r="B64" s="56"/>
      <c r="C64" s="56"/>
      <c r="D64" s="56"/>
      <c r="E64" s="56"/>
      <c r="F64" s="56"/>
      <c r="G64" s="56"/>
      <c r="H64" s="184"/>
      <c r="I64" s="184"/>
      <c r="J64" s="56"/>
      <c r="K64" s="56"/>
      <c r="L64" s="56"/>
      <c r="M64" s="56"/>
    </row>
    <row r="65" spans="1:13" x14ac:dyDescent="0.15">
      <c r="A65" s="56"/>
      <c r="B65" s="56"/>
      <c r="C65" s="56"/>
      <c r="D65" s="56"/>
      <c r="E65" s="56"/>
      <c r="F65" s="56"/>
      <c r="G65" s="56"/>
      <c r="H65" s="184"/>
      <c r="I65" s="184"/>
      <c r="J65" s="56"/>
      <c r="K65" s="56"/>
      <c r="L65" s="56"/>
      <c r="M65" s="56"/>
    </row>
    <row r="66" spans="1:13" x14ac:dyDescent="0.15">
      <c r="A66" s="56"/>
      <c r="B66" s="56"/>
      <c r="C66" s="56"/>
      <c r="D66" s="56"/>
      <c r="E66" s="56"/>
      <c r="F66" s="56"/>
      <c r="G66" s="56"/>
      <c r="H66" s="184"/>
      <c r="I66" s="184"/>
      <c r="J66" s="56"/>
      <c r="K66" s="56"/>
      <c r="L66" s="56"/>
      <c r="M66" s="56"/>
    </row>
    <row r="67" spans="1:13" x14ac:dyDescent="0.15">
      <c r="A67" s="56"/>
      <c r="B67" s="56"/>
      <c r="C67" s="56"/>
      <c r="D67" s="56"/>
      <c r="E67" s="56"/>
      <c r="F67" s="56"/>
      <c r="G67" s="56"/>
      <c r="H67" s="184"/>
      <c r="I67" s="184"/>
      <c r="J67" s="56"/>
      <c r="K67" s="56"/>
      <c r="L67" s="56"/>
      <c r="M67" s="56"/>
    </row>
    <row r="68" spans="1:13" x14ac:dyDescent="0.15">
      <c r="A68" s="56"/>
      <c r="B68" s="56"/>
      <c r="C68" s="56"/>
      <c r="D68" s="56"/>
      <c r="E68" s="56"/>
      <c r="F68" s="56"/>
      <c r="G68" s="56"/>
      <c r="H68" s="184"/>
      <c r="I68" s="184"/>
      <c r="J68" s="56"/>
      <c r="K68" s="56"/>
      <c r="L68" s="56"/>
      <c r="M68" s="56"/>
    </row>
    <row r="69" spans="1:13" x14ac:dyDescent="0.15">
      <c r="A69" s="56"/>
      <c r="B69" s="56"/>
      <c r="C69" s="56"/>
      <c r="D69" s="56"/>
      <c r="E69" s="56"/>
      <c r="F69" s="56"/>
      <c r="G69" s="56"/>
      <c r="H69" s="184"/>
      <c r="I69" s="184"/>
      <c r="J69" s="56"/>
      <c r="K69" s="56"/>
      <c r="L69" s="56"/>
      <c r="M69" s="56"/>
    </row>
    <row r="70" spans="1:13" x14ac:dyDescent="0.15">
      <c r="A70" s="56"/>
      <c r="B70" s="56"/>
      <c r="C70" s="56"/>
      <c r="D70" s="56"/>
      <c r="E70" s="56"/>
      <c r="F70" s="56"/>
      <c r="G70" s="56"/>
      <c r="H70" s="184"/>
      <c r="I70" s="184"/>
      <c r="J70" s="56"/>
      <c r="K70" s="56"/>
      <c r="L70" s="56"/>
      <c r="M70" s="56"/>
    </row>
    <row r="71" spans="1:13" x14ac:dyDescent="0.15">
      <c r="A71" s="56"/>
      <c r="B71" s="56"/>
      <c r="C71" s="56"/>
      <c r="D71" s="56"/>
      <c r="E71" s="56"/>
      <c r="F71" s="56"/>
      <c r="G71" s="56"/>
      <c r="H71" s="184"/>
      <c r="I71" s="184"/>
      <c r="J71" s="56"/>
      <c r="K71" s="56"/>
      <c r="L71" s="56"/>
      <c r="M71" s="56"/>
    </row>
    <row r="72" spans="1:13" x14ac:dyDescent="0.15">
      <c r="A72" s="56"/>
      <c r="B72" s="56"/>
      <c r="C72" s="56"/>
      <c r="D72" s="56"/>
      <c r="E72" s="56"/>
      <c r="F72" s="56"/>
      <c r="G72" s="56"/>
      <c r="H72" s="184"/>
      <c r="I72" s="184"/>
      <c r="J72" s="56"/>
      <c r="K72" s="56"/>
      <c r="L72" s="56"/>
      <c r="M72" s="56"/>
    </row>
    <row r="73" spans="1:13" x14ac:dyDescent="0.15">
      <c r="A73" s="56"/>
      <c r="B73" s="56"/>
      <c r="C73" s="56"/>
      <c r="D73" s="56"/>
      <c r="E73" s="56"/>
      <c r="F73" s="56"/>
      <c r="G73" s="56"/>
      <c r="H73" s="184"/>
      <c r="I73" s="184"/>
      <c r="J73" s="56"/>
      <c r="K73" s="56"/>
      <c r="L73" s="56"/>
      <c r="M73" s="56"/>
    </row>
    <row r="74" spans="1:13" x14ac:dyDescent="0.15">
      <c r="A74" s="56"/>
      <c r="B74" s="56"/>
      <c r="C74" s="56"/>
      <c r="D74" s="56"/>
      <c r="E74" s="56"/>
      <c r="F74" s="56"/>
      <c r="G74" s="56"/>
      <c r="H74" s="184"/>
      <c r="I74" s="184"/>
      <c r="J74" s="56"/>
      <c r="K74" s="56"/>
      <c r="L74" s="56"/>
      <c r="M74" s="56"/>
    </row>
    <row r="75" spans="1:13" x14ac:dyDescent="0.15">
      <c r="A75" s="56"/>
      <c r="B75" s="56"/>
      <c r="C75" s="56"/>
      <c r="D75" s="56"/>
      <c r="E75" s="56"/>
      <c r="F75" s="56"/>
      <c r="G75" s="56"/>
      <c r="H75" s="184"/>
      <c r="I75" s="184"/>
      <c r="J75" s="56"/>
      <c r="K75" s="56"/>
      <c r="L75" s="56"/>
      <c r="M75" s="56"/>
    </row>
    <row r="76" spans="1:13" x14ac:dyDescent="0.15">
      <c r="A76" s="56"/>
      <c r="B76" s="56"/>
      <c r="C76" s="56"/>
      <c r="D76" s="56"/>
      <c r="E76" s="56"/>
      <c r="F76" s="56"/>
      <c r="G76" s="56"/>
      <c r="H76" s="184"/>
      <c r="I76" s="184"/>
      <c r="J76" s="56"/>
      <c r="K76" s="56"/>
      <c r="L76" s="56"/>
      <c r="M76" s="56"/>
    </row>
    <row r="77" spans="1:13" x14ac:dyDescent="0.15">
      <c r="A77" s="56"/>
      <c r="B77" s="56"/>
      <c r="C77" s="56"/>
      <c r="D77" s="56"/>
      <c r="E77" s="56"/>
      <c r="F77" s="56"/>
      <c r="G77" s="56"/>
      <c r="H77" s="184"/>
      <c r="I77" s="184"/>
      <c r="J77" s="56"/>
      <c r="K77" s="56"/>
      <c r="L77" s="56"/>
      <c r="M77" s="56"/>
    </row>
    <row r="78" spans="1:13" x14ac:dyDescent="0.15">
      <c r="A78" s="56"/>
      <c r="B78" s="56"/>
      <c r="C78" s="56"/>
      <c r="D78" s="56"/>
      <c r="E78" s="56"/>
      <c r="F78" s="56"/>
      <c r="G78" s="56"/>
      <c r="H78" s="184"/>
      <c r="I78" s="184"/>
      <c r="J78" s="56"/>
      <c r="K78" s="56"/>
      <c r="L78" s="56"/>
      <c r="M78" s="56"/>
    </row>
    <row r="79" spans="1:13" x14ac:dyDescent="0.15">
      <c r="A79" s="56"/>
      <c r="B79" s="56"/>
      <c r="C79" s="56"/>
      <c r="D79" s="56"/>
      <c r="E79" s="56"/>
      <c r="F79" s="56"/>
      <c r="G79" s="56"/>
      <c r="H79" s="184"/>
      <c r="I79" s="184"/>
      <c r="J79" s="56"/>
      <c r="K79" s="56"/>
      <c r="L79" s="56"/>
      <c r="M79" s="56"/>
    </row>
    <row r="80" spans="1:13" x14ac:dyDescent="0.15">
      <c r="A80" s="56"/>
      <c r="B80" s="56"/>
      <c r="C80" s="56"/>
      <c r="D80" s="56"/>
      <c r="E80" s="56"/>
      <c r="F80" s="56"/>
      <c r="G80" s="56"/>
      <c r="H80" s="184"/>
      <c r="I80" s="184"/>
      <c r="J80" s="56"/>
      <c r="K80" s="56"/>
      <c r="L80" s="56"/>
      <c r="M80" s="56"/>
    </row>
    <row r="81" spans="1:13" x14ac:dyDescent="0.15">
      <c r="A81" s="56"/>
      <c r="B81" s="56"/>
      <c r="C81" s="56"/>
      <c r="D81" s="56"/>
      <c r="E81" s="56"/>
      <c r="F81" s="56"/>
      <c r="G81" s="56"/>
      <c r="H81" s="184"/>
      <c r="I81" s="184"/>
      <c r="J81" s="56"/>
      <c r="K81" s="56"/>
      <c r="L81" s="56"/>
      <c r="M81" s="56"/>
    </row>
    <row r="82" spans="1:13" x14ac:dyDescent="0.15">
      <c r="A82" s="56"/>
      <c r="B82" s="56"/>
      <c r="C82" s="56"/>
      <c r="D82" s="56"/>
      <c r="E82" s="56"/>
      <c r="F82" s="56"/>
      <c r="G82" s="56"/>
      <c r="H82" s="184"/>
      <c r="I82" s="184"/>
      <c r="J82" s="56"/>
      <c r="K82" s="56"/>
      <c r="L82" s="56"/>
      <c r="M82" s="56"/>
    </row>
    <row r="83" spans="1:13" x14ac:dyDescent="0.15">
      <c r="A83" s="56"/>
      <c r="B83" s="56"/>
      <c r="C83" s="56"/>
      <c r="D83" s="56"/>
      <c r="E83" s="56"/>
      <c r="F83" s="56"/>
      <c r="G83" s="56"/>
      <c r="H83" s="184"/>
      <c r="I83" s="184"/>
      <c r="J83" s="56"/>
      <c r="K83" s="56"/>
      <c r="L83" s="56"/>
      <c r="M83" s="56"/>
    </row>
    <row r="84" spans="1:13" x14ac:dyDescent="0.15">
      <c r="A84" s="56"/>
      <c r="B84" s="56"/>
      <c r="C84" s="56"/>
      <c r="D84" s="56"/>
      <c r="E84" s="56"/>
      <c r="F84" s="56"/>
      <c r="G84" s="56"/>
      <c r="H84" s="184"/>
      <c r="I84" s="184"/>
      <c r="J84" s="56"/>
      <c r="K84" s="56"/>
      <c r="L84" s="56"/>
      <c r="M84" s="56"/>
    </row>
    <row r="85" spans="1:13" x14ac:dyDescent="0.15">
      <c r="A85" s="56"/>
      <c r="B85" s="56"/>
      <c r="C85" s="56"/>
      <c r="D85" s="56"/>
      <c r="E85" s="56"/>
      <c r="F85" s="56"/>
      <c r="G85" s="56"/>
      <c r="H85" s="184"/>
      <c r="I85" s="184"/>
      <c r="J85" s="56"/>
      <c r="K85" s="56"/>
      <c r="L85" s="56"/>
      <c r="M85" s="56"/>
    </row>
    <row r="86" spans="1:13" x14ac:dyDescent="0.15">
      <c r="A86" s="56"/>
      <c r="B86" s="56"/>
      <c r="C86" s="56"/>
      <c r="D86" s="56"/>
      <c r="E86" s="56"/>
      <c r="F86" s="56"/>
      <c r="G86" s="56"/>
      <c r="H86" s="184"/>
      <c r="I86" s="184"/>
      <c r="J86" s="56"/>
      <c r="K86" s="56"/>
      <c r="L86" s="56"/>
      <c r="M86" s="56"/>
    </row>
    <row r="87" spans="1:13" x14ac:dyDescent="0.15">
      <c r="A87" s="56"/>
      <c r="B87" s="56"/>
      <c r="C87" s="56"/>
      <c r="D87" s="56"/>
      <c r="E87" s="56"/>
      <c r="F87" s="56"/>
      <c r="G87" s="56"/>
      <c r="H87" s="184"/>
      <c r="I87" s="184"/>
      <c r="J87" s="56"/>
      <c r="K87" s="56"/>
      <c r="L87" s="56"/>
      <c r="M87" s="56"/>
    </row>
    <row r="88" spans="1:13" x14ac:dyDescent="0.15">
      <c r="A88" s="56"/>
      <c r="B88" s="56"/>
      <c r="C88" s="56"/>
      <c r="D88" s="56"/>
      <c r="E88" s="56"/>
      <c r="F88" s="56"/>
      <c r="G88" s="56"/>
      <c r="H88" s="184"/>
      <c r="I88" s="184"/>
      <c r="J88" s="56"/>
      <c r="K88" s="56"/>
      <c r="L88" s="56"/>
      <c r="M88" s="56"/>
    </row>
    <row r="89" spans="1:13" x14ac:dyDescent="0.15">
      <c r="A89" s="56"/>
      <c r="B89" s="56"/>
      <c r="C89" s="56"/>
      <c r="D89" s="56"/>
      <c r="E89" s="56"/>
      <c r="F89" s="56"/>
      <c r="G89" s="56"/>
      <c r="H89" s="184"/>
      <c r="I89" s="184"/>
      <c r="J89" s="56"/>
      <c r="K89" s="56"/>
      <c r="L89" s="56"/>
      <c r="M89" s="56"/>
    </row>
    <row r="90" spans="1:13" x14ac:dyDescent="0.15">
      <c r="A90" s="56"/>
      <c r="B90" s="56"/>
      <c r="C90" s="56"/>
      <c r="D90" s="56"/>
      <c r="E90" s="56"/>
      <c r="F90" s="56"/>
      <c r="G90" s="56"/>
      <c r="H90" s="184"/>
      <c r="I90" s="184"/>
      <c r="J90" s="56"/>
      <c r="K90" s="56"/>
      <c r="L90" s="56"/>
      <c r="M90" s="56"/>
    </row>
    <row r="91" spans="1:13" x14ac:dyDescent="0.15">
      <c r="A91" s="56"/>
      <c r="B91" s="56"/>
      <c r="C91" s="56"/>
      <c r="D91" s="56"/>
      <c r="E91" s="56"/>
      <c r="F91" s="56"/>
      <c r="G91" s="56"/>
      <c r="H91" s="184"/>
      <c r="I91" s="184"/>
      <c r="J91" s="56"/>
      <c r="K91" s="56"/>
      <c r="L91" s="56"/>
      <c r="M91" s="56"/>
    </row>
    <row r="92" spans="1:13" x14ac:dyDescent="0.15">
      <c r="A92" s="56"/>
      <c r="B92" s="56"/>
      <c r="C92" s="56"/>
      <c r="D92" s="56"/>
      <c r="E92" s="56"/>
      <c r="F92" s="56"/>
      <c r="G92" s="56"/>
      <c r="H92" s="184"/>
      <c r="I92" s="184"/>
      <c r="J92" s="56"/>
      <c r="K92" s="56"/>
      <c r="L92" s="56"/>
      <c r="M92" s="56"/>
    </row>
    <row r="93" spans="1:13" x14ac:dyDescent="0.15">
      <c r="A93" s="56"/>
      <c r="B93" s="56"/>
      <c r="C93" s="56"/>
      <c r="D93" s="56"/>
      <c r="E93" s="56"/>
      <c r="F93" s="56"/>
      <c r="G93" s="56"/>
      <c r="H93" s="184"/>
      <c r="I93" s="184"/>
      <c r="J93" s="56"/>
      <c r="K93" s="56"/>
      <c r="L93" s="56"/>
      <c r="M93" s="56"/>
    </row>
    <row r="94" spans="1:13" s="115" customFormat="1" x14ac:dyDescent="0.15">
      <c r="H94" s="117"/>
      <c r="I94" s="117"/>
    </row>
    <row r="95" spans="1:13" x14ac:dyDescent="0.15">
      <c r="A95" s="56"/>
      <c r="B95" s="56"/>
      <c r="C95" s="56"/>
      <c r="D95" s="56"/>
      <c r="E95" s="56"/>
      <c r="F95" s="56"/>
      <c r="G95" s="56"/>
      <c r="H95" s="184"/>
      <c r="I95" s="184"/>
      <c r="J95" s="56"/>
      <c r="K95" s="56"/>
      <c r="L95" s="56"/>
      <c r="M95" s="56"/>
    </row>
    <row r="96" spans="1:13" x14ac:dyDescent="0.15">
      <c r="A96" s="56"/>
      <c r="B96" s="56"/>
      <c r="C96" s="56"/>
      <c r="D96" s="56"/>
      <c r="E96" s="56"/>
      <c r="F96" s="56"/>
      <c r="G96" s="56"/>
      <c r="H96" s="184"/>
      <c r="I96" s="184"/>
      <c r="J96" s="56"/>
      <c r="K96" s="56"/>
      <c r="L96" s="56"/>
      <c r="M96" s="56"/>
    </row>
    <row r="97" spans="1:13" x14ac:dyDescent="0.15">
      <c r="A97" s="56"/>
      <c r="B97" s="56"/>
      <c r="C97" s="56"/>
      <c r="D97" s="56"/>
      <c r="E97" s="56"/>
      <c r="F97" s="56"/>
      <c r="G97" s="56"/>
      <c r="H97" s="184"/>
      <c r="I97" s="184"/>
      <c r="J97" s="56"/>
      <c r="K97" s="56"/>
      <c r="L97" s="56"/>
      <c r="M97" s="56"/>
    </row>
    <row r="98" spans="1:13" x14ac:dyDescent="0.15">
      <c r="A98" s="56"/>
      <c r="B98" s="56"/>
      <c r="C98" s="56"/>
      <c r="D98" s="56"/>
      <c r="E98" s="56"/>
      <c r="F98" s="56"/>
      <c r="G98" s="56"/>
      <c r="H98" s="184"/>
      <c r="I98" s="184"/>
      <c r="J98" s="56"/>
      <c r="K98" s="56"/>
      <c r="L98" s="56"/>
      <c r="M98" s="56"/>
    </row>
    <row r="99" spans="1:13" x14ac:dyDescent="0.15">
      <c r="A99" s="56"/>
      <c r="B99" s="56"/>
      <c r="C99" s="56"/>
      <c r="D99" s="56"/>
      <c r="E99" s="56"/>
      <c r="F99" s="56"/>
      <c r="G99" s="56"/>
      <c r="H99" s="184"/>
      <c r="I99" s="184"/>
      <c r="J99" s="56"/>
      <c r="K99" s="56"/>
      <c r="L99" s="56"/>
      <c r="M99" s="56"/>
    </row>
    <row r="100" spans="1:13" s="199" customFormat="1" ht="12.75" thickBot="1" x14ac:dyDescent="0.2">
      <c r="H100" s="226"/>
      <c r="I100" s="226"/>
    </row>
  </sheetData>
  <mergeCells count="11">
    <mergeCell ref="B48:D48"/>
    <mergeCell ref="F10:G10"/>
    <mergeCell ref="C42:D42"/>
    <mergeCell ref="C39:D39"/>
    <mergeCell ref="C37:D37"/>
    <mergeCell ref="C29:D29"/>
    <mergeCell ref="C23:D23"/>
    <mergeCell ref="C21:D21"/>
    <mergeCell ref="C20:D20"/>
    <mergeCell ref="C18:D18"/>
    <mergeCell ref="C17:D17"/>
  </mergeCells>
  <phoneticPr fontId="4" type="noConversion"/>
  <printOptions horizontalCentered="1"/>
  <pageMargins left="0.25" right="0.25" top="0.75" bottom="0.5" header="0.3" footer="0.3"/>
  <pageSetup scale="56" fitToHeight="0" orientation="landscape" r:id="rId1"/>
  <headerFooter alignWithMargins="0">
    <oddFooter xml:space="preserve">&amp;LSUPPORTING SCHEDULES:&amp;RRECAP SCHEDULES: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ACC679A4B2B2498C51DFEA93B23388" ma:contentTypeVersion="4" ma:contentTypeDescription="Create a new document." ma:contentTypeScope="" ma:versionID="822d9ec8051f074c75dc280a41fa8bb1">
  <xsd:schema xmlns:xsd="http://www.w3.org/2001/XMLSchema" xmlns:xs="http://www.w3.org/2001/XMLSchema" xmlns:p="http://schemas.microsoft.com/office/2006/metadata/properties" xmlns:ns2="893a536c-6c7f-4e41-bad0-aeadd1862fa9" targetNamespace="http://schemas.microsoft.com/office/2006/metadata/properties" ma:root="true" ma:fieldsID="fa5e0c49a92c2916c81a8ca25f62ea50" ns2:_="">
    <xsd:import namespace="893a536c-6c7f-4e41-bad0-aeadd1862f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3a536c-6c7f-4e41-bad0-aeadd1862f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4A0AC0-8FD7-4264-8A5B-DB92E5BFCCDE}"/>
</file>

<file path=customXml/itemProps2.xml><?xml version="1.0" encoding="utf-8"?>
<ds:datastoreItem xmlns:ds="http://schemas.openxmlformats.org/officeDocument/2006/customXml" ds:itemID="{CF95E419-5C25-420A-8A10-3FF96EC11B6D}"/>
</file>

<file path=customXml/itemProps3.xml><?xml version="1.0" encoding="utf-8"?>
<ds:datastoreItem xmlns:ds="http://schemas.openxmlformats.org/officeDocument/2006/customXml" ds:itemID="{6F1C2BE2-91DB-4D6F-99EB-FD722AA8F570}"/>
</file>

<file path=customXml/itemProps4.xml><?xml version="1.0" encoding="utf-8"?>
<ds:datastoreItem xmlns:ds="http://schemas.openxmlformats.org/officeDocument/2006/customXml" ds:itemID="{28C6553B-6E0F-4D7D-AAA5-88D1A3A0CD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Summary</vt:lpstr>
      <vt:lpstr>Input</vt:lpstr>
      <vt:lpstr>Fees Summary</vt:lpstr>
      <vt:lpstr>Page 1 TOER</vt:lpstr>
      <vt:lpstr>Page 2 TOEC</vt:lpstr>
      <vt:lpstr>Page 3 RCNP Res</vt:lpstr>
      <vt:lpstr>Page 4 RCNP Com</vt:lpstr>
      <vt:lpstr>Page 5 DISC</vt:lpstr>
      <vt:lpstr>Page 6 MRIO</vt:lpstr>
      <vt:lpstr>Page 7 DTAG</vt:lpstr>
      <vt:lpstr>Page 8 Failed Trip</vt:lpstr>
      <vt:lpstr>9 of 10</vt:lpstr>
      <vt:lpstr>10 of 10</vt:lpstr>
      <vt:lpstr>'10 of 10'!Print_Area</vt:lpstr>
      <vt:lpstr>'9 of 10'!Print_Area</vt:lpstr>
      <vt:lpstr>'Fees Summary'!Print_Area</vt:lpstr>
      <vt:lpstr>'Page 1 TOER'!Print_Area</vt:lpstr>
      <vt:lpstr>'Page 2 TOEC'!Print_Area</vt:lpstr>
      <vt:lpstr>'Page 3 RCNP Res'!Print_Area</vt:lpstr>
      <vt:lpstr>'Page 4 RCNP Com'!Print_Area</vt:lpstr>
      <vt:lpstr>'Page 5 DISC'!Print_Area</vt:lpstr>
      <vt:lpstr>'Page 6 MRIO'!Print_Area</vt:lpstr>
      <vt:lpstr>'Page 7 DTAG'!Print_Area</vt:lpstr>
      <vt:lpstr>'Page 8 Failed Trip'!Print_Area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2020-07-09T14:14:22Z</dcterms:created>
  <dcterms:modified xsi:type="dcterms:W3CDTF">2020-07-09T14:14:22Z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ue Date">
    <vt:lpwstr/>
  </property>
  <property fmtid="{D5CDD505-2E9C-101B-9397-08002B2CF9AE}" pid="3" name="ContentTypeId">
    <vt:lpwstr>0x010100C2ACC679A4B2B2498C51DFEA93B23388</vt:lpwstr>
  </property>
  <property fmtid="{D5CDD505-2E9C-101B-9397-08002B2CF9AE}" pid="4" name="Status">
    <vt:lpwstr>Uploaded</vt:lpwstr>
  </property>
</Properties>
</file>