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3.xml" ContentType="application/vnd.ms-excel.controlproperties+xml"/>
  <Override PartName="/xl/ctrlProps/ctrlProp2.xml" ContentType="application/vnd.ms-excel.contro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8720" yWindow="2730" windowWidth="32040" windowHeight="15375"/>
  </bookViews>
  <sheets>
    <sheet name="SCHH-1" sheetId="1" r:id="rId1"/>
    <sheet name="2021 Misc Rev" sheetId="7" r:id="rId2"/>
    <sheet name="Base Yr" sheetId="6" state="hidden" r:id="rId3"/>
  </sheets>
  <definedNames>
    <definedName name="_Regression_Int" localSheetId="0" hidden="1">1</definedName>
    <definedName name="adaytum_col_1" localSheetId="2">'Base Yr'!$B$4:$AG$4</definedName>
    <definedName name="adaytum_data_1" localSheetId="2">'Base Yr'!$B$5:$AG$5</definedName>
    <definedName name="adaytum_page_1" localSheetId="2">'Base Yr'!$A$2:$C$2</definedName>
    <definedName name="adaytum_row_1" localSheetId="2">'Base Yr'!$A$5</definedName>
    <definedName name="adaytum_view_1" localSheetId="2">'Base Yr'!$A$1</definedName>
    <definedName name="_xlnm.Print_Area" localSheetId="0">'SCHH-1'!$A$1:$V$346,'SCHH-1'!$A$348:$L$383</definedName>
    <definedName name="Print_Area_MI" localSheetId="0">'SCHH-1'!$B$262:$M$347</definedName>
    <definedName name="_xlnm.Print_Titles" localSheetId="0">'SCHH-1'!$A:$B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2" i="1" l="1"/>
  <c r="J351" i="1"/>
  <c r="H373" i="1"/>
  <c r="D373" i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J266" i="1"/>
  <c r="J265" i="1"/>
  <c r="T266" i="1"/>
  <c r="T265" i="1"/>
  <c r="J216" i="1"/>
  <c r="J215" i="1"/>
  <c r="T216" i="1"/>
  <c r="T215" i="1"/>
  <c r="J162" i="1"/>
  <c r="J161" i="1"/>
  <c r="T162" i="1"/>
  <c r="T161" i="1"/>
  <c r="J107" i="1"/>
  <c r="J106" i="1"/>
  <c r="T107" i="1"/>
  <c r="T106" i="1"/>
  <c r="J58" i="1"/>
  <c r="J57" i="1"/>
  <c r="T58" i="1"/>
  <c r="T57" i="1"/>
  <c r="E360" i="1" l="1"/>
  <c r="E369" i="1"/>
  <c r="E363" i="1"/>
  <c r="I367" i="1"/>
  <c r="I364" i="1"/>
  <c r="E362" i="1"/>
  <c r="E364" i="1"/>
  <c r="E372" i="1"/>
  <c r="I368" i="1"/>
  <c r="E368" i="1"/>
  <c r="E370" i="1"/>
  <c r="E373" i="1"/>
  <c r="I370" i="1"/>
  <c r="I365" i="1"/>
  <c r="E371" i="1"/>
  <c r="E365" i="1"/>
  <c r="E366" i="1"/>
  <c r="I361" i="1"/>
  <c r="I371" i="1"/>
  <c r="E361" i="1"/>
  <c r="I366" i="1"/>
  <c r="E367" i="1"/>
  <c r="I362" i="1"/>
  <c r="I373" i="1"/>
  <c r="U311" i="1"/>
  <c r="D311" i="1"/>
  <c r="I369" i="1" l="1"/>
  <c r="I372" i="1"/>
  <c r="A327" i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26" i="1"/>
  <c r="A322" i="1"/>
  <c r="A320" i="1"/>
  <c r="A317" i="1"/>
  <c r="A318" i="1" s="1"/>
  <c r="A316" i="1"/>
  <c r="A315" i="1"/>
  <c r="A313" i="1"/>
  <c r="A311" i="1"/>
  <c r="A308" i="1"/>
  <c r="A309" i="1" s="1"/>
  <c r="A307" i="1"/>
  <c r="A306" i="1"/>
  <c r="A304" i="1"/>
  <c r="A302" i="1"/>
  <c r="A300" i="1"/>
  <c r="A298" i="1"/>
  <c r="A296" i="1"/>
  <c r="A294" i="1"/>
  <c r="A291" i="1"/>
  <c r="A292" i="1" s="1"/>
  <c r="A288" i="1"/>
  <c r="A289" i="1" s="1"/>
  <c r="A285" i="1"/>
  <c r="A286" i="1" s="1"/>
  <c r="A283" i="1"/>
  <c r="A282" i="1"/>
  <c r="A280" i="1"/>
  <c r="A279" i="1"/>
  <c r="A278" i="1"/>
  <c r="A276" i="1"/>
  <c r="I363" i="1" l="1"/>
  <c r="V302" i="1"/>
  <c r="E400" i="1"/>
  <c r="E399" i="1"/>
  <c r="E398" i="1"/>
  <c r="T79" i="1" l="1"/>
  <c r="H361" i="1" l="1"/>
  <c r="P322" i="1" l="1"/>
  <c r="P307" i="1"/>
  <c r="P292" i="1"/>
  <c r="P116" i="1"/>
  <c r="P225" i="1" s="1"/>
  <c r="P298" i="1" l="1"/>
  <c r="P300" i="1" s="1"/>
  <c r="P302" i="1" s="1"/>
  <c r="P309" i="1" s="1"/>
  <c r="P313" i="1" s="1"/>
  <c r="P304" i="1" l="1"/>
  <c r="P233" i="1" l="1"/>
  <c r="H372" i="1" l="1"/>
  <c r="H371" i="1"/>
  <c r="H370" i="1"/>
  <c r="H369" i="1"/>
  <c r="H368" i="1"/>
  <c r="H367" i="1"/>
  <c r="H366" i="1"/>
  <c r="H365" i="1"/>
  <c r="H364" i="1"/>
  <c r="H363" i="1"/>
  <c r="H362" i="1"/>
  <c r="H360" i="1"/>
  <c r="H359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07" i="1" l="1"/>
  <c r="N311" i="1" l="1"/>
  <c r="H311" i="1" l="1"/>
  <c r="I311" i="1"/>
  <c r="J311" i="1"/>
  <c r="L311" i="1"/>
  <c r="M311" i="1"/>
  <c r="O311" i="1"/>
  <c r="K311" i="1"/>
  <c r="G311" i="1" l="1"/>
  <c r="F311" i="1"/>
  <c r="G307" i="1"/>
  <c r="F307" i="1"/>
  <c r="G320" i="1" l="1"/>
  <c r="G322" i="1" s="1"/>
  <c r="F320" i="1"/>
  <c r="F322" i="1" s="1"/>
  <c r="A116" i="1"/>
  <c r="A117" i="1" s="1"/>
  <c r="A118" i="1" s="1"/>
  <c r="A13" i="1"/>
  <c r="A14" i="1" s="1"/>
  <c r="A15" i="1" s="1"/>
  <c r="A16" i="1" s="1"/>
  <c r="A17" i="1" s="1"/>
  <c r="A18" i="1" s="1"/>
  <c r="A19" i="1" s="1"/>
  <c r="I307" i="1"/>
  <c r="B6" i="6"/>
  <c r="B7" i="6" s="1"/>
  <c r="D7" i="6"/>
  <c r="AF7" i="6"/>
  <c r="AE7" i="6"/>
  <c r="AD7" i="6"/>
  <c r="AC7" i="6"/>
  <c r="AA6" i="6"/>
  <c r="AA7" i="6"/>
  <c r="Y6" i="6"/>
  <c r="Y7" i="6" s="1"/>
  <c r="W6" i="6"/>
  <c r="W7" i="6" s="1"/>
  <c r="U6" i="6"/>
  <c r="U7" i="6" s="1"/>
  <c r="R6" i="6"/>
  <c r="R7" i="6" s="1"/>
  <c r="P6" i="6"/>
  <c r="P7" i="6" s="1"/>
  <c r="N6" i="6"/>
  <c r="N7" i="6" s="1"/>
  <c r="K6" i="6"/>
  <c r="K7" i="6" s="1"/>
  <c r="I6" i="6"/>
  <c r="I7" i="6"/>
  <c r="G6" i="6"/>
  <c r="G7" i="6" s="1"/>
  <c r="E6" i="6"/>
  <c r="E7" i="6" s="1"/>
  <c r="T6" i="6"/>
  <c r="M6" i="6"/>
  <c r="L307" i="1"/>
  <c r="E307" i="1"/>
  <c r="Z236" i="1"/>
  <c r="Z228" i="1"/>
  <c r="Z188" i="1"/>
  <c r="Z186" i="1"/>
  <c r="Z183" i="1"/>
  <c r="Z175" i="1"/>
  <c r="Z174" i="1"/>
  <c r="Z132" i="1"/>
  <c r="Z130" i="1"/>
  <c r="Z129" i="1"/>
  <c r="V320" i="1"/>
  <c r="V322" i="1" s="1"/>
  <c r="S320" i="1"/>
  <c r="S322" i="1" s="1"/>
  <c r="R320" i="1"/>
  <c r="R322" i="1" s="1"/>
  <c r="C294" i="1"/>
  <c r="V307" i="1"/>
  <c r="U307" i="1"/>
  <c r="T307" i="1"/>
  <c r="S307" i="1"/>
  <c r="R307" i="1"/>
  <c r="Q307" i="1"/>
  <c r="O307" i="1"/>
  <c r="N307" i="1"/>
  <c r="M307" i="1"/>
  <c r="K307" i="1"/>
  <c r="J307" i="1"/>
  <c r="H307" i="1"/>
  <c r="M322" i="1"/>
  <c r="O322" i="1"/>
  <c r="Q322" i="1"/>
  <c r="T320" i="1" l="1"/>
  <c r="T322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I320" i="1"/>
  <c r="I322" i="1" s="1"/>
  <c r="E311" i="1"/>
  <c r="E320" i="1" s="1"/>
  <c r="E322" i="1" s="1"/>
  <c r="D320" i="1"/>
  <c r="D322" i="1" s="1"/>
  <c r="L320" i="1"/>
  <c r="L322" i="1" s="1"/>
  <c r="H320" i="1"/>
  <c r="H322" i="1" s="1"/>
  <c r="N320" i="1"/>
  <c r="N322" i="1" s="1"/>
  <c r="U320" i="1"/>
  <c r="U322" i="1" s="1"/>
  <c r="J320" i="1"/>
  <c r="J322" i="1" s="1"/>
  <c r="K320" i="1"/>
  <c r="K322" i="1" s="1"/>
  <c r="A120" i="1"/>
  <c r="A121" i="1" s="1"/>
  <c r="A122" i="1" s="1"/>
  <c r="A123" i="1" s="1"/>
  <c r="A124" i="1" s="1"/>
  <c r="A125" i="1" s="1"/>
  <c r="A126" i="1" s="1"/>
  <c r="A127" i="1" s="1"/>
  <c r="A128" i="1" s="1"/>
  <c r="A131" i="1" l="1"/>
  <c r="A133" i="1" s="1"/>
  <c r="A136" i="1" s="1"/>
  <c r="A138" i="1" s="1"/>
  <c r="P5" i="7" l="1"/>
  <c r="C68" i="1" l="1"/>
  <c r="C67" i="1" l="1"/>
  <c r="E176" i="1" l="1"/>
  <c r="E121" i="1" s="1"/>
  <c r="D176" i="1" l="1"/>
  <c r="T176" i="1"/>
  <c r="T121" i="1" s="1"/>
  <c r="R176" i="1"/>
  <c r="R121" i="1" s="1"/>
  <c r="P176" i="1"/>
  <c r="P121" i="1" s="1"/>
  <c r="G176" i="1"/>
  <c r="G121" i="1" s="1"/>
  <c r="K176" i="1"/>
  <c r="K121" i="1" s="1"/>
  <c r="Q176" i="1"/>
  <c r="Q121" i="1" s="1"/>
  <c r="S176" i="1"/>
  <c r="S121" i="1" s="1"/>
  <c r="J176" i="1"/>
  <c r="J121" i="1" s="1"/>
  <c r="N176" i="1"/>
  <c r="N121" i="1" s="1"/>
  <c r="M176" i="1"/>
  <c r="M121" i="1" s="1"/>
  <c r="V176" i="1"/>
  <c r="V121" i="1" s="1"/>
  <c r="O176" i="1"/>
  <c r="O121" i="1" s="1"/>
  <c r="F176" i="1"/>
  <c r="F121" i="1" s="1"/>
  <c r="I176" i="1"/>
  <c r="I121" i="1" s="1"/>
  <c r="L176" i="1"/>
  <c r="L121" i="1" s="1"/>
  <c r="U176" i="1"/>
  <c r="U121" i="1" s="1"/>
  <c r="H176" i="1"/>
  <c r="H121" i="1" s="1"/>
  <c r="X13" i="1" l="1"/>
  <c r="Y13" i="1" s="1"/>
  <c r="D121" i="1"/>
  <c r="C176" i="1"/>
  <c r="Z176" i="1" l="1"/>
  <c r="C121" i="1"/>
  <c r="Z121" i="1" l="1"/>
  <c r="P80" i="1" l="1"/>
  <c r="V309" i="1" l="1"/>
  <c r="V313" i="1" s="1"/>
  <c r="P78" i="1" l="1"/>
  <c r="P171" i="1" l="1"/>
  <c r="C274" i="1" l="1"/>
  <c r="Y274" i="1" l="1"/>
  <c r="C66" i="1" l="1"/>
  <c r="F398" i="1" l="1"/>
  <c r="F399" i="1"/>
  <c r="F400" i="1"/>
  <c r="I359" i="1" l="1"/>
  <c r="E359" i="1"/>
  <c r="E375" i="1" s="1"/>
  <c r="H292" i="1"/>
  <c r="L116" i="1"/>
  <c r="F292" i="1"/>
  <c r="L292" i="1"/>
  <c r="Q292" i="1"/>
  <c r="I116" i="1"/>
  <c r="N292" i="1"/>
  <c r="U298" i="1"/>
  <c r="J292" i="1"/>
  <c r="T292" i="1"/>
  <c r="M292" i="1"/>
  <c r="V116" i="1"/>
  <c r="I292" i="1"/>
  <c r="V292" i="1"/>
  <c r="E292" i="1"/>
  <c r="O292" i="1"/>
  <c r="F401" i="1"/>
  <c r="U292" i="1"/>
  <c r="T116" i="1"/>
  <c r="K292" i="1"/>
  <c r="S292" i="1"/>
  <c r="E344" i="1"/>
  <c r="G292" i="1"/>
  <c r="R292" i="1"/>
  <c r="I298" i="1"/>
  <c r="I360" i="1" l="1"/>
  <c r="I375" i="1" s="1"/>
  <c r="D407" i="1"/>
  <c r="V298" i="1"/>
  <c r="F116" i="1"/>
  <c r="E116" i="1"/>
  <c r="D292" i="1"/>
  <c r="H298" i="1"/>
  <c r="O116" i="1"/>
  <c r="R116" i="1"/>
  <c r="S298" i="1"/>
  <c r="V225" i="1"/>
  <c r="I344" i="1"/>
  <c r="G116" i="1"/>
  <c r="M116" i="1"/>
  <c r="K116" i="1"/>
  <c r="J116" i="1"/>
  <c r="S116" i="1"/>
  <c r="T225" i="1"/>
  <c r="M298" i="1"/>
  <c r="L225" i="1"/>
  <c r="Q116" i="1"/>
  <c r="H116" i="1"/>
  <c r="N116" i="1"/>
  <c r="U116" i="1"/>
  <c r="C280" i="1"/>
  <c r="Y280" i="1" s="1"/>
  <c r="K298" i="1"/>
  <c r="I225" i="1"/>
  <c r="H78" i="1"/>
  <c r="K225" i="1" l="1"/>
  <c r="T78" i="1"/>
  <c r="R225" i="1"/>
  <c r="E225" i="1"/>
  <c r="H225" i="1"/>
  <c r="S225" i="1"/>
  <c r="G225" i="1"/>
  <c r="C292" i="1"/>
  <c r="Y292" i="1" s="1"/>
  <c r="T80" i="1"/>
  <c r="T298" i="1"/>
  <c r="T300" i="1" s="1"/>
  <c r="T302" i="1" s="1"/>
  <c r="O225" i="1"/>
  <c r="F225" i="1"/>
  <c r="J225" i="1"/>
  <c r="Q298" i="1"/>
  <c r="U225" i="1"/>
  <c r="Q225" i="1"/>
  <c r="G298" i="1"/>
  <c r="L298" i="1"/>
  <c r="D116" i="1"/>
  <c r="C71" i="1"/>
  <c r="C116" i="1" s="1"/>
  <c r="N225" i="1"/>
  <c r="M225" i="1"/>
  <c r="E298" i="1" l="1"/>
  <c r="E300" i="1" s="1"/>
  <c r="E80" i="1"/>
  <c r="T304" i="1"/>
  <c r="T233" i="1" s="1"/>
  <c r="T309" i="1"/>
  <c r="T313" i="1" s="1"/>
  <c r="J298" i="1"/>
  <c r="O298" i="1"/>
  <c r="R298" i="1"/>
  <c r="N298" i="1"/>
  <c r="D298" i="1"/>
  <c r="D225" i="1"/>
  <c r="X27" i="1"/>
  <c r="Y27" i="1" l="1"/>
  <c r="J67" i="1"/>
  <c r="J80" i="1" s="1"/>
  <c r="C225" i="1"/>
  <c r="N67" i="1"/>
  <c r="N80" i="1" s="1"/>
  <c r="X28" i="1"/>
  <c r="P118" i="1"/>
  <c r="P226" i="1"/>
  <c r="P227" i="1" s="1"/>
  <c r="C79" i="1"/>
  <c r="T171" i="1"/>
  <c r="F67" i="1" l="1"/>
  <c r="F80" i="1" s="1"/>
  <c r="S118" i="1"/>
  <c r="L226" i="1"/>
  <c r="L227" i="1" s="1"/>
  <c r="F298" i="1"/>
  <c r="X29" i="1"/>
  <c r="Y29" i="1" s="1"/>
  <c r="Z225" i="1"/>
  <c r="K67" i="1"/>
  <c r="K80" i="1" s="1"/>
  <c r="T226" i="1"/>
  <c r="T227" i="1" s="1"/>
  <c r="T118" i="1"/>
  <c r="Y28" i="1"/>
  <c r="F226" i="1"/>
  <c r="F227" i="1" s="1"/>
  <c r="F118" i="1"/>
  <c r="C298" i="1"/>
  <c r="C80" i="1"/>
  <c r="R226" i="1"/>
  <c r="R227" i="1" s="1"/>
  <c r="R118" i="1"/>
  <c r="H67" i="1"/>
  <c r="H80" i="1" s="1"/>
  <c r="E226" i="1"/>
  <c r="E227" i="1" s="1"/>
  <c r="E118" i="1"/>
  <c r="R67" i="1"/>
  <c r="R80" i="1" s="1"/>
  <c r="Y298" i="1" l="1"/>
  <c r="S226" i="1"/>
  <c r="S227" i="1" s="1"/>
  <c r="L118" i="1"/>
  <c r="L67" i="1"/>
  <c r="L80" i="1" s="1"/>
  <c r="F124" i="1"/>
  <c r="E179" i="1"/>
  <c r="E67" i="1"/>
  <c r="P67" i="1"/>
  <c r="K226" i="1"/>
  <c r="K227" i="1" s="1"/>
  <c r="K118" i="1"/>
  <c r="V67" i="1"/>
  <c r="V80" i="1" s="1"/>
  <c r="U226" i="1"/>
  <c r="U227" i="1" s="1"/>
  <c r="U118" i="1"/>
  <c r="U67" i="1"/>
  <c r="U80" i="1" s="1"/>
  <c r="O67" i="1"/>
  <c r="O80" i="1" s="1"/>
  <c r="I67" i="1"/>
  <c r="I80" i="1" s="1"/>
  <c r="H226" i="1"/>
  <c r="H227" i="1" s="1"/>
  <c r="H118" i="1"/>
  <c r="S67" i="1"/>
  <c r="S80" i="1" s="1"/>
  <c r="I226" i="1"/>
  <c r="I227" i="1" s="1"/>
  <c r="I118" i="1"/>
  <c r="J226" i="1"/>
  <c r="J227" i="1" s="1"/>
  <c r="J118" i="1"/>
  <c r="N226" i="1"/>
  <c r="N227" i="1" s="1"/>
  <c r="N118" i="1"/>
  <c r="K189" i="1"/>
  <c r="K136" i="1" s="1"/>
  <c r="T67" i="1"/>
  <c r="Q67" i="1"/>
  <c r="Q80" i="1" s="1"/>
  <c r="O226" i="1"/>
  <c r="O227" i="1" s="1"/>
  <c r="O118" i="1"/>
  <c r="E124" i="1"/>
  <c r="V226" i="1"/>
  <c r="V227" i="1" s="1"/>
  <c r="V118" i="1"/>
  <c r="L189" i="1"/>
  <c r="L136" i="1" s="1"/>
  <c r="Q226" i="1"/>
  <c r="Q227" i="1" s="1"/>
  <c r="Q118" i="1"/>
  <c r="G67" i="1"/>
  <c r="G80" i="1" s="1"/>
  <c r="M226" i="1"/>
  <c r="M227" i="1" s="1"/>
  <c r="M118" i="1"/>
  <c r="G226" i="1"/>
  <c r="G227" i="1" s="1"/>
  <c r="G118" i="1"/>
  <c r="M67" i="1"/>
  <c r="M80" i="1" s="1"/>
  <c r="F179" i="1" l="1"/>
  <c r="F122" i="1"/>
  <c r="E189" i="1"/>
  <c r="E136" i="1" s="1"/>
  <c r="R189" i="1"/>
  <c r="R136" i="1" s="1"/>
  <c r="O189" i="1"/>
  <c r="O136" i="1" s="1"/>
  <c r="P189" i="1"/>
  <c r="P136" i="1" s="1"/>
  <c r="M189" i="1"/>
  <c r="M136" i="1" s="1"/>
  <c r="H124" i="1"/>
  <c r="H179" i="1"/>
  <c r="Q189" i="1"/>
  <c r="Q136" i="1" s="1"/>
  <c r="G179" i="1"/>
  <c r="G124" i="1"/>
  <c r="S189" i="1"/>
  <c r="S136" i="1" s="1"/>
  <c r="O124" i="1"/>
  <c r="O179" i="1"/>
  <c r="I172" i="1"/>
  <c r="I234" i="1" s="1"/>
  <c r="I276" i="1" s="1"/>
  <c r="I74" i="1"/>
  <c r="O127" i="1"/>
  <c r="I189" i="1"/>
  <c r="I136" i="1" s="1"/>
  <c r="T124" i="1"/>
  <c r="T179" i="1"/>
  <c r="P124" i="1"/>
  <c r="P179" i="1"/>
  <c r="F189" i="1"/>
  <c r="F136" i="1" s="1"/>
  <c r="V172" i="1"/>
  <c r="V74" i="1"/>
  <c r="M127" i="1"/>
  <c r="P127" i="1"/>
  <c r="S172" i="1"/>
  <c r="S234" i="1" s="1"/>
  <c r="S276" i="1" s="1"/>
  <c r="S74" i="1"/>
  <c r="L74" i="1"/>
  <c r="L172" i="1"/>
  <c r="L234" i="1" s="1"/>
  <c r="L276" i="1" s="1"/>
  <c r="Q172" i="1"/>
  <c r="Q234" i="1" s="1"/>
  <c r="Q276" i="1" s="1"/>
  <c r="Q74" i="1"/>
  <c r="S179" i="1"/>
  <c r="S124" i="1"/>
  <c r="M172" i="1"/>
  <c r="M234" i="1" s="1"/>
  <c r="M276" i="1" s="1"/>
  <c r="M74" i="1"/>
  <c r="O172" i="1"/>
  <c r="O234" i="1" s="1"/>
  <c r="O276" i="1" s="1"/>
  <c r="O74" i="1"/>
  <c r="U189" i="1"/>
  <c r="U136" i="1" s="1"/>
  <c r="V189" i="1"/>
  <c r="V136" i="1" s="1"/>
  <c r="G172" i="1"/>
  <c r="G234" i="1" s="1"/>
  <c r="G276" i="1" s="1"/>
  <c r="G74" i="1"/>
  <c r="N189" i="1"/>
  <c r="N136" i="1" s="1"/>
  <c r="K124" i="1"/>
  <c r="K179" i="1"/>
  <c r="N74" i="1"/>
  <c r="N172" i="1"/>
  <c r="N234" i="1" s="1"/>
  <c r="N276" i="1" s="1"/>
  <c r="P74" i="1"/>
  <c r="P172" i="1"/>
  <c r="R179" i="1"/>
  <c r="R124" i="1"/>
  <c r="M124" i="1"/>
  <c r="M179" i="1"/>
  <c r="U124" i="1"/>
  <c r="U179" i="1"/>
  <c r="H189" i="1"/>
  <c r="H136" i="1" s="1"/>
  <c r="Q179" i="1"/>
  <c r="Q124" i="1"/>
  <c r="K74" i="1"/>
  <c r="K172" i="1"/>
  <c r="K234" i="1" s="1"/>
  <c r="K276" i="1" s="1"/>
  <c r="V179" i="1"/>
  <c r="V124" i="1"/>
  <c r="F172" i="1"/>
  <c r="F234" i="1" s="1"/>
  <c r="F276" i="1" s="1"/>
  <c r="F74" i="1"/>
  <c r="U74" i="1"/>
  <c r="U172" i="1"/>
  <c r="U234" i="1" s="1"/>
  <c r="U276" i="1" s="1"/>
  <c r="I124" i="1"/>
  <c r="I179" i="1"/>
  <c r="L124" i="1"/>
  <c r="L179" i="1"/>
  <c r="E172" i="1"/>
  <c r="E234" i="1" s="1"/>
  <c r="E276" i="1" s="1"/>
  <c r="E74" i="1"/>
  <c r="R172" i="1"/>
  <c r="R234" i="1" s="1"/>
  <c r="R276" i="1" s="1"/>
  <c r="R74" i="1"/>
  <c r="D226" i="1"/>
  <c r="C117" i="1"/>
  <c r="Z117" i="1" s="1"/>
  <c r="D118" i="1"/>
  <c r="G189" i="1"/>
  <c r="G136" i="1" s="1"/>
  <c r="J124" i="1"/>
  <c r="J179" i="1"/>
  <c r="N179" i="1"/>
  <c r="N124" i="1"/>
  <c r="O66" i="1"/>
  <c r="O79" i="1" s="1"/>
  <c r="J189" i="1"/>
  <c r="J136" i="1" s="1"/>
  <c r="H74" i="1"/>
  <c r="H172" i="1"/>
  <c r="H234" i="1" s="1"/>
  <c r="H276" i="1" s="1"/>
  <c r="J172" i="1"/>
  <c r="J234" i="1" s="1"/>
  <c r="J276" i="1" s="1"/>
  <c r="J74" i="1"/>
  <c r="T189" i="1"/>
  <c r="F177" i="1" l="1"/>
  <c r="H123" i="1"/>
  <c r="P66" i="1"/>
  <c r="P79" i="1" s="1"/>
  <c r="G178" i="1"/>
  <c r="R178" i="1"/>
  <c r="L178" i="1"/>
  <c r="L123" i="1"/>
  <c r="J65" i="1"/>
  <c r="J78" i="1" s="1"/>
  <c r="H296" i="1"/>
  <c r="P234" i="1"/>
  <c r="P173" i="1"/>
  <c r="G296" i="1"/>
  <c r="Q127" i="1"/>
  <c r="K185" i="1"/>
  <c r="K127" i="1"/>
  <c r="K65" i="1"/>
  <c r="K78" i="1" s="1"/>
  <c r="C118" i="1"/>
  <c r="Z118" i="1" s="1"/>
  <c r="E296" i="1"/>
  <c r="T177" i="1"/>
  <c r="T122" i="1"/>
  <c r="K122" i="1"/>
  <c r="K177" i="1"/>
  <c r="F296" i="1"/>
  <c r="N123" i="1"/>
  <c r="N178" i="1"/>
  <c r="V178" i="1"/>
  <c r="V123" i="1"/>
  <c r="N66" i="1"/>
  <c r="N79" i="1" s="1"/>
  <c r="N127" i="1"/>
  <c r="F127" i="1"/>
  <c r="I296" i="1"/>
  <c r="M178" i="1"/>
  <c r="M123" i="1"/>
  <c r="T178" i="1"/>
  <c r="T123" i="1"/>
  <c r="C226" i="1"/>
  <c r="C227" i="1" s="1"/>
  <c r="D227" i="1"/>
  <c r="J178" i="1"/>
  <c r="J123" i="1"/>
  <c r="S296" i="1"/>
  <c r="V127" i="1"/>
  <c r="T127" i="1"/>
  <c r="T185" i="1"/>
  <c r="T172" i="1"/>
  <c r="T74" i="1"/>
  <c r="I127" i="1"/>
  <c r="K296" i="1"/>
  <c r="I122" i="1"/>
  <c r="I177" i="1"/>
  <c r="J185" i="1"/>
  <c r="J127" i="1"/>
  <c r="D124" i="1"/>
  <c r="D179" i="1"/>
  <c r="X16" i="1"/>
  <c r="Y16" i="1" s="1"/>
  <c r="O296" i="1"/>
  <c r="V234" i="1"/>
  <c r="J177" i="1"/>
  <c r="J122" i="1"/>
  <c r="L122" i="1"/>
  <c r="L177" i="1"/>
  <c r="M185" i="1"/>
  <c r="O185" i="1"/>
  <c r="I66" i="1"/>
  <c r="I79" i="1" s="1"/>
  <c r="U296" i="1"/>
  <c r="H127" i="1"/>
  <c r="E127" i="1"/>
  <c r="S127" i="1"/>
  <c r="M66" i="1"/>
  <c r="M79" i="1" s="1"/>
  <c r="R127" i="1"/>
  <c r="Q185" i="1"/>
  <c r="O178" i="1"/>
  <c r="O123" i="1"/>
  <c r="N185" i="1"/>
  <c r="N296" i="1"/>
  <c r="M296" i="1"/>
  <c r="Q296" i="1"/>
  <c r="P178" i="1"/>
  <c r="P123" i="1"/>
  <c r="J296" i="1"/>
  <c r="T136" i="1"/>
  <c r="T190" i="1"/>
  <c r="T66" i="1"/>
  <c r="L185" i="1"/>
  <c r="L127" i="1"/>
  <c r="K178" i="1"/>
  <c r="K123" i="1"/>
  <c r="U127" i="1"/>
  <c r="R296" i="1"/>
  <c r="G127" i="1"/>
  <c r="L296" i="1"/>
  <c r="F185" i="1"/>
  <c r="I185" i="1"/>
  <c r="P185" i="1"/>
  <c r="H178" i="1" l="1"/>
  <c r="R123" i="1"/>
  <c r="G123" i="1"/>
  <c r="Z226" i="1"/>
  <c r="Z227" i="1"/>
  <c r="K66" i="1"/>
  <c r="K79" i="1" s="1"/>
  <c r="V185" i="1"/>
  <c r="Q66" i="1"/>
  <c r="Q79" i="1" s="1"/>
  <c r="V66" i="1"/>
  <c r="V79" i="1" s="1"/>
  <c r="E185" i="1"/>
  <c r="S185" i="1"/>
  <c r="L300" i="1"/>
  <c r="L302" i="1" s="1"/>
  <c r="J300" i="1"/>
  <c r="J302" i="1" s="1"/>
  <c r="N65" i="1"/>
  <c r="N78" i="1" s="1"/>
  <c r="U66" i="1"/>
  <c r="U79" i="1" s="1"/>
  <c r="F178" i="1"/>
  <c r="F123" i="1"/>
  <c r="G177" i="1"/>
  <c r="G122" i="1"/>
  <c r="C179" i="1"/>
  <c r="Z179" i="1" s="1"/>
  <c r="T65" i="1"/>
  <c r="T125" i="1"/>
  <c r="T180" i="1"/>
  <c r="H177" i="1"/>
  <c r="H122" i="1"/>
  <c r="N177" i="1"/>
  <c r="N122" i="1"/>
  <c r="R65" i="1"/>
  <c r="R78" i="1" s="1"/>
  <c r="C124" i="1"/>
  <c r="Z124" i="1" s="1"/>
  <c r="T234" i="1"/>
  <c r="T173" i="1"/>
  <c r="S66" i="1"/>
  <c r="S79" i="1" s="1"/>
  <c r="I300" i="1"/>
  <c r="I302" i="1" s="1"/>
  <c r="R185" i="1"/>
  <c r="L125" i="1"/>
  <c r="L180" i="1"/>
  <c r="U123" i="1"/>
  <c r="U178" i="1"/>
  <c r="R122" i="1"/>
  <c r="R177" i="1"/>
  <c r="Q178" i="1"/>
  <c r="Q123" i="1"/>
  <c r="K300" i="1"/>
  <c r="K302" i="1" s="1"/>
  <c r="L66" i="1"/>
  <c r="L79" i="1" s="1"/>
  <c r="H66" i="1"/>
  <c r="H79" i="1" s="1"/>
  <c r="I123" i="1"/>
  <c r="I178" i="1"/>
  <c r="H185" i="1"/>
  <c r="N300" i="1"/>
  <c r="N302" i="1" s="1"/>
  <c r="P125" i="1"/>
  <c r="P180" i="1"/>
  <c r="E178" i="1"/>
  <c r="E123" i="1"/>
  <c r="V276" i="1"/>
  <c r="L65" i="1"/>
  <c r="L78" i="1" s="1"/>
  <c r="S300" i="1"/>
  <c r="S302" i="1" s="1"/>
  <c r="F300" i="1"/>
  <c r="F302" i="1" s="1"/>
  <c r="H125" i="1"/>
  <c r="H180" i="1"/>
  <c r="P177" i="1"/>
  <c r="P122" i="1"/>
  <c r="S177" i="1"/>
  <c r="S122" i="1"/>
  <c r="K125" i="1"/>
  <c r="K180" i="1"/>
  <c r="Q300" i="1"/>
  <c r="Q302" i="1" s="1"/>
  <c r="O180" i="1"/>
  <c r="O125" i="1"/>
  <c r="M180" i="1"/>
  <c r="M125" i="1"/>
  <c r="U185" i="1"/>
  <c r="G300" i="1"/>
  <c r="G302" i="1" s="1"/>
  <c r="E177" i="1"/>
  <c r="E122" i="1"/>
  <c r="M122" i="1"/>
  <c r="M177" i="1"/>
  <c r="T138" i="1"/>
  <c r="S178" i="1"/>
  <c r="S123" i="1"/>
  <c r="F66" i="1"/>
  <c r="F79" i="1" s="1"/>
  <c r="H300" i="1"/>
  <c r="H302" i="1" s="1"/>
  <c r="O122" i="1"/>
  <c r="O177" i="1"/>
  <c r="M300" i="1"/>
  <c r="M302" i="1" s="1"/>
  <c r="U300" i="1"/>
  <c r="U302" i="1" s="1"/>
  <c r="O300" i="1"/>
  <c r="O302" i="1" s="1"/>
  <c r="G185" i="1"/>
  <c r="E66" i="1"/>
  <c r="E79" i="1" s="1"/>
  <c r="G125" i="1"/>
  <c r="G180" i="1"/>
  <c r="V125" i="1"/>
  <c r="V180" i="1"/>
  <c r="R300" i="1"/>
  <c r="R302" i="1" s="1"/>
  <c r="G66" i="1"/>
  <c r="G79" i="1" s="1"/>
  <c r="G65" i="1"/>
  <c r="G78" i="1" s="1"/>
  <c r="R66" i="1"/>
  <c r="R79" i="1" s="1"/>
  <c r="P235" i="1"/>
  <c r="P237" i="1" s="1"/>
  <c r="P238" i="1" s="1"/>
  <c r="P276" i="1"/>
  <c r="U177" i="1"/>
  <c r="U122" i="1"/>
  <c r="V296" i="1" l="1"/>
  <c r="J66" i="1"/>
  <c r="J79" i="1" s="1"/>
  <c r="P65" i="1"/>
  <c r="N125" i="1"/>
  <c r="N180" i="1"/>
  <c r="N309" i="1"/>
  <c r="N313" i="1" s="1"/>
  <c r="N304" i="1"/>
  <c r="N233" i="1" s="1"/>
  <c r="T276" i="1"/>
  <c r="T235" i="1"/>
  <c r="T237" i="1" s="1"/>
  <c r="T238" i="1" s="1"/>
  <c r="U180" i="1"/>
  <c r="U125" i="1"/>
  <c r="H309" i="1"/>
  <c r="H313" i="1" s="1"/>
  <c r="H304" i="1"/>
  <c r="H233" i="1" s="1"/>
  <c r="F309" i="1"/>
  <c r="F313" i="1" s="1"/>
  <c r="F304" i="1"/>
  <c r="F233" i="1" s="1"/>
  <c r="I180" i="1"/>
  <c r="I125" i="1"/>
  <c r="O309" i="1"/>
  <c r="O313" i="1" s="1"/>
  <c r="O304" i="1"/>
  <c r="O233" i="1" s="1"/>
  <c r="M309" i="1"/>
  <c r="M313" i="1" s="1"/>
  <c r="M304" i="1"/>
  <c r="M233" i="1" s="1"/>
  <c r="D123" i="1"/>
  <c r="C123" i="1" s="1"/>
  <c r="Z123" i="1" s="1"/>
  <c r="X15" i="1"/>
  <c r="Y15" i="1" s="1"/>
  <c r="D178" i="1"/>
  <c r="C178" i="1" s="1"/>
  <c r="Z178" i="1" s="1"/>
  <c r="I65" i="1"/>
  <c r="I78" i="1" s="1"/>
  <c r="R304" i="1"/>
  <c r="R233" i="1" s="1"/>
  <c r="R309" i="1"/>
  <c r="R313" i="1" s="1"/>
  <c r="S309" i="1"/>
  <c r="S313" i="1" s="1"/>
  <c r="S304" i="1"/>
  <c r="S233" i="1" s="1"/>
  <c r="S65" i="1"/>
  <c r="S78" i="1" s="1"/>
  <c r="Q65" i="1"/>
  <c r="Q78" i="1" s="1"/>
  <c r="J309" i="1"/>
  <c r="J313" i="1" s="1"/>
  <c r="J304" i="1"/>
  <c r="J233" i="1" s="1"/>
  <c r="U65" i="1"/>
  <c r="U78" i="1" s="1"/>
  <c r="U309" i="1"/>
  <c r="U313" i="1" s="1"/>
  <c r="U304" i="1"/>
  <c r="U233" i="1" s="1"/>
  <c r="R125" i="1"/>
  <c r="R180" i="1"/>
  <c r="F65" i="1"/>
  <c r="F78" i="1" s="1"/>
  <c r="G309" i="1"/>
  <c r="G313" i="1" s="1"/>
  <c r="G304" i="1"/>
  <c r="G233" i="1" s="1"/>
  <c r="E65" i="1"/>
  <c r="E78" i="1" s="1"/>
  <c r="F125" i="1"/>
  <c r="F180" i="1"/>
  <c r="Q177" i="1"/>
  <c r="Q122" i="1"/>
  <c r="O65" i="1"/>
  <c r="O78" i="1" s="1"/>
  <c r="Q304" i="1"/>
  <c r="Q233" i="1" s="1"/>
  <c r="Q309" i="1"/>
  <c r="Q313" i="1" s="1"/>
  <c r="X25" i="1"/>
  <c r="Y25" i="1" s="1"/>
  <c r="D67" i="1"/>
  <c r="D80" i="1" s="1"/>
  <c r="I304" i="1"/>
  <c r="I233" i="1" s="1"/>
  <c r="I309" i="1"/>
  <c r="I313" i="1" s="1"/>
  <c r="L309" i="1"/>
  <c r="L313" i="1" s="1"/>
  <c r="L304" i="1"/>
  <c r="L233" i="1" s="1"/>
  <c r="M65" i="1"/>
  <c r="M78" i="1" s="1"/>
  <c r="V65" i="1"/>
  <c r="V78" i="1" s="1"/>
  <c r="D189" i="1"/>
  <c r="X12" i="1"/>
  <c r="Y12" i="1" s="1"/>
  <c r="K309" i="1"/>
  <c r="K313" i="1" s="1"/>
  <c r="K304" i="1"/>
  <c r="K233" i="1" s="1"/>
  <c r="J125" i="1"/>
  <c r="J180" i="1"/>
  <c r="E125" i="1"/>
  <c r="E180" i="1"/>
  <c r="Q180" i="1"/>
  <c r="Q125" i="1"/>
  <c r="V177" i="1"/>
  <c r="V122" i="1"/>
  <c r="S125" i="1"/>
  <c r="S180" i="1"/>
  <c r="H65" i="1"/>
  <c r="V304" i="1" l="1"/>
  <c r="V233" i="1" s="1"/>
  <c r="D180" i="1"/>
  <c r="X17" i="1"/>
  <c r="Y17" i="1" s="1"/>
  <c r="D125" i="1"/>
  <c r="C125" i="1" s="1"/>
  <c r="Z125" i="1" s="1"/>
  <c r="L171" i="1"/>
  <c r="L173" i="1" s="1"/>
  <c r="L235" i="1"/>
  <c r="L237" i="1" s="1"/>
  <c r="L238" i="1" s="1"/>
  <c r="D177" i="1"/>
  <c r="D122" i="1"/>
  <c r="X14" i="1"/>
  <c r="Y14" i="1" s="1"/>
  <c r="H235" i="1"/>
  <c r="H237" i="1" s="1"/>
  <c r="H238" i="1" s="1"/>
  <c r="H171" i="1"/>
  <c r="H173" i="1" s="1"/>
  <c r="S171" i="1"/>
  <c r="S173" i="1" s="1"/>
  <c r="S235" i="1"/>
  <c r="S237" i="1" s="1"/>
  <c r="S238" i="1" s="1"/>
  <c r="X20" i="1"/>
  <c r="Y20" i="1" s="1"/>
  <c r="J235" i="1"/>
  <c r="J237" i="1" s="1"/>
  <c r="J238" i="1" s="1"/>
  <c r="J171" i="1"/>
  <c r="J173" i="1" s="1"/>
  <c r="M171" i="1"/>
  <c r="M173" i="1" s="1"/>
  <c r="M235" i="1"/>
  <c r="M237" i="1" s="1"/>
  <c r="M238" i="1" s="1"/>
  <c r="G235" i="1"/>
  <c r="G237" i="1" s="1"/>
  <c r="G238" i="1" s="1"/>
  <c r="G171" i="1"/>
  <c r="G173" i="1" s="1"/>
  <c r="D66" i="1"/>
  <c r="D79" i="1" s="1"/>
  <c r="X24" i="1"/>
  <c r="Y24" i="1" s="1"/>
  <c r="I235" i="1"/>
  <c r="I237" i="1" s="1"/>
  <c r="I238" i="1" s="1"/>
  <c r="I171" i="1"/>
  <c r="I173" i="1" s="1"/>
  <c r="U235" i="1"/>
  <c r="U237" i="1" s="1"/>
  <c r="U238" i="1" s="1"/>
  <c r="U171" i="1"/>
  <c r="U173" i="1" s="1"/>
  <c r="T296" i="1"/>
  <c r="K235" i="1"/>
  <c r="K237" i="1" s="1"/>
  <c r="K238" i="1" s="1"/>
  <c r="K171" i="1"/>
  <c r="K173" i="1" s="1"/>
  <c r="O235" i="1"/>
  <c r="O237" i="1" s="1"/>
  <c r="O238" i="1" s="1"/>
  <c r="O171" i="1"/>
  <c r="O173" i="1" s="1"/>
  <c r="F235" i="1"/>
  <c r="F237" i="1" s="1"/>
  <c r="F238" i="1" s="1"/>
  <c r="F171" i="1"/>
  <c r="F173" i="1" s="1"/>
  <c r="D136" i="1"/>
  <c r="C189" i="1"/>
  <c r="C136" i="1" s="1"/>
  <c r="Q235" i="1"/>
  <c r="Q237" i="1" s="1"/>
  <c r="Q238" i="1" s="1"/>
  <c r="Q171" i="1"/>
  <c r="Q173" i="1" s="1"/>
  <c r="R235" i="1"/>
  <c r="R237" i="1" s="1"/>
  <c r="R238" i="1" s="1"/>
  <c r="R171" i="1"/>
  <c r="R173" i="1" s="1"/>
  <c r="N235" i="1"/>
  <c r="N237" i="1" s="1"/>
  <c r="N238" i="1" s="1"/>
  <c r="N171" i="1"/>
  <c r="N173" i="1" s="1"/>
  <c r="V171" i="1" l="1"/>
  <c r="V173" i="1" s="1"/>
  <c r="V235" i="1"/>
  <c r="Z189" i="1"/>
  <c r="C65" i="1"/>
  <c r="X22" i="1"/>
  <c r="Y22" i="1" s="1"/>
  <c r="D74" i="1"/>
  <c r="D172" i="1"/>
  <c r="D234" i="1" s="1"/>
  <c r="C74" i="1"/>
  <c r="C172" i="1"/>
  <c r="L131" i="1"/>
  <c r="K131" i="1"/>
  <c r="E131" i="1"/>
  <c r="P131" i="1"/>
  <c r="N131" i="1"/>
  <c r="I131" i="1"/>
  <c r="V131" i="1"/>
  <c r="Q131" i="1"/>
  <c r="S131" i="1"/>
  <c r="U131" i="1"/>
  <c r="R131" i="1"/>
  <c r="M131" i="1"/>
  <c r="H131" i="1"/>
  <c r="O131" i="1"/>
  <c r="G131" i="1"/>
  <c r="F131" i="1"/>
  <c r="J131" i="1"/>
  <c r="T131" i="1"/>
  <c r="D127" i="1"/>
  <c r="C127" i="1" s="1"/>
  <c r="Z127" i="1" s="1"/>
  <c r="X19" i="1"/>
  <c r="Y19" i="1" s="1"/>
  <c r="Z136" i="1"/>
  <c r="D131" i="1"/>
  <c r="C180" i="1"/>
  <c r="Z180" i="1" s="1"/>
  <c r="C122" i="1"/>
  <c r="Z122" i="1" s="1"/>
  <c r="C177" i="1"/>
  <c r="Z177" i="1" s="1"/>
  <c r="D185" i="1"/>
  <c r="C185" i="1" s="1"/>
  <c r="Z185" i="1" s="1"/>
  <c r="X21" i="1"/>
  <c r="Y21" i="1" s="1"/>
  <c r="V237" i="1" l="1"/>
  <c r="V238" i="1" s="1"/>
  <c r="Y275" i="1"/>
  <c r="D276" i="1"/>
  <c r="C234" i="1"/>
  <c r="C276" i="1" s="1"/>
  <c r="Z131" i="1"/>
  <c r="X23" i="1"/>
  <c r="Y23" i="1" s="1"/>
  <c r="D65" i="1"/>
  <c r="D78" i="1" s="1"/>
  <c r="C69" i="1"/>
  <c r="C73" i="1" s="1"/>
  <c r="C75" i="1" s="1"/>
  <c r="C78" i="1"/>
  <c r="Z172" i="1"/>
  <c r="Z234" i="1" l="1"/>
  <c r="D296" i="1"/>
  <c r="Y276" i="1"/>
  <c r="F410" i="1"/>
  <c r="G410" i="1" s="1"/>
  <c r="E404" i="1" s="1"/>
  <c r="C296" i="1"/>
  <c r="Y296" i="1" l="1"/>
  <c r="E405" i="1"/>
  <c r="F404" i="1"/>
  <c r="D300" i="1"/>
  <c r="D302" i="1" s="1"/>
  <c r="D309" i="1" l="1"/>
  <c r="D313" i="1" s="1"/>
  <c r="E302" i="1"/>
  <c r="D304" i="1"/>
  <c r="E181" i="1"/>
  <c r="E182" i="1" s="1"/>
  <c r="E126" i="1"/>
  <c r="E128" i="1" s="1"/>
  <c r="E133" i="1" s="1"/>
  <c r="E138" i="1" s="1"/>
  <c r="E229" i="1" s="1"/>
  <c r="Q68" i="1"/>
  <c r="Q69" i="1" s="1"/>
  <c r="Q73" i="1" s="1"/>
  <c r="Q75" i="1" s="1"/>
  <c r="K68" i="1"/>
  <c r="K69" i="1" s="1"/>
  <c r="K73" i="1" s="1"/>
  <c r="K75" i="1" s="1"/>
  <c r="V181" i="1"/>
  <c r="V182" i="1" s="1"/>
  <c r="V126" i="1"/>
  <c r="V128" i="1" s="1"/>
  <c r="V133" i="1" s="1"/>
  <c r="V138" i="1" s="1"/>
  <c r="V229" i="1" s="1"/>
  <c r="K181" i="1"/>
  <c r="K182" i="1" s="1"/>
  <c r="K126" i="1"/>
  <c r="K128" i="1" s="1"/>
  <c r="K133" i="1" s="1"/>
  <c r="K138" i="1" s="1"/>
  <c r="K229" i="1" s="1"/>
  <c r="T68" i="1"/>
  <c r="T69" i="1" s="1"/>
  <c r="T73" i="1" s="1"/>
  <c r="T75" i="1" s="1"/>
  <c r="R68" i="1"/>
  <c r="R69" i="1" s="1"/>
  <c r="R73" i="1" s="1"/>
  <c r="R75" i="1" s="1"/>
  <c r="Q126" i="1"/>
  <c r="Q128" i="1" s="1"/>
  <c r="Q133" i="1" s="1"/>
  <c r="Q138" i="1" s="1"/>
  <c r="Q229" i="1" s="1"/>
  <c r="Q181" i="1"/>
  <c r="Q182" i="1" s="1"/>
  <c r="M181" i="1"/>
  <c r="M182" i="1" s="1"/>
  <c r="M126" i="1"/>
  <c r="M128" i="1" s="1"/>
  <c r="M133" i="1" s="1"/>
  <c r="M138" i="1" s="1"/>
  <c r="M229" i="1" s="1"/>
  <c r="R181" i="1"/>
  <c r="R182" i="1" s="1"/>
  <c r="R126" i="1"/>
  <c r="R128" i="1" s="1"/>
  <c r="R133" i="1" s="1"/>
  <c r="R138" i="1" s="1"/>
  <c r="R229" i="1" s="1"/>
  <c r="L181" i="1"/>
  <c r="L182" i="1" s="1"/>
  <c r="L126" i="1"/>
  <c r="L128" i="1" s="1"/>
  <c r="L133" i="1" s="1"/>
  <c r="L138" i="1" s="1"/>
  <c r="L229" i="1" s="1"/>
  <c r="P126" i="1"/>
  <c r="P128" i="1" s="1"/>
  <c r="P133" i="1" s="1"/>
  <c r="P138" i="1" s="1"/>
  <c r="P229" i="1" s="1"/>
  <c r="P181" i="1"/>
  <c r="P182" i="1" s="1"/>
  <c r="H68" i="1"/>
  <c r="H69" i="1" s="1"/>
  <c r="H73" i="1" s="1"/>
  <c r="H75" i="1" s="1"/>
  <c r="E68" i="1"/>
  <c r="E69" i="1" s="1"/>
  <c r="E73" i="1" s="1"/>
  <c r="E75" i="1" s="1"/>
  <c r="F181" i="1"/>
  <c r="F182" i="1" s="1"/>
  <c r="F126" i="1"/>
  <c r="F128" i="1" s="1"/>
  <c r="F133" i="1" s="1"/>
  <c r="F138" i="1" s="1"/>
  <c r="F229" i="1" s="1"/>
  <c r="O68" i="1"/>
  <c r="O69" i="1" s="1"/>
  <c r="O73" i="1" s="1"/>
  <c r="O75" i="1" s="1"/>
  <c r="L68" i="1"/>
  <c r="L69" i="1" s="1"/>
  <c r="L73" i="1" s="1"/>
  <c r="L75" i="1" s="1"/>
  <c r="U181" i="1"/>
  <c r="U182" i="1" s="1"/>
  <c r="U126" i="1"/>
  <c r="U128" i="1" s="1"/>
  <c r="U133" i="1" s="1"/>
  <c r="U138" i="1" s="1"/>
  <c r="U229" i="1" s="1"/>
  <c r="P68" i="1"/>
  <c r="P69" i="1" s="1"/>
  <c r="P73" i="1" s="1"/>
  <c r="P75" i="1" s="1"/>
  <c r="H126" i="1"/>
  <c r="H128" i="1" s="1"/>
  <c r="H133" i="1" s="1"/>
  <c r="H138" i="1" s="1"/>
  <c r="H229" i="1" s="1"/>
  <c r="H181" i="1"/>
  <c r="H182" i="1" s="1"/>
  <c r="J126" i="1"/>
  <c r="J128" i="1" s="1"/>
  <c r="J133" i="1" s="1"/>
  <c r="J138" i="1" s="1"/>
  <c r="J229" i="1" s="1"/>
  <c r="J181" i="1"/>
  <c r="J182" i="1" s="1"/>
  <c r="S68" i="1"/>
  <c r="S69" i="1" s="1"/>
  <c r="S73" i="1" s="1"/>
  <c r="S75" i="1" s="1"/>
  <c r="O181" i="1"/>
  <c r="O182" i="1" s="1"/>
  <c r="O126" i="1"/>
  <c r="O128" i="1" s="1"/>
  <c r="O133" i="1" s="1"/>
  <c r="O138" i="1" s="1"/>
  <c r="O229" i="1" s="1"/>
  <c r="N126" i="1"/>
  <c r="N128" i="1" s="1"/>
  <c r="N133" i="1" s="1"/>
  <c r="N138" i="1" s="1"/>
  <c r="N229" i="1" s="1"/>
  <c r="N181" i="1"/>
  <c r="N182" i="1" s="1"/>
  <c r="U68" i="1"/>
  <c r="U69" i="1" s="1"/>
  <c r="U73" i="1" s="1"/>
  <c r="U75" i="1" s="1"/>
  <c r="V68" i="1"/>
  <c r="V69" i="1" s="1"/>
  <c r="V73" i="1" s="1"/>
  <c r="V75" i="1" s="1"/>
  <c r="F68" i="1"/>
  <c r="F69" i="1" s="1"/>
  <c r="F73" i="1" s="1"/>
  <c r="F75" i="1" s="1"/>
  <c r="J68" i="1"/>
  <c r="J69" i="1" s="1"/>
  <c r="J73" i="1" s="1"/>
  <c r="J75" i="1" s="1"/>
  <c r="G68" i="1"/>
  <c r="G69" i="1" s="1"/>
  <c r="G73" i="1" s="1"/>
  <c r="G75" i="1" s="1"/>
  <c r="S126" i="1"/>
  <c r="S128" i="1" s="1"/>
  <c r="S133" i="1" s="1"/>
  <c r="S138" i="1" s="1"/>
  <c r="S229" i="1" s="1"/>
  <c r="S181" i="1"/>
  <c r="S182" i="1" s="1"/>
  <c r="N68" i="1"/>
  <c r="N69" i="1" s="1"/>
  <c r="N73" i="1" s="1"/>
  <c r="N75" i="1" s="1"/>
  <c r="E406" i="1"/>
  <c r="F406" i="1" s="1"/>
  <c r="F405" i="1"/>
  <c r="I68" i="1"/>
  <c r="I69" i="1" s="1"/>
  <c r="I73" i="1" s="1"/>
  <c r="I75" i="1" s="1"/>
  <c r="T126" i="1"/>
  <c r="T128" i="1" s="1"/>
  <c r="T133" i="1" s="1"/>
  <c r="T229" i="1" s="1"/>
  <c r="T181" i="1"/>
  <c r="T182" i="1" s="1"/>
  <c r="G126" i="1"/>
  <c r="G128" i="1" s="1"/>
  <c r="G133" i="1" s="1"/>
  <c r="G138" i="1" s="1"/>
  <c r="G229" i="1" s="1"/>
  <c r="G181" i="1"/>
  <c r="G182" i="1" s="1"/>
  <c r="M68" i="1"/>
  <c r="M69" i="1" s="1"/>
  <c r="M73" i="1" s="1"/>
  <c r="M75" i="1" s="1"/>
  <c r="I126" i="1"/>
  <c r="I128" i="1" s="1"/>
  <c r="I133" i="1" s="1"/>
  <c r="I138" i="1" s="1"/>
  <c r="I229" i="1" s="1"/>
  <c r="I181" i="1"/>
  <c r="I182" i="1" s="1"/>
  <c r="F407" i="1" l="1"/>
  <c r="F409" i="1" s="1"/>
  <c r="J184" i="1"/>
  <c r="J187" i="1"/>
  <c r="J190" i="1" s="1"/>
  <c r="J240" i="1" s="1"/>
  <c r="F184" i="1"/>
  <c r="F187" i="1"/>
  <c r="F190" i="1" s="1"/>
  <c r="F240" i="1" s="1"/>
  <c r="L187" i="1"/>
  <c r="L190" i="1" s="1"/>
  <c r="L240" i="1" s="1"/>
  <c r="L184" i="1"/>
  <c r="N187" i="1"/>
  <c r="N190" i="1" s="1"/>
  <c r="N240" i="1" s="1"/>
  <c r="N184" i="1"/>
  <c r="I187" i="1"/>
  <c r="I190" i="1" s="1"/>
  <c r="I240" i="1" s="1"/>
  <c r="I184" i="1"/>
  <c r="U184" i="1"/>
  <c r="U187" i="1"/>
  <c r="U190" i="1" s="1"/>
  <c r="U240" i="1" s="1"/>
  <c r="R184" i="1"/>
  <c r="R187" i="1"/>
  <c r="R190" i="1" s="1"/>
  <c r="R240" i="1" s="1"/>
  <c r="G184" i="1"/>
  <c r="G187" i="1"/>
  <c r="G190" i="1" s="1"/>
  <c r="G240" i="1" s="1"/>
  <c r="T187" i="1"/>
  <c r="T240" i="1" s="1"/>
  <c r="T184" i="1"/>
  <c r="X18" i="1"/>
  <c r="Y18" i="1" s="1"/>
  <c r="D181" i="1"/>
  <c r="D126" i="1"/>
  <c r="O187" i="1"/>
  <c r="O190" i="1" s="1"/>
  <c r="O240" i="1" s="1"/>
  <c r="O184" i="1"/>
  <c r="M187" i="1"/>
  <c r="M190" i="1" s="1"/>
  <c r="M240" i="1" s="1"/>
  <c r="M184" i="1"/>
  <c r="K187" i="1"/>
  <c r="K190" i="1" s="1"/>
  <c r="K240" i="1" s="1"/>
  <c r="K184" i="1"/>
  <c r="D233" i="1"/>
  <c r="S184" i="1"/>
  <c r="S187" i="1"/>
  <c r="S190" i="1" s="1"/>
  <c r="S240" i="1" s="1"/>
  <c r="H187" i="1"/>
  <c r="H190" i="1" s="1"/>
  <c r="H240" i="1" s="1"/>
  <c r="H184" i="1"/>
  <c r="P187" i="1"/>
  <c r="P190" i="1" s="1"/>
  <c r="P240" i="1" s="1"/>
  <c r="P184" i="1"/>
  <c r="Q187" i="1"/>
  <c r="Q190" i="1" s="1"/>
  <c r="Q240" i="1" s="1"/>
  <c r="Q184" i="1"/>
  <c r="E309" i="1"/>
  <c r="E313" i="1" s="1"/>
  <c r="E304" i="1"/>
  <c r="E233" i="1" s="1"/>
  <c r="V184" i="1"/>
  <c r="V187" i="1"/>
  <c r="V190" i="1" s="1"/>
  <c r="V240" i="1" s="1"/>
  <c r="C304" i="1" l="1"/>
  <c r="Y304" i="1" s="1"/>
  <c r="D68" i="1"/>
  <c r="D69" i="1" s="1"/>
  <c r="D73" i="1" s="1"/>
  <c r="D75" i="1" s="1"/>
  <c r="X26" i="1"/>
  <c r="Y26" i="1" s="1"/>
  <c r="C126" i="1"/>
  <c r="C128" i="1" s="1"/>
  <c r="C133" i="1" s="1"/>
  <c r="C138" i="1" s="1"/>
  <c r="C229" i="1" s="1"/>
  <c r="D128" i="1"/>
  <c r="C181" i="1"/>
  <c r="C182" i="1" s="1"/>
  <c r="D182" i="1"/>
  <c r="E235" i="1"/>
  <c r="E237" i="1" s="1"/>
  <c r="E238" i="1" s="1"/>
  <c r="E171" i="1"/>
  <c r="E173" i="1" s="1"/>
  <c r="D171" i="1"/>
  <c r="D235" i="1"/>
  <c r="C233" i="1"/>
  <c r="Z233" i="1" s="1"/>
  <c r="Z182" i="1" l="1"/>
  <c r="Z181" i="1"/>
  <c r="Z126" i="1"/>
  <c r="Z128" i="1"/>
  <c r="D133" i="1"/>
  <c r="C235" i="1"/>
  <c r="C237" i="1" s="1"/>
  <c r="C171" i="1"/>
  <c r="C173" i="1" s="1"/>
  <c r="C230" i="1"/>
  <c r="M230" i="1"/>
  <c r="E230" i="1"/>
  <c r="K230" i="1"/>
  <c r="N230" i="1"/>
  <c r="I230" i="1"/>
  <c r="S230" i="1"/>
  <c r="G230" i="1"/>
  <c r="H230" i="1"/>
  <c r="V230" i="1"/>
  <c r="F230" i="1"/>
  <c r="T230" i="1"/>
  <c r="P230" i="1"/>
  <c r="L230" i="1"/>
  <c r="Q230" i="1"/>
  <c r="J230" i="1"/>
  <c r="U230" i="1"/>
  <c r="R230" i="1"/>
  <c r="O230" i="1"/>
  <c r="D237" i="1"/>
  <c r="E187" i="1"/>
  <c r="E190" i="1" s="1"/>
  <c r="E240" i="1" s="1"/>
  <c r="E184" i="1"/>
  <c r="D173" i="1"/>
  <c r="Z171" i="1" l="1"/>
  <c r="Z173" i="1"/>
  <c r="D187" i="1"/>
  <c r="D184" i="1"/>
  <c r="C184" i="1"/>
  <c r="C187" i="1"/>
  <c r="C190" i="1" s="1"/>
  <c r="C240" i="1" s="1"/>
  <c r="C238" i="1"/>
  <c r="D138" i="1"/>
  <c r="D229" i="1" s="1"/>
  <c r="D230" i="1" s="1"/>
  <c r="Z133" i="1"/>
  <c r="D238" i="1"/>
  <c r="Z237" i="1"/>
  <c r="Z235" i="1"/>
  <c r="D190" i="1" l="1"/>
  <c r="D240" i="1" s="1"/>
  <c r="D241" i="1" s="1"/>
  <c r="Z187" i="1"/>
  <c r="C241" i="1"/>
  <c r="S241" i="1"/>
  <c r="K241" i="1"/>
  <c r="V241" i="1"/>
  <c r="L241" i="1"/>
  <c r="T241" i="1"/>
  <c r="O241" i="1"/>
  <c r="R241" i="1"/>
  <c r="Q241" i="1"/>
  <c r="H241" i="1"/>
  <c r="J241" i="1"/>
  <c r="P241" i="1"/>
  <c r="F241" i="1"/>
  <c r="M241" i="1"/>
  <c r="U241" i="1"/>
  <c r="N241" i="1"/>
  <c r="G241" i="1"/>
  <c r="I241" i="1"/>
  <c r="E241" i="1"/>
  <c r="Z184" i="1"/>
</calcChain>
</file>

<file path=xl/sharedStrings.xml><?xml version="1.0" encoding="utf-8"?>
<sst xmlns="http://schemas.openxmlformats.org/spreadsheetml/2006/main" count="673" uniqueCount="282">
  <si>
    <t>SCHEDULE H-1</t>
  </si>
  <si>
    <t>FLORIDA PUBLIC SERVICE COMMISSION</t>
  </si>
  <si>
    <t>TYPE OF DATA SHOWN:</t>
  </si>
  <si>
    <t>SUMMARY</t>
  </si>
  <si>
    <t>ATTRITION</t>
  </si>
  <si>
    <t>O&amp;M</t>
  </si>
  <si>
    <t>DEPRECIATION</t>
  </si>
  <si>
    <t>AMORTIZATION EXPENSES</t>
  </si>
  <si>
    <t>TAXES OTHER THAN INCOME - OTHER</t>
  </si>
  <si>
    <t>TAXES OTHER THAN INCOME - REV. RELATED</t>
  </si>
  <si>
    <t>INCOME TAXES TOTAL</t>
  </si>
  <si>
    <t>REVENUE CREDITED TO COS:</t>
  </si>
  <si>
    <t>TOTAL COST - CUSTOMER</t>
  </si>
  <si>
    <t>TOTAL COST - CAPACITY</t>
  </si>
  <si>
    <t>TOTAL COST - COMMODITY</t>
  </si>
  <si>
    <t>TOTAL COST - REVENUE</t>
  </si>
  <si>
    <t>NO. OF CUSTOMERS</t>
  </si>
  <si>
    <t>PEAK MONTH SALES</t>
  </si>
  <si>
    <t>ANNUAL SALES</t>
  </si>
  <si>
    <t>TOTAL</t>
  </si>
  <si>
    <t>CUSTOMER COSTS</t>
  </si>
  <si>
    <t>CAPACITY COSTS</t>
  </si>
  <si>
    <t>COMMODITY COSTS</t>
  </si>
  <si>
    <t>REVENUE COSTS</t>
  </si>
  <si>
    <t xml:space="preserve">   TOTAL</t>
  </si>
  <si>
    <t>less:REVENUE AT PRESENT RATES</t>
  </si>
  <si>
    <t xml:space="preserve">   (in the projected test year)</t>
  </si>
  <si>
    <t>equals: GAS SALES REVENUE DEFICIENCY</t>
  </si>
  <si>
    <t>equals:TOTAL BASE-REVENUE DEFICIENCY</t>
  </si>
  <si>
    <t>UNIT COSTS:</t>
  </si>
  <si>
    <t xml:space="preserve">   Customer</t>
  </si>
  <si>
    <t xml:space="preserve">   Capacity</t>
  </si>
  <si>
    <t xml:space="preserve">   Commodity</t>
  </si>
  <si>
    <t>REVENUES: (projected test year)</t>
  </si>
  <si>
    <t xml:space="preserve">   Other Operating Revenue</t>
  </si>
  <si>
    <t xml:space="preserve">   Total</t>
  </si>
  <si>
    <t>EXPENSES:</t>
  </si>
  <si>
    <t xml:space="preserve">   Purchased Gas Cost</t>
  </si>
  <si>
    <t xml:space="preserve">   O&amp;M Expenses</t>
  </si>
  <si>
    <t xml:space="preserve">   Depreciation Expenses</t>
  </si>
  <si>
    <t xml:space="preserve">   Amortization Expenses</t>
  </si>
  <si>
    <t xml:space="preserve">   Taxes Other Than Income--Fixed</t>
  </si>
  <si>
    <t xml:space="preserve">   Taxes Other Than Income--Revenue</t>
  </si>
  <si>
    <t>INCOME TAXES:</t>
  </si>
  <si>
    <t>NET OPERATING INCOME:</t>
  </si>
  <si>
    <t>RATE BASE:</t>
  </si>
  <si>
    <t>RATE OF RETURN</t>
  </si>
  <si>
    <t>REVENUES:</t>
  </si>
  <si>
    <t xml:space="preserve">   Gas Sales</t>
  </si>
  <si>
    <t>PRE TAX NOI:</t>
  </si>
  <si>
    <t xml:space="preserve">   OTHER OPERATING REVENUE</t>
  </si>
  <si>
    <t xml:space="preserve">   RATE OF RETURN</t>
  </si>
  <si>
    <t xml:space="preserve">   INDEX</t>
  </si>
  <si>
    <t xml:space="preserve">   GAS SALES</t>
  </si>
  <si>
    <t xml:space="preserve">   TOTAL REVENUE INCREASE</t>
  </si>
  <si>
    <t xml:space="preserve">   PERCENT INCREASE</t>
  </si>
  <si>
    <t>PROPOSED TOTAL TARGET REVENUES</t>
  </si>
  <si>
    <t>LESS:CUSTOMER CHARGE REVENUES</t>
  </si>
  <si>
    <t xml:space="preserve">   PROPOSED CUSTOMER CHARGES</t>
  </si>
  <si>
    <t>DIVIDED BY:NUMBER OF THERMS</t>
  </si>
  <si>
    <t xml:space="preserve">   CUSTOMER CHARGES</t>
  </si>
  <si>
    <t xml:space="preserve">   ENERGY CHARGES</t>
  </si>
  <si>
    <t xml:space="preserve">     NON-GAS (CENTS PER THERM)</t>
  </si>
  <si>
    <t xml:space="preserve">     PURCHASED GAS ADJUSTMENT</t>
  </si>
  <si>
    <t xml:space="preserve">     TOTAL (INCLUDING PGA)</t>
  </si>
  <si>
    <t>SUPPORTING SCHEDULES:  E-2 p.1, E-3 p.1-6, H-1 p.2</t>
  </si>
  <si>
    <t>RATE BASE</t>
  </si>
  <si>
    <t>PRESENT REVENUE</t>
  </si>
  <si>
    <t>PROPOSED REVENUE</t>
  </si>
  <si>
    <t xml:space="preserve">     NUMBER OF BILLS</t>
  </si>
  <si>
    <t>LINE NO.</t>
  </si>
  <si>
    <t>COMPANY:  PEOPLES GAS SYSTEM</t>
  </si>
  <si>
    <t>RESIDENTIAL</t>
  </si>
  <si>
    <t>COMMERCIAL</t>
  </si>
  <si>
    <t>STREET</t>
  </si>
  <si>
    <t>SMALL GENERAL</t>
  </si>
  <si>
    <t>GENERAL</t>
  </si>
  <si>
    <t>LIGHTING</t>
  </si>
  <si>
    <t>SERVICE</t>
  </si>
  <si>
    <t>SERVICE 1</t>
  </si>
  <si>
    <t>SERVICE 2</t>
  </si>
  <si>
    <t>SERVICE 3</t>
  </si>
  <si>
    <t>SERVICE 4</t>
  </si>
  <si>
    <t>INTERRUPTIBLE</t>
  </si>
  <si>
    <t>VEHICLE</t>
  </si>
  <si>
    <t>WHOLESALE</t>
  </si>
  <si>
    <t>SERVICE 5</t>
  </si>
  <si>
    <t>LARGE VOLUME</t>
  </si>
  <si>
    <t>GAS SALES</t>
  </si>
  <si>
    <t>INTERRUPTIBLE SERVICE</t>
  </si>
  <si>
    <t>TEMPORARY DISCONNECT CHARGE</t>
  </si>
  <si>
    <t>RETURN CHECK CHARGE</t>
  </si>
  <si>
    <t>FAILED TRIP CHARGE</t>
  </si>
  <si>
    <t>IT ADMINISTRATION CHARGE</t>
  </si>
  <si>
    <t>SGS</t>
  </si>
  <si>
    <t>SIS</t>
  </si>
  <si>
    <t>CSLS</t>
  </si>
  <si>
    <t>IS</t>
  </si>
  <si>
    <t>ISLV</t>
  </si>
  <si>
    <t>NGV</t>
  </si>
  <si>
    <t>WHS</t>
  </si>
  <si>
    <t>SC</t>
  </si>
  <si>
    <t>LESS:OTHER OPERATING REVENUE</t>
  </si>
  <si>
    <t>FORFEITED DISCOUNTS</t>
  </si>
  <si>
    <t>COST OF SERVICE</t>
  </si>
  <si>
    <t>RATE OF RETURN BY CUSTOMER CLASS</t>
  </si>
  <si>
    <t>Total</t>
  </si>
  <si>
    <t>Avg Bills</t>
  </si>
  <si>
    <t>Allocation</t>
  </si>
  <si>
    <t xml:space="preserve">   Total Expenses excl. Income Taxes</t>
  </si>
  <si>
    <t>OTHER REVENUE (RENT)</t>
  </si>
  <si>
    <t>CHECK</t>
  </si>
  <si>
    <t>RETURN</t>
  </si>
  <si>
    <t>N/A</t>
  </si>
  <si>
    <t>PROPOSED RATES</t>
  </si>
  <si>
    <t>PRESENT RATES (Projected Test Year)</t>
  </si>
  <si>
    <t xml:space="preserve">     CUST. CHARGE REV. BY RATE CLASS </t>
  </si>
  <si>
    <t>LESS:OTHER NON-THERM-RATE REV.</t>
  </si>
  <si>
    <t>EQUALS:PER-THERM TARGET REVENUE</t>
  </si>
  <si>
    <t>BASE RATE PER-THERM (UNROUNDED)</t>
  </si>
  <si>
    <t>BASE RATE PER-THERM (ROUNDED)</t>
  </si>
  <si>
    <t>PER-THERM-RATE REV.(RNDED RATES)</t>
  </si>
  <si>
    <t>plus:DEFICIENCY IN OTHER OPER. REV.</t>
  </si>
  <si>
    <t>GS 1</t>
  </si>
  <si>
    <t>GS 2</t>
  </si>
  <si>
    <t>GS 3</t>
  </si>
  <si>
    <t>GS 4</t>
  </si>
  <si>
    <t>GS 5</t>
  </si>
  <si>
    <t>5 Yr Op Rev Calc</t>
  </si>
  <si>
    <t>Total Company 01</t>
  </si>
  <si>
    <t>RS 1   BILLS</t>
  </si>
  <si>
    <t>CNDT  BILLS</t>
  </si>
  <si>
    <t>SGS    BILLS</t>
  </si>
  <si>
    <t>SGTS  BILLS</t>
  </si>
  <si>
    <t>GS 1    BILLS</t>
  </si>
  <si>
    <t>GTS 1  BILLS</t>
  </si>
  <si>
    <t>GS 2    BILLS</t>
  </si>
  <si>
    <t>GTS 2  BILLS</t>
  </si>
  <si>
    <t>GS 3    BILLS</t>
  </si>
  <si>
    <t>GTS 3  BILLS</t>
  </si>
  <si>
    <t>GS 4    BILLS</t>
  </si>
  <si>
    <t>GTS 4  BILLS</t>
  </si>
  <si>
    <t>GS 5    BILLS</t>
  </si>
  <si>
    <t>GTS 5  BILLS</t>
  </si>
  <si>
    <t>CSLS   BILLS</t>
  </si>
  <si>
    <t>CTSLS   BILLS</t>
  </si>
  <si>
    <t>NGVS   BILLS</t>
  </si>
  <si>
    <t>NTGV   BILLS</t>
  </si>
  <si>
    <t>WHSE   BILLS</t>
  </si>
  <si>
    <t>WHST  BILLS</t>
  </si>
  <si>
    <t>SITS     BILLS</t>
  </si>
  <si>
    <t>ITS     BILLS</t>
  </si>
  <si>
    <t>ITSLV   BILLS</t>
  </si>
  <si>
    <t>Bills</t>
  </si>
  <si>
    <t>GROUPED</t>
  </si>
  <si>
    <t>Allocation &gt;GS5</t>
  </si>
  <si>
    <t>Allocation Excl RS &amp; CSL &amp; CND</t>
  </si>
  <si>
    <t>R1 - Base January 2008</t>
  </si>
  <si>
    <t>RS 2   BILLS</t>
  </si>
  <si>
    <t>NEW COM 1  BILLS</t>
  </si>
  <si>
    <t>NEW COM 2  BILLS</t>
  </si>
  <si>
    <t>S.C.    BILLS</t>
  </si>
  <si>
    <t>WITNESS:  D. YARDLEY</t>
  </si>
  <si>
    <t>SERVICE CHARGES - PGS</t>
  </si>
  <si>
    <t>POOL MANAGER CHARGES</t>
  </si>
  <si>
    <t>Plan 2009</t>
  </si>
  <si>
    <t>RSG   BILLS</t>
  </si>
  <si>
    <t>CND    BILLS</t>
  </si>
  <si>
    <t>CSG   BILLS</t>
  </si>
  <si>
    <t>CTG   BILLS</t>
  </si>
  <si>
    <t>RS 1</t>
  </si>
  <si>
    <t xml:space="preserve">SMALL </t>
  </si>
  <si>
    <t>GENERATORS</t>
  </si>
  <si>
    <t>GAIN ON SALE OF PROPERTY</t>
  </si>
  <si>
    <t xml:space="preserve">   Gain on Sale of Property</t>
  </si>
  <si>
    <t>HEAT</t>
  </si>
  <si>
    <t>PUMP</t>
  </si>
  <si>
    <t>Res GHP</t>
  </si>
  <si>
    <t>Com GHP</t>
  </si>
  <si>
    <t>PROJECTED TEST YEAR:      12/31/21</t>
  </si>
  <si>
    <t>RSG</t>
  </si>
  <si>
    <t>CSG</t>
  </si>
  <si>
    <t>(1, 2, 3)</t>
  </si>
  <si>
    <t>Residential Bills (0-99 annual therms)</t>
  </si>
  <si>
    <t>Residential Customer Charge (0-99 annual therms)</t>
  </si>
  <si>
    <t>Residential Bills (100-249 annual therms)</t>
  </si>
  <si>
    <t>Residential Customer Charge (100-249 annual therms)</t>
  </si>
  <si>
    <t>Residential Bills (250+ annual therms)</t>
  </si>
  <si>
    <t>Residential Customer Charge (250+ annual therms)</t>
  </si>
  <si>
    <t xml:space="preserve">     PRORATED PERCENTAGE OF BILLS</t>
  </si>
  <si>
    <t>SPECIAL</t>
  </si>
  <si>
    <t>CONTRACTS</t>
  </si>
  <si>
    <t>(see lines 6-11 below)</t>
  </si>
  <si>
    <t>ACCOUNT DESCRIPTION</t>
  </si>
  <si>
    <t>WORKING BUDGET</t>
  </si>
  <si>
    <t>2021 JAN</t>
  </si>
  <si>
    <t>2021 FEB</t>
  </si>
  <si>
    <t>2021 MAR</t>
  </si>
  <si>
    <t>2021 APR</t>
  </si>
  <si>
    <t>2021 MAY</t>
  </si>
  <si>
    <t>2021 JUN</t>
  </si>
  <si>
    <t>2021 JUL</t>
  </si>
  <si>
    <t>2021 AUG</t>
  </si>
  <si>
    <t>2021 SEP</t>
  </si>
  <si>
    <t>2021 OCT</t>
  </si>
  <si>
    <t>2021 NOV</t>
  </si>
  <si>
    <t>2021 DEC</t>
  </si>
  <si>
    <t>2021 TOTAL</t>
  </si>
  <si>
    <t>OTHER OPERATING REVENUES</t>
  </si>
  <si>
    <t>LATE FEES</t>
  </si>
  <si>
    <t>Forfeited Discounts</t>
  </si>
  <si>
    <t>MISCELLANEOUS SERVICE REVENUES</t>
  </si>
  <si>
    <t>Misc Svc Rev - Residential Connect/Reconnect</t>
  </si>
  <si>
    <t>Misc Svc Rev - Commercial Connect/Reconnect</t>
  </si>
  <si>
    <t>Misc Svc Rev - Change Out</t>
  </si>
  <si>
    <t>Misc Svc Rev - Trip Charge</t>
  </si>
  <si>
    <t>Misc Svc Rev - NSF Fee</t>
  </si>
  <si>
    <t>Misc Svc Rev - Failed Trip Charge</t>
  </si>
  <si>
    <t>Misc Svc Rev - Temporary Disconnect</t>
  </si>
  <si>
    <t>Misc Svc Rev - ITS Fee</t>
  </si>
  <si>
    <t>Miscellaneous Service Revenues - Other</t>
  </si>
  <si>
    <t>RENT FROM GAS PROPERTY</t>
  </si>
  <si>
    <t>Rent Revenue</t>
  </si>
  <si>
    <t>OTHER GAS REVENUES</t>
  </si>
  <si>
    <t>Revenues from Gas Plant leased to Others</t>
  </si>
  <si>
    <t>Other Revenues - Commission on Sales Tax</t>
  </si>
  <si>
    <t>Other Revenues - Pool Mgr History Fee</t>
  </si>
  <si>
    <t>Other Revenues - Pool Mgr Administration Fee</t>
  </si>
  <si>
    <t>Other Revenues - Pool Manager Change Fee</t>
  </si>
  <si>
    <t>Other Revenues - Termination Fee</t>
  </si>
  <si>
    <t>Other Revenues - Hardee Maintenance</t>
  </si>
  <si>
    <t>Tie to E1</t>
  </si>
  <si>
    <t>CONNECTION / RECONNECT CHARGE-RESIDENTIAL</t>
  </si>
  <si>
    <t>CONNECTION / RECONNECT CHARGE-COMMERCIAL</t>
  </si>
  <si>
    <t>TRIP CHARGE</t>
  </si>
  <si>
    <t>GAS PLANT LEASED TO OTHERS</t>
  </si>
  <si>
    <t>PGA</t>
  </si>
  <si>
    <t>0-99</t>
  </si>
  <si>
    <t>100-249</t>
  </si>
  <si>
    <t>250-1999</t>
  </si>
  <si>
    <t>Therms</t>
  </si>
  <si>
    <t>Monthly Charge</t>
  </si>
  <si>
    <t>Charge</t>
  </si>
  <si>
    <t>Other Revenues - Miscellaneous</t>
  </si>
  <si>
    <t>MISSED APPOINTMENT</t>
  </si>
  <si>
    <t>ACCOUNT ACTIVATION ONLY (CHANGE OUT)</t>
  </si>
  <si>
    <t>MISCELLANEIOUS SERVICE REVENUES - OTHER</t>
  </si>
  <si>
    <t>CNG / RNG</t>
  </si>
  <si>
    <t>RNG</t>
  </si>
  <si>
    <t>DOCKET NO.:  20200051-GU</t>
  </si>
  <si>
    <t>Negotiated</t>
  </si>
  <si>
    <t>$11.40, $14.25, $19.01</t>
  </si>
  <si>
    <t>DISCONTINUED</t>
  </si>
  <si>
    <t>AMORTIZATION / MAINTENANCE</t>
  </si>
  <si>
    <t>EXPLANATION:  FULLY ALLOCATED</t>
  </si>
  <si>
    <t>EMBEDDED COST OF SERVICE STUDY</t>
  </si>
  <si>
    <t>EXPLANATION:  FULLY ALLOCTION</t>
  </si>
  <si>
    <t>REVENUE DEFICIENCY (SCHEDULE D)</t>
  </si>
  <si>
    <r>
      <t xml:space="preserve">SCHEDULE C, PAGE 1 OF 2:  </t>
    </r>
    <r>
      <rPr>
        <b/>
        <sz val="14"/>
        <rFont val="Arial"/>
        <family val="2"/>
      </rPr>
      <t>PRESENT RATES</t>
    </r>
  </si>
  <si>
    <t>EXPLANATION:  FULLY ALLOCTED</t>
  </si>
  <si>
    <r>
      <t xml:space="preserve">SCHEDULE C, PAGE 2 OF 2:   </t>
    </r>
    <r>
      <rPr>
        <b/>
        <sz val="14"/>
        <rFont val="Arial"/>
        <family val="2"/>
      </rPr>
      <t>PROPOSED RATES</t>
    </r>
  </si>
  <si>
    <t>RATE DESIGN (SCHEDULE A)</t>
  </si>
  <si>
    <t>DO NOT PRINT THIS PAGE</t>
  </si>
  <si>
    <t>PAGE 13 OF 13</t>
  </si>
  <si>
    <t>PAGE 12 OF 13</t>
  </si>
  <si>
    <t>PAGE 11 OF 13</t>
  </si>
  <si>
    <t>PAGE 9 OF 13</t>
  </si>
  <si>
    <t>PAGE 10 OF 13</t>
  </si>
  <si>
    <t>PAGE 8 OF 13</t>
  </si>
  <si>
    <t>PAGE 7 OF 13</t>
  </si>
  <si>
    <t>PAGE 5 OF 13</t>
  </si>
  <si>
    <t>PAGE 6 OF 13</t>
  </si>
  <si>
    <t>PAGE 4 OF 13</t>
  </si>
  <si>
    <t>PAGE 3 OF 13</t>
  </si>
  <si>
    <t>PAGE 1 OF 13</t>
  </si>
  <si>
    <t>PAGE 2 OF 13</t>
  </si>
  <si>
    <r>
      <t xml:space="preserve">SUMMARY: </t>
    </r>
    <r>
      <rPr>
        <b/>
        <sz val="14"/>
        <rFont val="Arial"/>
        <family val="2"/>
      </rPr>
      <t>PROPOSED TARIFF RATES</t>
    </r>
  </si>
  <si>
    <r>
      <t xml:space="preserve">SUMMARY: </t>
    </r>
    <r>
      <rPr>
        <b/>
        <sz val="14"/>
        <rFont val="Arial"/>
        <family val="2"/>
      </rPr>
      <t>PRESENT TARIFF RATES</t>
    </r>
  </si>
  <si>
    <t>DO NOT DELETE THESE ROWS - HIDDEN JUST FOR PRINT PURPOSES</t>
  </si>
  <si>
    <t xml:space="preserve">RECAP SCHEDULES:  </t>
  </si>
  <si>
    <t>$142+$0.91 per acct</t>
  </si>
  <si>
    <t>Varies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</si>
</sst>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0_)"/>
    <numFmt numFmtId="166" formatCode="0.00000_)"/>
    <numFmt numFmtId="167" formatCode="0.0000_)"/>
    <numFmt numFmtId="168" formatCode="0.000_)"/>
    <numFmt numFmtId="169" formatCode="0.000000_)"/>
    <numFmt numFmtId="170" formatCode="_(* #,##0_);_(* \(#,##0\);_(* &quot;-&quot;??_);_(@_)"/>
    <numFmt numFmtId="171" formatCode="0.000000"/>
    <numFmt numFmtId="172" formatCode="0.000"/>
    <numFmt numFmtId="173" formatCode="_(&quot;$&quot;* #,##0_);_(&quot;$&quot;* \(#,##0\);_(&quot;$&quot;* &quot;-&quot;??_);_(@_)"/>
    <numFmt numFmtId="174" formatCode="_(&quot;$&quot;* #,##0.00000_);_(&quot;$&quot;* \(#,##0.00000\);_(&quot;$&quot;* &quot;-&quot;??_);_(@_)"/>
  </numFmts>
  <fonts count="49" x14ac:knownFonts="1">
    <font>
      <sz val="12"/>
      <name val="Helv"/>
    </font>
    <font>
      <sz val="10"/>
      <name val="Arial"/>
      <family val="2"/>
    </font>
    <font>
      <sz val="14"/>
      <name val="Helv"/>
    </font>
    <font>
      <b/>
      <u/>
      <sz val="14"/>
      <name val="Helv"/>
    </font>
    <font>
      <b/>
      <u/>
      <sz val="12"/>
      <name val="Helv"/>
    </font>
    <font>
      <sz val="12"/>
      <color indexed="12"/>
      <name val="Helv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2"/>
      <color indexed="10"/>
      <name val="Helv"/>
    </font>
    <font>
      <sz val="12"/>
      <color indexed="8"/>
      <name val="Helv"/>
    </font>
    <font>
      <b/>
      <sz val="14"/>
      <name val="Arial"/>
      <family val="2"/>
    </font>
    <font>
      <sz val="8"/>
      <name val="Helv"/>
    </font>
    <font>
      <sz val="12"/>
      <name val="Helv"/>
    </font>
    <font>
      <sz val="10"/>
      <color indexed="8"/>
      <name val="Arial"/>
      <family val="2"/>
    </font>
    <font>
      <b/>
      <sz val="12"/>
      <name val="Helv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color theme="1"/>
      <name val="Arial Black"/>
      <family val="2"/>
    </font>
    <font>
      <sz val="9"/>
      <color theme="1"/>
      <name val="Arial Black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name val="Arial"/>
      <family val="2"/>
    </font>
    <font>
      <u val="singleAccounting"/>
      <sz val="12"/>
      <name val="Arial"/>
      <family val="2"/>
    </font>
    <font>
      <u/>
      <sz val="10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4"/>
      <name val="Helv"/>
    </font>
    <font>
      <b/>
      <u/>
      <sz val="14"/>
      <name val="Arial"/>
      <family val="2"/>
    </font>
    <font>
      <sz val="26"/>
      <name val="Arial"/>
      <family val="2"/>
    </font>
    <font>
      <b/>
      <sz val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2" borderId="0" applyNumberFormat="0" applyBorder="0" applyAlignment="0" applyProtection="0"/>
    <xf numFmtId="0" fontId="19" fillId="16" borderId="0" applyNumberFormat="0" applyBorder="0" applyAlignment="0" applyProtection="0"/>
    <xf numFmtId="0" fontId="20" fillId="33" borderId="4" applyNumberFormat="0" applyAlignment="0" applyProtection="0"/>
    <xf numFmtId="0" fontId="21" fillId="34" borderId="5" applyNumberFormat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20" borderId="4" applyNumberFormat="0" applyAlignment="0" applyProtection="0"/>
    <xf numFmtId="0" fontId="28" fillId="0" borderId="9" applyNumberFormat="0" applyFill="0" applyAlignment="0" applyProtection="0"/>
    <xf numFmtId="0" fontId="29" fillId="35" borderId="0" applyNumberFormat="0" applyBorder="0" applyAlignment="0" applyProtection="0"/>
    <xf numFmtId="0" fontId="13" fillId="36" borderId="10" applyNumberFormat="0" applyFont="0" applyAlignment="0" applyProtection="0"/>
    <xf numFmtId="0" fontId="30" fillId="33" borderId="11" applyNumberFormat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0" applyNumberFormat="0" applyFill="0" applyBorder="0" applyAlignment="0" applyProtection="0"/>
  </cellStyleXfs>
  <cellXfs count="250">
    <xf numFmtId="164" fontId="0" fillId="0" borderId="0" xfId="0"/>
    <xf numFmtId="164" fontId="3" fillId="0" borderId="0" xfId="0" applyFont="1" applyAlignment="1">
      <alignment horizontal="center"/>
    </xf>
    <xf numFmtId="164" fontId="4" fillId="0" borderId="0" xfId="0" applyFont="1" applyAlignment="1">
      <alignment horizontal="center"/>
    </xf>
    <xf numFmtId="164" fontId="5" fillId="0" borderId="0" xfId="0" applyFont="1"/>
    <xf numFmtId="164" fontId="2" fillId="0" borderId="0" xfId="0" applyFont="1" applyBorder="1"/>
    <xf numFmtId="164" fontId="6" fillId="0" borderId="0" xfId="0" applyFont="1"/>
    <xf numFmtId="164" fontId="7" fillId="0" borderId="0" xfId="0" applyFont="1" applyAlignment="1" applyProtection="1">
      <alignment horizontal="left"/>
    </xf>
    <xf numFmtId="164" fontId="7" fillId="0" borderId="0" xfId="0" applyFont="1"/>
    <xf numFmtId="164" fontId="7" fillId="0" borderId="0" xfId="0" applyFont="1" applyAlignment="1" applyProtection="1">
      <alignment horizontal="center"/>
    </xf>
    <xf numFmtId="164" fontId="7" fillId="0" borderId="0" xfId="0" quotePrefix="1" applyFont="1" applyAlignment="1" applyProtection="1">
      <alignment horizontal="left"/>
    </xf>
    <xf numFmtId="164" fontId="7" fillId="0" borderId="0" xfId="0" applyFont="1" applyAlignment="1">
      <alignment horizontal="center"/>
    </xf>
    <xf numFmtId="164" fontId="7" fillId="0" borderId="0" xfId="0" applyFont="1" applyFill="1"/>
    <xf numFmtId="164" fontId="6" fillId="0" borderId="0" xfId="0" applyFont="1" applyFill="1"/>
    <xf numFmtId="164" fontId="7" fillId="0" borderId="1" xfId="0" applyFont="1" applyBorder="1" applyAlignment="1" applyProtection="1">
      <alignment horizontal="left"/>
    </xf>
    <xf numFmtId="164" fontId="7" fillId="0" borderId="1" xfId="0" applyFont="1" applyBorder="1"/>
    <xf numFmtId="164" fontId="6" fillId="0" borderId="1" xfId="0" applyFont="1" applyBorder="1"/>
    <xf numFmtId="164" fontId="6" fillId="0" borderId="0" xfId="0" applyFont="1" applyAlignment="1">
      <alignment horizontal="center"/>
    </xf>
    <xf numFmtId="164" fontId="7" fillId="0" borderId="2" xfId="0" applyFont="1" applyBorder="1"/>
    <xf numFmtId="164" fontId="6" fillId="0" borderId="2" xfId="0" applyFont="1" applyBorder="1"/>
    <xf numFmtId="170" fontId="7" fillId="0" borderId="0" xfId="1" applyNumberFormat="1" applyFont="1"/>
    <xf numFmtId="171" fontId="7" fillId="0" borderId="0" xfId="0" applyNumberFormat="1" applyFont="1"/>
    <xf numFmtId="164" fontId="7" fillId="0" borderId="1" xfId="0" quotePrefix="1" applyFont="1" applyBorder="1" applyAlignment="1" applyProtection="1">
      <alignment horizontal="left"/>
    </xf>
    <xf numFmtId="164" fontId="6" fillId="0" borderId="3" xfId="0" applyFont="1" applyBorder="1"/>
    <xf numFmtId="164" fontId="7" fillId="0" borderId="3" xfId="0" applyFont="1" applyBorder="1" applyAlignment="1" applyProtection="1">
      <alignment horizontal="left"/>
    </xf>
    <xf numFmtId="164" fontId="7" fillId="0" borderId="3" xfId="0" applyFont="1" applyBorder="1"/>
    <xf numFmtId="164" fontId="7" fillId="0" borderId="1" xfId="0" applyFont="1" applyBorder="1" applyAlignment="1">
      <alignment horizontal="center"/>
    </xf>
    <xf numFmtId="164" fontId="7" fillId="0" borderId="1" xfId="0" applyFont="1" applyBorder="1" applyAlignment="1" applyProtection="1">
      <alignment horizontal="center"/>
    </xf>
    <xf numFmtId="164" fontId="6" fillId="0" borderId="1" xfId="0" applyFont="1" applyBorder="1" applyAlignment="1">
      <alignment horizontal="center"/>
    </xf>
    <xf numFmtId="164" fontId="6" fillId="0" borderId="0" xfId="0" applyFont="1" applyBorder="1"/>
    <xf numFmtId="164" fontId="7" fillId="0" borderId="0" xfId="0" applyFont="1" applyBorder="1"/>
    <xf numFmtId="164" fontId="7" fillId="0" borderId="0" xfId="0" applyFont="1" applyBorder="1" applyAlignment="1" applyProtection="1">
      <alignment horizontal="center"/>
    </xf>
    <xf numFmtId="164" fontId="7" fillId="0" borderId="0" xfId="0" quotePrefix="1" applyFont="1" applyBorder="1" applyAlignment="1" applyProtection="1">
      <alignment horizontal="left"/>
    </xf>
    <xf numFmtId="164" fontId="10" fillId="0" borderId="0" xfId="0" quotePrefix="1" applyFont="1"/>
    <xf numFmtId="164" fontId="5" fillId="0" borderId="0" xfId="0" quotePrefix="1" applyFont="1"/>
    <xf numFmtId="164" fontId="10" fillId="0" borderId="0" xfId="0" applyFont="1" applyFill="1"/>
    <xf numFmtId="166" fontId="7" fillId="0" borderId="0" xfId="0" applyNumberFormat="1" applyFont="1"/>
    <xf numFmtId="166" fontId="6" fillId="0" borderId="0" xfId="0" applyNumberFormat="1" applyFont="1" applyFill="1"/>
    <xf numFmtId="49" fontId="9" fillId="0" borderId="0" xfId="0" applyNumberFormat="1" applyFont="1" applyAlignment="1">
      <alignment horizontal="left"/>
    </xf>
    <xf numFmtId="164" fontId="5" fillId="0" borderId="0" xfId="0" quotePrefix="1" applyFont="1" applyAlignment="1"/>
    <xf numFmtId="164" fontId="10" fillId="0" borderId="0" xfId="0" quotePrefix="1" applyFont="1" applyAlignment="1"/>
    <xf numFmtId="10" fontId="13" fillId="0" borderId="0" xfId="3" applyNumberFormat="1" applyFont="1"/>
    <xf numFmtId="164" fontId="14" fillId="0" borderId="0" xfId="0" quotePrefix="1" applyFont="1" applyAlignment="1" applyProtection="1">
      <alignment horizontal="left"/>
      <protection locked="0"/>
    </xf>
    <xf numFmtId="164" fontId="14" fillId="0" borderId="0" xfId="0" quotePrefix="1" applyFont="1" applyBorder="1" applyAlignment="1" applyProtection="1">
      <alignment horizontal="left"/>
    </xf>
    <xf numFmtId="164" fontId="14" fillId="0" borderId="0" xfId="0" applyFont="1" applyBorder="1" applyAlignment="1" applyProtection="1">
      <alignment horizontal="left"/>
    </xf>
    <xf numFmtId="170" fontId="10" fillId="3" borderId="0" xfId="1" applyNumberFormat="1" applyFont="1" applyFill="1"/>
    <xf numFmtId="170" fontId="10" fillId="4" borderId="0" xfId="1" applyNumberFormat="1" applyFont="1" applyFill="1"/>
    <xf numFmtId="170" fontId="10" fillId="5" borderId="0" xfId="1" applyNumberFormat="1" applyFont="1" applyFill="1"/>
    <xf numFmtId="170" fontId="10" fillId="6" borderId="0" xfId="1" applyNumberFormat="1" applyFont="1" applyFill="1"/>
    <xf numFmtId="170" fontId="10" fillId="7" borderId="0" xfId="1" applyNumberFormat="1" applyFont="1" applyFill="1"/>
    <xf numFmtId="170" fontId="10" fillId="0" borderId="0" xfId="1" applyNumberFormat="1" applyFont="1" applyFill="1"/>
    <xf numFmtId="170" fontId="10" fillId="8" borderId="0" xfId="1" applyNumberFormat="1" applyFont="1" applyFill="1"/>
    <xf numFmtId="170" fontId="10" fillId="9" borderId="0" xfId="1" applyNumberFormat="1" applyFont="1" applyFill="1"/>
    <xf numFmtId="170" fontId="10" fillId="10" borderId="0" xfId="1" applyNumberFormat="1" applyFont="1" applyFill="1"/>
    <xf numFmtId="170" fontId="10" fillId="11" borderId="0" xfId="1" applyNumberFormat="1" applyFont="1" applyFill="1"/>
    <xf numFmtId="170" fontId="10" fillId="12" borderId="0" xfId="1" applyNumberFormat="1" applyFont="1" applyFill="1"/>
    <xf numFmtId="170" fontId="10" fillId="13" borderId="0" xfId="1" applyNumberFormat="1" applyFont="1" applyFill="1"/>
    <xf numFmtId="170" fontId="10" fillId="14" borderId="0" xfId="1" applyNumberFormat="1" applyFont="1" applyFill="1"/>
    <xf numFmtId="170" fontId="0" fillId="0" borderId="0" xfId="1" applyNumberFormat="1" applyFont="1"/>
    <xf numFmtId="170" fontId="0" fillId="3" borderId="0" xfId="1" applyNumberFormat="1" applyFont="1" applyFill="1"/>
    <xf numFmtId="168" fontId="7" fillId="0" borderId="0" xfId="0" applyNumberFormat="1" applyFont="1" applyProtection="1">
      <protection locked="0"/>
    </xf>
    <xf numFmtId="164" fontId="14" fillId="0" borderId="0" xfId="0" applyFont="1" applyAlignment="1">
      <alignment horizontal="left"/>
    </xf>
    <xf numFmtId="164" fontId="1" fillId="0" borderId="0" xfId="0" applyFont="1" applyAlignment="1">
      <alignment horizontal="center"/>
    </xf>
    <xf numFmtId="164" fontId="6" fillId="0" borderId="0" xfId="0" applyFont="1" applyFill="1" applyBorder="1"/>
    <xf numFmtId="169" fontId="6" fillId="0" borderId="0" xfId="0" applyNumberFormat="1" applyFont="1" applyFill="1" applyBorder="1"/>
    <xf numFmtId="168" fontId="7" fillId="0" borderId="0" xfId="0" applyNumberFormat="1" applyFont="1" applyAlignment="1" applyProtection="1">
      <alignment horizontal="center"/>
      <protection locked="0"/>
    </xf>
    <xf numFmtId="164" fontId="15" fillId="0" borderId="0" xfId="0" applyFont="1"/>
    <xf numFmtId="164" fontId="0" fillId="0" borderId="0" xfId="0" applyFont="1"/>
    <xf numFmtId="164" fontId="15" fillId="0" borderId="0" xfId="0" applyFont="1" applyFill="1"/>
    <xf numFmtId="171" fontId="7" fillId="0" borderId="0" xfId="0" applyNumberFormat="1" applyFont="1" applyProtection="1">
      <protection locked="0"/>
    </xf>
    <xf numFmtId="164" fontId="16" fillId="0" borderId="0" xfId="0" applyFont="1" applyAlignment="1">
      <alignment horizontal="center"/>
    </xf>
    <xf numFmtId="164" fontId="34" fillId="0" borderId="0" xfId="0" applyFont="1" applyFill="1" applyAlignment="1">
      <alignment horizontal="center"/>
    </xf>
    <xf numFmtId="37" fontId="34" fillId="0" borderId="0" xfId="0" applyNumberFormat="1" applyFont="1" applyFill="1" applyProtection="1">
      <protection locked="0"/>
    </xf>
    <xf numFmtId="44" fontId="34" fillId="0" borderId="0" xfId="2" applyFont="1" applyFill="1" applyProtection="1">
      <protection locked="0"/>
    </xf>
    <xf numFmtId="164" fontId="34" fillId="0" borderId="0" xfId="0" applyFont="1" applyFill="1" applyAlignment="1" applyProtection="1">
      <alignment horizontal="left"/>
      <protection locked="0"/>
    </xf>
    <xf numFmtId="164" fontId="7" fillId="0" borderId="0" xfId="0" applyFont="1" applyFill="1" applyAlignment="1">
      <alignment horizontal="center"/>
    </xf>
    <xf numFmtId="37" fontId="7" fillId="0" borderId="0" xfId="0" applyNumberFormat="1" applyFont="1" applyFill="1" applyProtection="1">
      <protection locked="0"/>
    </xf>
    <xf numFmtId="164" fontId="7" fillId="0" borderId="0" xfId="0" applyFont="1" applyFill="1" applyAlignment="1" applyProtection="1">
      <alignment horizontal="left"/>
      <protection locked="0"/>
    </xf>
    <xf numFmtId="10" fontId="7" fillId="0" borderId="0" xfId="3" applyNumberFormat="1" applyFont="1" applyFill="1" applyProtection="1">
      <protection locked="0"/>
    </xf>
    <xf numFmtId="41" fontId="35" fillId="37" borderId="13" xfId="1" quotePrefix="1" applyNumberFormat="1" applyFont="1" applyFill="1" applyBorder="1" applyAlignment="1" applyProtection="1">
      <alignment horizontal="center" vertical="center"/>
    </xf>
    <xf numFmtId="41" fontId="36" fillId="37" borderId="14" xfId="1" quotePrefix="1" applyNumberFormat="1" applyFont="1" applyFill="1" applyBorder="1" applyAlignment="1" applyProtection="1">
      <alignment horizontal="center" vertical="center"/>
    </xf>
    <xf numFmtId="41" fontId="35" fillId="37" borderId="15" xfId="1" quotePrefix="1" applyNumberFormat="1" applyFont="1" applyFill="1" applyBorder="1" applyAlignment="1" applyProtection="1">
      <alignment horizontal="center" vertical="center"/>
    </xf>
    <xf numFmtId="41" fontId="36" fillId="37" borderId="16" xfId="1" quotePrefix="1" applyNumberFormat="1" applyFont="1" applyFill="1" applyBorder="1" applyAlignment="1" applyProtection="1">
      <alignment horizontal="center" vertical="center"/>
    </xf>
    <xf numFmtId="41" fontId="37" fillId="38" borderId="17" xfId="1" quotePrefix="1" applyNumberFormat="1" applyFont="1" applyFill="1" applyBorder="1" applyAlignment="1" applyProtection="1">
      <alignment horizontal="left" vertical="center"/>
      <protection locked="0"/>
    </xf>
    <xf numFmtId="43" fontId="38" fillId="38" borderId="17" xfId="1" quotePrefix="1" applyFont="1" applyFill="1" applyBorder="1" applyAlignment="1" applyProtection="1">
      <alignment horizontal="left" vertical="center"/>
      <protection locked="0"/>
    </xf>
    <xf numFmtId="43" fontId="39" fillId="0" borderId="18" xfId="1" quotePrefix="1" applyFont="1" applyFill="1" applyBorder="1" applyAlignment="1" applyProtection="1">
      <alignment horizontal="left" vertical="center"/>
      <protection locked="0"/>
    </xf>
    <xf numFmtId="43" fontId="39" fillId="0" borderId="18" xfId="1" applyFont="1" applyFill="1" applyBorder="1" applyAlignment="1" applyProtection="1">
      <alignment horizontal="left" vertical="center"/>
      <protection locked="0"/>
    </xf>
    <xf numFmtId="164" fontId="40" fillId="0" borderId="0" xfId="0" applyFont="1" applyAlignment="1">
      <alignment horizontal="center"/>
    </xf>
    <xf numFmtId="170" fontId="6" fillId="0" borderId="0" xfId="1" applyNumberFormat="1" applyFont="1" applyFill="1"/>
    <xf numFmtId="170" fontId="41" fillId="0" borderId="0" xfId="1" applyNumberFormat="1" applyFont="1" applyFill="1"/>
    <xf numFmtId="44" fontId="6" fillId="0" borderId="0" xfId="2" applyFont="1" applyFill="1"/>
    <xf numFmtId="174" fontId="6" fillId="0" borderId="0" xfId="2" applyNumberFormat="1" applyFont="1" applyFill="1"/>
    <xf numFmtId="173" fontId="6" fillId="0" borderId="0" xfId="2" applyNumberFormat="1" applyFont="1" applyFill="1"/>
    <xf numFmtId="173" fontId="6" fillId="0" borderId="1" xfId="2" applyNumberFormat="1" applyFont="1" applyFill="1" applyBorder="1"/>
    <xf numFmtId="164" fontId="15" fillId="39" borderId="0" xfId="0" applyFont="1" applyFill="1"/>
    <xf numFmtId="170" fontId="7" fillId="0" borderId="0" xfId="1" applyNumberFormat="1" applyFont="1" applyAlignment="1">
      <alignment horizontal="center"/>
    </xf>
    <xf numFmtId="170" fontId="6" fillId="0" borderId="0" xfId="1" applyNumberFormat="1" applyFont="1" applyBorder="1"/>
    <xf numFmtId="170" fontId="0" fillId="0" borderId="0" xfId="1" applyNumberFormat="1" applyFont="1" applyBorder="1"/>
    <xf numFmtId="37" fontId="11" fillId="0" borderId="0" xfId="0" applyNumberFormat="1" applyFont="1" applyFill="1" applyProtection="1">
      <protection locked="0"/>
    </xf>
    <xf numFmtId="165" fontId="42" fillId="0" borderId="0" xfId="0" applyNumberFormat="1" applyFont="1" applyAlignment="1" applyProtection="1">
      <alignment horizontal="left"/>
    </xf>
    <xf numFmtId="164" fontId="7" fillId="0" borderId="0" xfId="0" applyFont="1" applyBorder="1" applyAlignment="1" applyProtection="1">
      <alignment horizontal="left"/>
    </xf>
    <xf numFmtId="164" fontId="7" fillId="0" borderId="1" xfId="0" applyFont="1" applyBorder="1" applyAlignment="1">
      <alignment horizontal="left" indent="2"/>
    </xf>
    <xf numFmtId="164" fontId="7" fillId="0" borderId="0" xfId="0" applyFont="1" applyAlignment="1" applyProtection="1">
      <alignment horizontal="left" indent="2"/>
    </xf>
    <xf numFmtId="164" fontId="7" fillId="0" borderId="0" xfId="0" quotePrefix="1" applyFont="1" applyAlignment="1" applyProtection="1">
      <alignment horizontal="left" indent="2"/>
    </xf>
    <xf numFmtId="164" fontId="7" fillId="0" borderId="1" xfId="0" quotePrefix="1" applyFont="1" applyBorder="1" applyAlignment="1" applyProtection="1">
      <alignment horizontal="left" indent="2"/>
    </xf>
    <xf numFmtId="164" fontId="7" fillId="0" borderId="0" xfId="0" applyFont="1" applyAlignment="1">
      <alignment horizontal="left" indent="2"/>
    </xf>
    <xf numFmtId="164" fontId="7" fillId="0" borderId="0" xfId="0" applyFont="1" applyBorder="1" applyAlignment="1" applyProtection="1">
      <alignment horizontal="left" indent="2"/>
    </xf>
    <xf numFmtId="164" fontId="7" fillId="0" borderId="0" xfId="0" quotePrefix="1" applyFont="1" applyBorder="1" applyAlignment="1" applyProtection="1">
      <alignment horizontal="left" indent="2"/>
    </xf>
    <xf numFmtId="164" fontId="0" fillId="0" borderId="0" xfId="0" applyFont="1" applyBorder="1"/>
    <xf numFmtId="164" fontId="0" fillId="0" borderId="1" xfId="0" applyFont="1" applyBorder="1"/>
    <xf numFmtId="164" fontId="1" fillId="0" borderId="0" xfId="0" applyFont="1" applyBorder="1" applyAlignment="1">
      <alignment horizontal="center"/>
    </xf>
    <xf numFmtId="164" fontId="1" fillId="0" borderId="0" xfId="0" quotePrefix="1" applyFont="1" applyAlignment="1">
      <alignment horizontal="center"/>
    </xf>
    <xf numFmtId="164" fontId="1" fillId="0" borderId="0" xfId="0" applyFont="1" applyFill="1" applyBorder="1" applyAlignment="1">
      <alignment horizontal="center"/>
    </xf>
    <xf numFmtId="164" fontId="1" fillId="0" borderId="0" xfId="0" applyFont="1" applyFill="1" applyAlignment="1">
      <alignment horizontal="center"/>
    </xf>
    <xf numFmtId="164" fontId="0" fillId="0" borderId="0" xfId="0" applyFont="1" applyFill="1"/>
    <xf numFmtId="164" fontId="0" fillId="0" borderId="0" xfId="0" applyFont="1" applyFill="1" applyBorder="1"/>
    <xf numFmtId="37" fontId="7" fillId="0" borderId="0" xfId="0" applyNumberFormat="1" applyFont="1" applyFill="1" applyBorder="1" applyProtection="1">
      <protection locked="0"/>
    </xf>
    <xf numFmtId="37" fontId="2" fillId="2" borderId="0" xfId="0" applyNumberFormat="1" applyFont="1" applyFill="1" applyBorder="1" applyProtection="1">
      <protection locked="0"/>
    </xf>
    <xf numFmtId="164" fontId="43" fillId="0" borderId="0" xfId="0" applyFont="1" applyFill="1" applyAlignment="1" applyProtection="1">
      <alignment horizontal="left"/>
      <protection locked="0"/>
    </xf>
    <xf numFmtId="37" fontId="7" fillId="0" borderId="0" xfId="0" applyNumberFormat="1" applyFont="1" applyAlignment="1" applyProtection="1">
      <alignment horizontal="right"/>
      <protection locked="0"/>
    </xf>
    <xf numFmtId="37" fontId="7" fillId="0" borderId="0" xfId="0" applyNumberFormat="1" applyFont="1" applyProtection="1">
      <protection locked="0"/>
    </xf>
    <xf numFmtId="10" fontId="7" fillId="0" borderId="0" xfId="3" applyNumberFormat="1" applyFont="1" applyProtection="1">
      <protection locked="0"/>
    </xf>
    <xf numFmtId="164" fontId="7" fillId="0" borderId="0" xfId="0" applyFont="1" applyAlignment="1" applyProtection="1">
      <alignment horizontal="left"/>
      <protection locked="0"/>
    </xf>
    <xf numFmtId="37" fontId="7" fillId="0" borderId="0" xfId="0" applyNumberFormat="1" applyFont="1" applyBorder="1" applyProtection="1">
      <protection locked="0"/>
    </xf>
    <xf numFmtId="37" fontId="2" fillId="0" borderId="0" xfId="0" applyNumberFormat="1" applyFont="1" applyBorder="1" applyProtection="1">
      <protection locked="0"/>
    </xf>
    <xf numFmtId="37" fontId="2" fillId="0" borderId="0" xfId="0" applyNumberFormat="1" applyFont="1" applyFill="1" applyBorder="1" applyProtection="1">
      <protection locked="0"/>
    </xf>
    <xf numFmtId="37" fontId="7" fillId="0" borderId="0" xfId="0" applyNumberFormat="1" applyFont="1" applyProtection="1"/>
    <xf numFmtId="37" fontId="7" fillId="0" borderId="0" xfId="0" applyNumberFormat="1" applyFont="1" applyBorder="1" applyProtection="1"/>
    <xf numFmtId="37" fontId="2" fillId="0" borderId="0" xfId="0" applyNumberFormat="1" applyFont="1" applyBorder="1" applyProtection="1"/>
    <xf numFmtId="164" fontId="44" fillId="0" borderId="0" xfId="0" applyFont="1" applyFill="1" applyAlignment="1">
      <alignment horizontal="right"/>
    </xf>
    <xf numFmtId="37" fontId="44" fillId="0" borderId="2" xfId="0" applyNumberFormat="1" applyFont="1" applyFill="1" applyBorder="1" applyAlignment="1" applyProtection="1">
      <alignment horizontal="right"/>
      <protection locked="0"/>
    </xf>
    <xf numFmtId="37" fontId="7" fillId="0" borderId="2" xfId="0" applyNumberFormat="1" applyFont="1" applyBorder="1" applyAlignment="1" applyProtection="1">
      <alignment horizontal="right"/>
      <protection locked="0"/>
    </xf>
    <xf numFmtId="37" fontId="7" fillId="0" borderId="2" xfId="0" applyNumberFormat="1" applyFont="1" applyBorder="1" applyProtection="1">
      <protection locked="0"/>
    </xf>
    <xf numFmtId="164" fontId="7" fillId="0" borderId="2" xfId="0" applyFont="1" applyBorder="1" applyAlignment="1" applyProtection="1">
      <alignment horizontal="left"/>
      <protection locked="0"/>
    </xf>
    <xf numFmtId="168" fontId="7" fillId="0" borderId="0" xfId="0" applyNumberFormat="1" applyFont="1" applyBorder="1" applyProtection="1">
      <protection locked="0"/>
    </xf>
    <xf numFmtId="168" fontId="2" fillId="0" borderId="0" xfId="0" applyNumberFormat="1" applyFont="1" applyBorder="1" applyProtection="1">
      <protection locked="0"/>
    </xf>
    <xf numFmtId="167" fontId="7" fillId="0" borderId="0" xfId="0" applyNumberFormat="1" applyFont="1" applyProtection="1">
      <protection locked="0"/>
    </xf>
    <xf numFmtId="167" fontId="7" fillId="0" borderId="0" xfId="0" applyNumberFormat="1" applyFont="1" applyBorder="1" applyProtection="1">
      <protection locked="0"/>
    </xf>
    <xf numFmtId="167" fontId="2" fillId="0" borderId="0" xfId="0" applyNumberFormat="1" applyFont="1" applyBorder="1" applyProtection="1">
      <protection locked="0"/>
    </xf>
    <xf numFmtId="37" fontId="11" fillId="0" borderId="2" xfId="0" applyNumberFormat="1" applyFont="1" applyBorder="1" applyProtection="1">
      <protection locked="0"/>
    </xf>
    <xf numFmtId="37" fontId="11" fillId="0" borderId="0" xfId="0" applyNumberFormat="1" applyFont="1" applyBorder="1" applyProtection="1">
      <protection locked="0"/>
    </xf>
    <xf numFmtId="37" fontId="45" fillId="0" borderId="0" xfId="0" applyNumberFormat="1" applyFont="1" applyBorder="1" applyProtection="1">
      <protection locked="0"/>
    </xf>
    <xf numFmtId="37" fontId="7" fillId="0" borderId="0" xfId="0" applyNumberFormat="1" applyFont="1" applyBorder="1" applyAlignment="1" applyProtection="1">
      <alignment horizontal="right"/>
      <protection locked="0"/>
    </xf>
    <xf numFmtId="37" fontId="2" fillId="0" borderId="0" xfId="0" applyNumberFormat="1" applyFont="1" applyBorder="1" applyAlignment="1" applyProtection="1">
      <alignment horizontal="right"/>
      <protection locked="0"/>
    </xf>
    <xf numFmtId="164" fontId="11" fillId="0" borderId="0" xfId="0" applyFont="1" applyAlignment="1" applyProtection="1">
      <alignment horizontal="left"/>
      <protection locked="0"/>
    </xf>
    <xf numFmtId="37" fontId="11" fillId="0" borderId="0" xfId="0" applyNumberFormat="1" applyFont="1" applyProtection="1">
      <protection locked="0"/>
    </xf>
    <xf numFmtId="10" fontId="11" fillId="0" borderId="0" xfId="0" applyNumberFormat="1" applyFont="1" applyProtection="1">
      <protection locked="0"/>
    </xf>
    <xf numFmtId="10" fontId="11" fillId="0" borderId="0" xfId="0" applyNumberFormat="1" applyFont="1" applyBorder="1" applyProtection="1">
      <protection locked="0"/>
    </xf>
    <xf numFmtId="10" fontId="45" fillId="0" borderId="0" xfId="0" applyNumberFormat="1" applyFont="1" applyBorder="1" applyProtection="1">
      <protection locked="0"/>
    </xf>
    <xf numFmtId="10" fontId="11" fillId="0" borderId="0" xfId="3" applyNumberFormat="1" applyFont="1" applyProtection="1">
      <protection locked="0"/>
    </xf>
    <xf numFmtId="10" fontId="11" fillId="0" borderId="0" xfId="3" applyNumberFormat="1" applyFont="1" applyBorder="1" applyProtection="1">
      <protection locked="0"/>
    </xf>
    <xf numFmtId="10" fontId="45" fillId="0" borderId="0" xfId="3" applyNumberFormat="1" applyFont="1" applyBorder="1" applyProtection="1">
      <protection locked="0"/>
    </xf>
    <xf numFmtId="164" fontId="1" fillId="0" borderId="0" xfId="0" quotePrefix="1" applyFont="1" applyBorder="1" applyAlignment="1">
      <alignment horizontal="center"/>
    </xf>
    <xf numFmtId="10" fontId="7" fillId="0" borderId="0" xfId="0" applyNumberFormat="1" applyFont="1" applyAlignment="1" applyProtection="1">
      <alignment horizontal="left"/>
      <protection locked="0"/>
    </xf>
    <xf numFmtId="10" fontId="7" fillId="0" borderId="0" xfId="0" applyNumberFormat="1" applyFont="1" applyProtection="1">
      <protection locked="0"/>
    </xf>
    <xf numFmtId="10" fontId="7" fillId="0" borderId="0" xfId="0" applyNumberFormat="1" applyFont="1" applyBorder="1" applyProtection="1">
      <protection locked="0"/>
    </xf>
    <xf numFmtId="10" fontId="2" fillId="0" borderId="0" xfId="0" applyNumberFormat="1" applyFont="1" applyBorder="1" applyProtection="1">
      <protection locked="0"/>
    </xf>
    <xf numFmtId="165" fontId="7" fillId="0" borderId="0" xfId="0" applyNumberFormat="1" applyFont="1" applyProtection="1">
      <protection locked="0"/>
    </xf>
    <xf numFmtId="165" fontId="7" fillId="0" borderId="0" xfId="0" applyNumberFormat="1" applyFont="1" applyBorder="1" applyProtection="1">
      <protection locked="0"/>
    </xf>
    <xf numFmtId="165" fontId="2" fillId="0" borderId="0" xfId="0" applyNumberFormat="1" applyFont="1" applyBorder="1" applyProtection="1">
      <protection locked="0"/>
    </xf>
    <xf numFmtId="164" fontId="11" fillId="0" borderId="0" xfId="0" applyNumberFormat="1" applyFont="1" applyAlignment="1" applyProtection="1">
      <alignment horizontal="left"/>
      <protection locked="0"/>
    </xf>
    <xf numFmtId="10" fontId="11" fillId="0" borderId="0" xfId="0" applyNumberFormat="1" applyFont="1" applyAlignment="1" applyProtection="1">
      <alignment horizontal="left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170" fontId="44" fillId="0" borderId="0" xfId="1" applyNumberFormat="1" applyFont="1" applyAlignment="1">
      <alignment horizontal="right"/>
    </xf>
    <xf numFmtId="170" fontId="44" fillId="0" borderId="0" xfId="1" applyNumberFormat="1" applyFont="1"/>
    <xf numFmtId="164" fontId="7" fillId="0" borderId="0" xfId="0" quotePrefix="1" applyFont="1" applyAlignment="1" applyProtection="1">
      <alignment horizontal="left"/>
      <protection locked="0"/>
    </xf>
    <xf numFmtId="165" fontId="7" fillId="0" borderId="0" xfId="0" applyNumberFormat="1" applyFont="1" applyFill="1" applyAlignment="1" applyProtection="1">
      <alignment horizontal="left"/>
      <protection locked="0"/>
    </xf>
    <xf numFmtId="7" fontId="16" fillId="0" borderId="0" xfId="0" applyNumberFormat="1" applyFont="1" applyFill="1" applyAlignment="1" applyProtection="1">
      <alignment horizontal="right"/>
      <protection locked="0"/>
    </xf>
    <xf numFmtId="44" fontId="7" fillId="0" borderId="0" xfId="0" applyNumberFormat="1" applyFont="1" applyFill="1" applyProtection="1">
      <protection locked="0"/>
    </xf>
    <xf numFmtId="7" fontId="7" fillId="0" borderId="0" xfId="0" applyNumberFormat="1" applyFont="1" applyFill="1" applyBorder="1" applyProtection="1">
      <protection locked="0"/>
    </xf>
    <xf numFmtId="7" fontId="2" fillId="0" borderId="0" xfId="0" applyNumberFormat="1" applyFont="1" applyFill="1" applyBorder="1" applyProtection="1">
      <protection locked="0"/>
    </xf>
    <xf numFmtId="164" fontId="7" fillId="0" borderId="0" xfId="0" applyFont="1" applyFill="1" applyBorder="1"/>
    <xf numFmtId="164" fontId="2" fillId="0" borderId="0" xfId="0" applyFont="1" applyFill="1" applyBorder="1"/>
    <xf numFmtId="164" fontId="11" fillId="0" borderId="0" xfId="0" applyFont="1" applyFill="1" applyAlignment="1" applyProtection="1">
      <alignment horizontal="left"/>
      <protection locked="0"/>
    </xf>
    <xf numFmtId="37" fontId="11" fillId="0" borderId="0" xfId="0" applyNumberFormat="1" applyFont="1" applyFill="1" applyBorder="1" applyProtection="1">
      <protection locked="0"/>
    </xf>
    <xf numFmtId="37" fontId="45" fillId="0" borderId="0" xfId="0" applyNumberFormat="1" applyFont="1" applyFill="1" applyBorder="1" applyProtection="1">
      <protection locked="0"/>
    </xf>
    <xf numFmtId="171" fontId="7" fillId="0" borderId="0" xfId="0" applyNumberFormat="1" applyFont="1" applyAlignment="1" applyProtection="1">
      <alignment horizontal="center"/>
      <protection locked="0"/>
    </xf>
    <xf numFmtId="171" fontId="7" fillId="0" borderId="0" xfId="0" applyNumberFormat="1" applyFont="1" applyBorder="1" applyProtection="1">
      <protection locked="0"/>
    </xf>
    <xf numFmtId="171" fontId="2" fillId="0" borderId="0" xfId="0" applyNumberFormat="1" applyFont="1" applyBorder="1" applyProtection="1">
      <protection locked="0"/>
    </xf>
    <xf numFmtId="164" fontId="11" fillId="0" borderId="0" xfId="0" quotePrefix="1" applyFont="1" applyFill="1" applyAlignment="1" applyProtection="1">
      <alignment horizontal="left"/>
      <protection locked="0"/>
    </xf>
    <xf numFmtId="164" fontId="11" fillId="0" borderId="0" xfId="0" applyFont="1" applyFill="1"/>
    <xf numFmtId="166" fontId="11" fillId="0" borderId="0" xfId="0" applyNumberFormat="1" applyFont="1" applyFill="1" applyProtection="1">
      <protection locked="0"/>
    </xf>
    <xf numFmtId="166" fontId="11" fillId="0" borderId="0" xfId="0" applyNumberFormat="1" applyFont="1" applyFill="1" applyAlignment="1" applyProtection="1">
      <alignment horizontal="center"/>
      <protection locked="0"/>
    </xf>
    <xf numFmtId="166" fontId="11" fillId="0" borderId="0" xfId="0" applyNumberFormat="1" applyFont="1" applyFill="1" applyBorder="1" applyProtection="1">
      <protection locked="0"/>
    </xf>
    <xf numFmtId="166" fontId="45" fillId="0" borderId="0" xfId="0" applyNumberFormat="1" applyFont="1" applyFill="1" applyBorder="1" applyProtection="1">
      <protection locked="0"/>
    </xf>
    <xf numFmtId="170" fontId="7" fillId="0" borderId="0" xfId="1" applyNumberFormat="1" applyFont="1" applyProtection="1">
      <protection locked="0"/>
    </xf>
    <xf numFmtId="7" fontId="7" fillId="0" borderId="0" xfId="0" applyNumberFormat="1" applyFont="1" applyProtection="1">
      <protection locked="0"/>
    </xf>
    <xf numFmtId="7" fontId="7" fillId="0" borderId="0" xfId="0" applyNumberFormat="1" applyFont="1" applyBorder="1" applyProtection="1">
      <protection locked="0"/>
    </xf>
    <xf numFmtId="7" fontId="2" fillId="0" borderId="0" xfId="0" applyNumberFormat="1" applyFont="1" applyBorder="1" applyProtection="1">
      <protection locked="0"/>
    </xf>
    <xf numFmtId="167" fontId="7" fillId="0" borderId="0" xfId="0" applyNumberFormat="1" applyFont="1" applyAlignment="1" applyProtection="1">
      <alignment horizontal="left"/>
      <protection locked="0"/>
    </xf>
    <xf numFmtId="169" fontId="7" fillId="0" borderId="0" xfId="0" applyNumberFormat="1" applyFont="1"/>
    <xf numFmtId="168" fontId="7" fillId="0" borderId="0" xfId="0" applyNumberFormat="1" applyFont="1" applyBorder="1" applyAlignment="1" applyProtection="1">
      <alignment horizontal="center"/>
      <protection locked="0"/>
    </xf>
    <xf numFmtId="164" fontId="46" fillId="0" borderId="0" xfId="0" applyFont="1" applyAlignment="1">
      <alignment horizontal="center"/>
    </xf>
    <xf numFmtId="164" fontId="46" fillId="0" borderId="0" xfId="0" applyFont="1" applyBorder="1" applyAlignment="1">
      <alignment horizontal="center"/>
    </xf>
    <xf numFmtId="164" fontId="3" fillId="0" borderId="0" xfId="0" applyFont="1" applyBorder="1" applyAlignment="1">
      <alignment horizontal="center"/>
    </xf>
    <xf numFmtId="172" fontId="7" fillId="0" borderId="0" xfId="0" applyNumberFormat="1" applyFont="1" applyBorder="1" applyProtection="1">
      <protection locked="0"/>
    </xf>
    <xf numFmtId="164" fontId="46" fillId="0" borderId="0" xfId="0" applyFont="1"/>
    <xf numFmtId="37" fontId="40" fillId="0" borderId="0" xfId="0" applyNumberFormat="1" applyFont="1" applyAlignment="1" applyProtection="1">
      <alignment horizontal="centerContinuous"/>
      <protection locked="0"/>
    </xf>
    <xf numFmtId="164" fontId="6" fillId="0" borderId="0" xfId="0" applyFont="1" applyAlignment="1"/>
    <xf numFmtId="37" fontId="6" fillId="0" borderId="0" xfId="0" applyNumberFormat="1" applyFont="1" applyAlignment="1" applyProtection="1">
      <alignment horizontal="centerContinuous"/>
      <protection locked="0"/>
    </xf>
    <xf numFmtId="165" fontId="1" fillId="0" borderId="0" xfId="0" applyNumberFormat="1" applyFont="1" applyBorder="1" applyAlignment="1" applyProtection="1">
      <alignment horizontal="fill"/>
    </xf>
    <xf numFmtId="170" fontId="6" fillId="0" borderId="0" xfId="2" applyNumberFormat="1" applyFont="1" applyFill="1" applyProtection="1">
      <protection locked="0"/>
    </xf>
    <xf numFmtId="164" fontId="1" fillId="0" borderId="0" xfId="0" quotePrefix="1" applyFont="1" applyAlignment="1" applyProtection="1">
      <alignment horizontal="left"/>
      <protection locked="0"/>
    </xf>
    <xf numFmtId="7" fontId="16" fillId="0" borderId="0" xfId="0" applyNumberFormat="1" applyFont="1"/>
    <xf numFmtId="5" fontId="6" fillId="0" borderId="0" xfId="2" applyNumberFormat="1" applyFont="1" applyFill="1" applyProtection="1">
      <protection locked="0"/>
    </xf>
    <xf numFmtId="7" fontId="6" fillId="0" borderId="0" xfId="2" applyNumberFormat="1" applyFont="1" applyProtection="1">
      <protection locked="0"/>
    </xf>
    <xf numFmtId="170" fontId="6" fillId="0" borderId="0" xfId="1" applyNumberFormat="1" applyFont="1" applyFill="1" applyProtection="1">
      <protection locked="0"/>
    </xf>
    <xf numFmtId="164" fontId="1" fillId="0" borderId="0" xfId="0" quotePrefix="1" applyFont="1" applyAlignment="1">
      <alignment horizontal="left"/>
    </xf>
    <xf numFmtId="173" fontId="6" fillId="0" borderId="0" xfId="2" applyNumberFormat="1" applyFont="1" applyFill="1" applyProtection="1">
      <protection locked="0"/>
    </xf>
    <xf numFmtId="164" fontId="1" fillId="0" borderId="0" xfId="0" applyFont="1" applyAlignment="1">
      <alignment horizontal="left"/>
    </xf>
    <xf numFmtId="170" fontId="6" fillId="0" borderId="1" xfId="1" applyNumberFormat="1" applyFont="1" applyFill="1" applyBorder="1" applyProtection="1">
      <protection locked="0"/>
    </xf>
    <xf numFmtId="164" fontId="6" fillId="0" borderId="0" xfId="0" applyFont="1" applyBorder="1" applyAlignment="1">
      <alignment horizontal="right"/>
    </xf>
    <xf numFmtId="164" fontId="6" fillId="0" borderId="0" xfId="0" applyFont="1" applyBorder="1" applyAlignment="1" applyProtection="1">
      <alignment horizontal="left"/>
    </xf>
    <xf numFmtId="173" fontId="6" fillId="0" borderId="0" xfId="2" applyNumberFormat="1" applyFont="1" applyFill="1" applyBorder="1"/>
    <xf numFmtId="165" fontId="1" fillId="0" borderId="0" xfId="0" applyNumberFormat="1" applyFont="1"/>
    <xf numFmtId="5" fontId="48" fillId="0" borderId="0" xfId="2" applyNumberFormat="1" applyFont="1" applyBorder="1"/>
    <xf numFmtId="173" fontId="48" fillId="0" borderId="0" xfId="2" applyNumberFormat="1" applyFont="1" applyFill="1" applyBorder="1"/>
    <xf numFmtId="165" fontId="8" fillId="0" borderId="0" xfId="0" applyNumberFormat="1" applyFont="1" applyAlignment="1" applyProtection="1">
      <alignment horizontal="left"/>
    </xf>
    <xf numFmtId="37" fontId="46" fillId="0" borderId="0" xfId="0" applyNumberFormat="1" applyFont="1" applyAlignment="1" applyProtection="1">
      <alignment horizontal="centerContinuous"/>
      <protection locked="0"/>
    </xf>
    <xf numFmtId="164" fontId="7" fillId="0" borderId="0" xfId="0" applyFont="1" applyAlignment="1"/>
    <xf numFmtId="37" fontId="7" fillId="0" borderId="0" xfId="0" applyNumberFormat="1" applyFont="1" applyAlignment="1" applyProtection="1">
      <alignment horizontal="centerContinuous"/>
      <protection locked="0"/>
    </xf>
    <xf numFmtId="165" fontId="7" fillId="0" borderId="0" xfId="0" applyNumberFormat="1" applyFont="1" applyBorder="1" applyAlignment="1" applyProtection="1">
      <alignment horizontal="fill"/>
    </xf>
    <xf numFmtId="164" fontId="2" fillId="0" borderId="0" xfId="0" applyFont="1"/>
    <xf numFmtId="170" fontId="7" fillId="0" borderId="0" xfId="2" applyNumberFormat="1" applyFont="1" applyFill="1" applyProtection="1">
      <protection locked="0"/>
    </xf>
    <xf numFmtId="7" fontId="7" fillId="0" borderId="0" xfId="0" applyNumberFormat="1" applyFont="1"/>
    <xf numFmtId="5" fontId="7" fillId="0" borderId="0" xfId="2" applyNumberFormat="1" applyFont="1" applyFill="1" applyProtection="1">
      <protection locked="0"/>
    </xf>
    <xf numFmtId="7" fontId="7" fillId="0" borderId="0" xfId="2" applyNumberFormat="1" applyFont="1" applyProtection="1">
      <protection locked="0"/>
    </xf>
    <xf numFmtId="164" fontId="7" fillId="0" borderId="0" xfId="0" quotePrefix="1" applyFont="1" applyAlignment="1">
      <alignment horizontal="left"/>
    </xf>
    <xf numFmtId="164" fontId="7" fillId="0" borderId="0" xfId="0" applyFont="1" applyAlignment="1">
      <alignment horizontal="left"/>
    </xf>
    <xf numFmtId="7" fontId="7" fillId="0" borderId="1" xfId="0" applyNumberFormat="1" applyFont="1" applyBorder="1"/>
    <xf numFmtId="5" fontId="7" fillId="0" borderId="1" xfId="2" applyNumberFormat="1" applyFont="1" applyFill="1" applyBorder="1" applyProtection="1">
      <protection locked="0"/>
    </xf>
    <xf numFmtId="7" fontId="7" fillId="0" borderId="1" xfId="2" applyNumberFormat="1" applyFont="1" applyBorder="1" applyProtection="1">
      <protection locked="0"/>
    </xf>
    <xf numFmtId="164" fontId="7" fillId="0" borderId="0" xfId="0" applyFont="1" applyBorder="1" applyAlignment="1">
      <alignment horizontal="right"/>
    </xf>
    <xf numFmtId="173" fontId="7" fillId="0" borderId="0" xfId="2" applyNumberFormat="1" applyFont="1" applyFill="1" applyBorder="1"/>
    <xf numFmtId="173" fontId="7" fillId="0" borderId="0" xfId="2" applyNumberFormat="1" applyFont="1" applyFill="1" applyProtection="1">
      <protection locked="0"/>
    </xf>
    <xf numFmtId="165" fontId="7" fillId="0" borderId="0" xfId="0" applyNumberFormat="1" applyFont="1"/>
    <xf numFmtId="5" fontId="11" fillId="0" borderId="0" xfId="2" applyNumberFormat="1" applyFont="1" applyBorder="1"/>
    <xf numFmtId="164" fontId="7" fillId="0" borderId="0" xfId="0" applyFont="1" applyBorder="1" applyAlignment="1">
      <alignment horizontal="left" indent="2"/>
    </xf>
    <xf numFmtId="164" fontId="7" fillId="0" borderId="1" xfId="0" applyFont="1" applyFill="1" applyBorder="1" applyAlignment="1" applyProtection="1">
      <alignment horizontal="center"/>
      <protection locked="0"/>
    </xf>
    <xf numFmtId="170" fontId="1" fillId="0" borderId="1" xfId="1" quotePrefix="1" applyNumberFormat="1" applyFont="1" applyBorder="1" applyAlignment="1">
      <alignment horizontal="center"/>
    </xf>
    <xf numFmtId="164" fontId="1" fillId="0" borderId="1" xfId="0" quotePrefix="1" applyFont="1" applyBorder="1" applyAlignment="1">
      <alignment horizontal="center"/>
    </xf>
    <xf numFmtId="164" fontId="1" fillId="0" borderId="1" xfId="0" applyFont="1" applyBorder="1" applyAlignment="1">
      <alignment horizontal="center"/>
    </xf>
    <xf numFmtId="164" fontId="16" fillId="0" borderId="1" xfId="0" applyFont="1" applyBorder="1" applyAlignment="1">
      <alignment horizontal="center"/>
    </xf>
    <xf numFmtId="164" fontId="1" fillId="0" borderId="1" xfId="0" applyFont="1" applyFill="1" applyBorder="1" applyAlignment="1">
      <alignment horizontal="center"/>
    </xf>
    <xf numFmtId="164" fontId="11" fillId="0" borderId="0" xfId="0" applyFont="1" applyBorder="1" applyAlignment="1" applyProtection="1">
      <alignment horizontal="left"/>
      <protection locked="0"/>
    </xf>
    <xf numFmtId="164" fontId="0" fillId="0" borderId="1" xfId="0" applyFont="1" applyFill="1" applyBorder="1"/>
    <xf numFmtId="164" fontId="7" fillId="0" borderId="1" xfId="0" applyFont="1" applyBorder="1" applyAlignment="1" applyProtection="1">
      <alignment horizontal="left"/>
      <protection locked="0"/>
    </xf>
    <xf numFmtId="164" fontId="7" fillId="0" borderId="1" xfId="0" applyFont="1" applyBorder="1" applyAlignment="1" applyProtection="1">
      <alignment horizontal="left" indent="2"/>
    </xf>
    <xf numFmtId="6" fontId="44" fillId="0" borderId="0" xfId="2" applyNumberFormat="1" applyFont="1" applyFill="1" applyBorder="1" applyAlignment="1" applyProtection="1">
      <alignment horizontal="left"/>
      <protection locked="0"/>
    </xf>
    <xf numFmtId="164" fontId="47" fillId="0" borderId="0" xfId="0" applyFont="1" applyAlignment="1">
      <alignment horizontal="center"/>
    </xf>
    <xf numFmtId="164" fontId="7" fillId="39" borderId="0" xfId="0" applyFont="1" applyFill="1" applyAlignment="1">
      <alignment horizontal="center"/>
    </xf>
  </cellXfs>
  <cellStyles count="45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urrency" xfId="2" builtinId="4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te 2" xfId="40"/>
    <cellStyle name="Output 2" xfId="41"/>
    <cellStyle name="Percent" xfId="3" builtinId="5"/>
    <cellStyle name="Title 2" xfId="42"/>
    <cellStyle name="Total 2" xfId="43"/>
    <cellStyle name="Warning Tex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22" sel="1" val="0">
  <itemLst>
    <item val="R1 - Base January 2008"/>
  </itemLst>
</formControlPr>
</file>

<file path=xl/ctrlProps/ctrlProp2.xml><?xml version="1.0" encoding="utf-8"?>
<formControlPr xmlns="http://schemas.microsoft.com/office/spreadsheetml/2009/9/main" objectType="Drop" dropStyle="combo" dx="22" sel="1" val="0">
  <itemLst>
    <item val="Total"/>
  </itemLst>
</formControlPr>
</file>

<file path=xl/ctrlProps/ctrlProp3.xml><?xml version="1.0" encoding="utf-8"?>
<formControlPr xmlns="http://schemas.microsoft.com/office/spreadsheetml/2009/9/main" objectType="Drop" dropStyle="combo" dx="22" sel="1" val="0">
  <itemLst>
    <item val="Total Company 01"/>
  </itemLst>
</formControlPr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6152" name="adaytum_page_1_drop_1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971550</xdr:colOff>
          <xdr:row>2</xdr:row>
          <xdr:rowOff>0</xdr:rowOff>
        </xdr:to>
        <xdr:sp macro="" textlink="">
          <xdr:nvSpPr>
            <xdr:cNvPr id="6154" name="adaytum_page_1_drop_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0</xdr:rowOff>
        </xdr:from>
        <xdr:to>
          <xdr:col>2</xdr:col>
          <xdr:colOff>1000125</xdr:colOff>
          <xdr:row>2</xdr:row>
          <xdr:rowOff>0</xdr:rowOff>
        </xdr:to>
        <xdr:sp macro="" textlink="">
          <xdr:nvSpPr>
            <xdr:cNvPr id="6156" name="adaytum_page_1_drop_3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V825"/>
  <sheetViews>
    <sheetView tabSelected="1" view="pageBreakPreview" topLeftCell="A41" zoomScale="50" zoomScaleNormal="90" zoomScaleSheetLayoutView="50" workbookViewId="0">
      <selection activeCell="C76" sqref="C76"/>
    </sheetView>
  </sheetViews>
  <sheetFormatPr defaultColWidth="9.77734375" defaultRowHeight="15.75" x14ac:dyDescent="0.25"/>
  <cols>
    <col min="1" max="1" width="9.77734375" style="66"/>
    <col min="2" max="2" width="48.77734375" style="66" customWidth="1"/>
    <col min="3" max="3" width="18.44140625" style="66" customWidth="1"/>
    <col min="4" max="4" width="19.33203125" style="66" bestFit="1" customWidth="1"/>
    <col min="5" max="5" width="17.33203125" style="66" customWidth="1"/>
    <col min="6" max="6" width="15.77734375" style="66" bestFit="1" customWidth="1"/>
    <col min="7" max="7" width="16.33203125" style="66" bestFit="1" customWidth="1"/>
    <col min="8" max="8" width="13.77734375" style="66" customWidth="1"/>
    <col min="9" max="9" width="15.33203125" style="66" customWidth="1"/>
    <col min="10" max="10" width="16.21875" style="66" customWidth="1"/>
    <col min="11" max="11" width="16.44140625" style="66" customWidth="1"/>
    <col min="12" max="12" width="15.6640625" style="66" customWidth="1"/>
    <col min="13" max="13" width="16.44140625" style="66" bestFit="1" customWidth="1"/>
    <col min="14" max="14" width="17" style="66" customWidth="1"/>
    <col min="15" max="15" width="13.77734375" style="66" customWidth="1"/>
    <col min="16" max="16" width="16.109375" style="66" customWidth="1"/>
    <col min="17" max="17" width="20.88671875" style="66" bestFit="1" customWidth="1"/>
    <col min="18" max="18" width="15.21875" style="66" bestFit="1" customWidth="1"/>
    <col min="19" max="19" width="13.77734375" style="66" customWidth="1"/>
    <col min="20" max="20" width="17.6640625" style="66" bestFit="1" customWidth="1"/>
    <col min="21" max="21" width="13.77734375" style="66" customWidth="1"/>
    <col min="22" max="22" width="16.44140625" style="66" bestFit="1" customWidth="1"/>
    <col min="23" max="23" width="12.33203125" style="107" customWidth="1"/>
    <col min="24" max="24" width="15.6640625" style="66" customWidth="1"/>
    <col min="25" max="25" width="11.109375" style="66" bestFit="1" customWidth="1"/>
    <col min="26" max="16384" width="9.77734375" style="66"/>
  </cols>
  <sheetData>
    <row r="1" spans="1:63" s="108" customFormat="1" ht="18" x14ac:dyDescent="0.25">
      <c r="A1" s="13" t="s">
        <v>0</v>
      </c>
      <c r="B1" s="13"/>
      <c r="C1" s="14"/>
      <c r="D1" s="15"/>
      <c r="E1" s="15"/>
      <c r="F1" s="15"/>
      <c r="G1" s="15"/>
      <c r="H1" s="14"/>
      <c r="I1" s="14"/>
      <c r="J1" s="246" t="s">
        <v>274</v>
      </c>
      <c r="K1" s="15"/>
      <c r="L1" s="15"/>
      <c r="M1" s="14"/>
      <c r="N1" s="15"/>
      <c r="O1" s="15"/>
      <c r="P1" s="15"/>
      <c r="S1" s="13"/>
      <c r="T1" s="246" t="s">
        <v>275</v>
      </c>
      <c r="V1" s="15"/>
      <c r="W1" s="15"/>
    </row>
    <row r="2" spans="1:63" s="107" customFormat="1" ht="18" x14ac:dyDescent="0.25">
      <c r="A2" s="99"/>
      <c r="B2" s="99"/>
      <c r="C2" s="29"/>
      <c r="D2" s="28"/>
      <c r="E2" s="28"/>
      <c r="F2" s="30" t="s">
        <v>104</v>
      </c>
      <c r="G2" s="28"/>
      <c r="H2" s="29"/>
      <c r="I2" s="29"/>
      <c r="J2" s="236"/>
      <c r="K2" s="30"/>
      <c r="L2" s="28"/>
      <c r="N2" s="30"/>
      <c r="O2" s="28"/>
      <c r="P2" s="30" t="s">
        <v>104</v>
      </c>
      <c r="S2" s="29"/>
      <c r="T2" s="236"/>
      <c r="V2" s="28"/>
      <c r="W2" s="28"/>
    </row>
    <row r="3" spans="1:63" ht="18" x14ac:dyDescent="0.25">
      <c r="A3" s="6" t="s">
        <v>1</v>
      </c>
      <c r="B3" s="6"/>
      <c r="C3" s="7"/>
      <c r="D3" s="5"/>
      <c r="E3" s="5"/>
      <c r="F3" s="10"/>
      <c r="G3" s="5"/>
      <c r="H3" s="7"/>
      <c r="I3" s="7"/>
      <c r="J3" s="101" t="s">
        <v>2</v>
      </c>
      <c r="K3" s="10"/>
      <c r="L3" s="5"/>
      <c r="N3" s="10"/>
      <c r="O3" s="5"/>
      <c r="P3" s="10"/>
      <c r="S3" s="6"/>
      <c r="T3" s="101" t="s">
        <v>2</v>
      </c>
      <c r="V3" s="5"/>
      <c r="W3" s="28"/>
    </row>
    <row r="4" spans="1:63" ht="18" x14ac:dyDescent="0.25">
      <c r="A4" s="9" t="s">
        <v>71</v>
      </c>
      <c r="B4" s="9"/>
      <c r="C4" s="7"/>
      <c r="D4" s="5"/>
      <c r="E4" s="5"/>
      <c r="F4" s="8" t="s">
        <v>254</v>
      </c>
      <c r="G4" s="5"/>
      <c r="H4" s="7"/>
      <c r="I4" s="7"/>
      <c r="J4" s="102" t="s">
        <v>179</v>
      </c>
      <c r="K4" s="8"/>
      <c r="L4" s="5"/>
      <c r="N4" s="8"/>
      <c r="O4" s="5"/>
      <c r="P4" s="8" t="s">
        <v>254</v>
      </c>
      <c r="S4" s="9"/>
      <c r="T4" s="102" t="s">
        <v>179</v>
      </c>
      <c r="V4" s="5"/>
      <c r="W4" s="28"/>
    </row>
    <row r="5" spans="1:63" ht="18" x14ac:dyDescent="0.25">
      <c r="A5" s="21" t="s">
        <v>249</v>
      </c>
      <c r="B5" s="21"/>
      <c r="C5" s="14"/>
      <c r="D5" s="14"/>
      <c r="E5" s="14"/>
      <c r="F5" s="25" t="s">
        <v>255</v>
      </c>
      <c r="G5" s="14"/>
      <c r="H5" s="14"/>
      <c r="I5" s="14"/>
      <c r="J5" s="103" t="s">
        <v>162</v>
      </c>
      <c r="K5" s="15"/>
      <c r="L5" s="15"/>
      <c r="M5" s="14"/>
      <c r="N5" s="15"/>
      <c r="O5" s="15"/>
      <c r="P5" s="25" t="s">
        <v>255</v>
      </c>
      <c r="Q5" s="108"/>
      <c r="R5" s="108"/>
      <c r="S5" s="21"/>
      <c r="T5" s="103" t="s">
        <v>162</v>
      </c>
      <c r="U5" s="108"/>
      <c r="V5" s="15"/>
      <c r="W5" s="28"/>
    </row>
    <row r="6" spans="1:63" ht="18" x14ac:dyDescent="0.25">
      <c r="A6" s="5"/>
      <c r="B6" s="7"/>
      <c r="C6" s="7"/>
      <c r="D6" s="7"/>
      <c r="E6" s="7"/>
      <c r="F6" s="10" t="s">
        <v>3</v>
      </c>
      <c r="G6" s="7"/>
      <c r="H6" s="7"/>
      <c r="I6" s="7"/>
      <c r="J6" s="7"/>
      <c r="K6" s="7"/>
      <c r="L6" s="7"/>
      <c r="M6" s="7"/>
      <c r="N6" s="5"/>
      <c r="O6" s="5"/>
      <c r="P6" s="10" t="s">
        <v>3</v>
      </c>
      <c r="R6" s="5"/>
      <c r="S6" s="5"/>
      <c r="T6" s="5"/>
      <c r="U6" s="5"/>
      <c r="V6" s="5"/>
      <c r="W6" s="28"/>
    </row>
    <row r="7" spans="1:63" ht="18" x14ac:dyDescent="0.25">
      <c r="A7" s="5"/>
      <c r="B7" s="5"/>
      <c r="C7" s="7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109"/>
      <c r="X7" s="61"/>
    </row>
    <row r="8" spans="1:63" ht="18" x14ac:dyDescent="0.25">
      <c r="A8" s="5"/>
      <c r="B8" s="7"/>
      <c r="C8" s="11"/>
      <c r="D8" s="61"/>
      <c r="E8" s="61"/>
      <c r="F8" s="61" t="s">
        <v>72</v>
      </c>
      <c r="G8" s="61" t="s">
        <v>73</v>
      </c>
      <c r="H8" s="61" t="s">
        <v>73</v>
      </c>
      <c r="I8" s="110"/>
      <c r="J8" s="110"/>
      <c r="K8" s="110"/>
      <c r="L8" s="110"/>
      <c r="M8" s="110"/>
      <c r="N8" s="110"/>
      <c r="O8" s="61"/>
      <c r="P8" s="61"/>
      <c r="Q8" s="61"/>
      <c r="R8" s="61"/>
      <c r="S8" s="61"/>
      <c r="T8" s="61" t="s">
        <v>252</v>
      </c>
      <c r="U8" s="61"/>
      <c r="V8" s="61"/>
      <c r="W8" s="111"/>
      <c r="X8" s="112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</row>
    <row r="9" spans="1:63" ht="18" x14ac:dyDescent="0.25">
      <c r="A9" s="5"/>
      <c r="B9" s="6"/>
      <c r="C9" s="11"/>
      <c r="D9" s="61" t="s">
        <v>72</v>
      </c>
      <c r="E9" s="61" t="s">
        <v>72</v>
      </c>
      <c r="F9" s="61" t="s">
        <v>175</v>
      </c>
      <c r="G9" s="61" t="s">
        <v>175</v>
      </c>
      <c r="H9" s="61" t="s">
        <v>74</v>
      </c>
      <c r="I9" s="61" t="s">
        <v>75</v>
      </c>
      <c r="J9" s="61" t="s">
        <v>76</v>
      </c>
      <c r="K9" s="61" t="s">
        <v>76</v>
      </c>
      <c r="L9" s="61" t="s">
        <v>76</v>
      </c>
      <c r="M9" s="61" t="s">
        <v>76</v>
      </c>
      <c r="N9" s="61" t="s">
        <v>76</v>
      </c>
      <c r="O9" s="61" t="s">
        <v>73</v>
      </c>
      <c r="P9" s="61"/>
      <c r="Q9" s="61" t="s">
        <v>171</v>
      </c>
      <c r="R9" s="110" t="s">
        <v>83</v>
      </c>
      <c r="S9" s="110" t="s">
        <v>83</v>
      </c>
      <c r="T9" s="110" t="s">
        <v>84</v>
      </c>
      <c r="U9" s="61" t="s">
        <v>85</v>
      </c>
      <c r="V9" s="69" t="s">
        <v>190</v>
      </c>
      <c r="W9" s="111"/>
      <c r="X9" s="112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</row>
    <row r="10" spans="1:63" s="108" customFormat="1" ht="18" x14ac:dyDescent="0.25">
      <c r="A10" s="25" t="s">
        <v>70</v>
      </c>
      <c r="B10" s="245" t="s">
        <v>3</v>
      </c>
      <c r="C10" s="237" t="s">
        <v>19</v>
      </c>
      <c r="D10" s="238" t="s">
        <v>182</v>
      </c>
      <c r="E10" s="238" t="s">
        <v>172</v>
      </c>
      <c r="F10" s="239" t="s">
        <v>176</v>
      </c>
      <c r="G10" s="239" t="s">
        <v>176</v>
      </c>
      <c r="H10" s="240" t="s">
        <v>77</v>
      </c>
      <c r="I10" s="240" t="s">
        <v>78</v>
      </c>
      <c r="J10" s="240" t="s">
        <v>79</v>
      </c>
      <c r="K10" s="240" t="s">
        <v>80</v>
      </c>
      <c r="L10" s="240" t="s">
        <v>81</v>
      </c>
      <c r="M10" s="240" t="s">
        <v>82</v>
      </c>
      <c r="N10" s="240" t="s">
        <v>86</v>
      </c>
      <c r="O10" s="240" t="s">
        <v>172</v>
      </c>
      <c r="P10" s="240" t="s">
        <v>247</v>
      </c>
      <c r="Q10" s="240" t="s">
        <v>89</v>
      </c>
      <c r="R10" s="240" t="s">
        <v>78</v>
      </c>
      <c r="S10" s="240" t="s">
        <v>87</v>
      </c>
      <c r="T10" s="240" t="s">
        <v>88</v>
      </c>
      <c r="U10" s="240"/>
      <c r="V10" s="241" t="s">
        <v>191</v>
      </c>
      <c r="W10" s="242"/>
      <c r="X10" s="242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</row>
    <row r="11" spans="1:63" ht="18" x14ac:dyDescent="0.25">
      <c r="A11" s="10"/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62"/>
      <c r="X11" s="114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</row>
    <row r="12" spans="1:63" ht="21.6" customHeight="1" x14ac:dyDescent="0.35">
      <c r="A12" s="10">
        <v>1</v>
      </c>
      <c r="B12" s="76" t="s">
        <v>66</v>
      </c>
      <c r="C12" s="75">
        <v>1578725509.1567204</v>
      </c>
      <c r="D12" s="75">
        <v>539129912.15716386</v>
      </c>
      <c r="E12" s="75">
        <v>1264784.3298508227</v>
      </c>
      <c r="F12" s="75">
        <v>46616.403960604286</v>
      </c>
      <c r="G12" s="75">
        <v>48546.610461830482</v>
      </c>
      <c r="H12" s="75">
        <v>794200.93134879007</v>
      </c>
      <c r="I12" s="75">
        <v>32375848.029099114</v>
      </c>
      <c r="J12" s="75">
        <v>180552375.65720782</v>
      </c>
      <c r="K12" s="75">
        <v>256339646.32386321</v>
      </c>
      <c r="L12" s="75">
        <v>145166682.60508212</v>
      </c>
      <c r="M12" s="75">
        <v>103406575.27287014</v>
      </c>
      <c r="N12" s="75">
        <v>139236687.36086327</v>
      </c>
      <c r="O12" s="75">
        <v>3225157.9015270392</v>
      </c>
      <c r="P12" s="75">
        <v>37192126.989462979</v>
      </c>
      <c r="Q12" s="75">
        <v>43152471.07216315</v>
      </c>
      <c r="R12" s="75">
        <v>54315717.141574964</v>
      </c>
      <c r="S12" s="75">
        <v>690315.79469882068</v>
      </c>
      <c r="T12" s="75">
        <v>0</v>
      </c>
      <c r="U12" s="75">
        <v>3189488.6970380996</v>
      </c>
      <c r="V12" s="75">
        <v>38598355.878483608</v>
      </c>
      <c r="W12" s="115"/>
      <c r="X12" s="116">
        <f t="shared" ref="X12:X29" si="0">SUM(D12:V12)</f>
        <v>1578725509.1567197</v>
      </c>
      <c r="Y12" s="113">
        <f t="shared" ref="Y12:Y29" si="1">+X12-C12</f>
        <v>0</v>
      </c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</row>
    <row r="13" spans="1:63" ht="21.6" customHeight="1" x14ac:dyDescent="0.35">
      <c r="A13" s="10">
        <f>+A12+1</f>
        <v>2</v>
      </c>
      <c r="B13" s="76" t="s">
        <v>4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115"/>
      <c r="X13" s="116">
        <f t="shared" si="0"/>
        <v>0</v>
      </c>
      <c r="Y13" s="113">
        <f t="shared" si="1"/>
        <v>0</v>
      </c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</row>
    <row r="14" spans="1:63" ht="21.6" customHeight="1" x14ac:dyDescent="0.35">
      <c r="A14" s="10">
        <f t="shared" ref="A14:A29" si="2">+A13+1</f>
        <v>3</v>
      </c>
      <c r="B14" s="76" t="s">
        <v>5</v>
      </c>
      <c r="C14" s="75">
        <v>121397580.16913772</v>
      </c>
      <c r="D14" s="75">
        <v>58951917.892739333</v>
      </c>
      <c r="E14" s="75">
        <v>129546.27143738876</v>
      </c>
      <c r="F14" s="75">
        <v>3807.1735341037656</v>
      </c>
      <c r="G14" s="75">
        <v>3033.4373018988776</v>
      </c>
      <c r="H14" s="75">
        <v>40174.650129491019</v>
      </c>
      <c r="I14" s="75">
        <v>2897519.8574791579</v>
      </c>
      <c r="J14" s="75">
        <v>11655534.904224336</v>
      </c>
      <c r="K14" s="75">
        <v>14043236.933123549</v>
      </c>
      <c r="L14" s="75">
        <v>7505733.0323742665</v>
      </c>
      <c r="M14" s="75">
        <v>5318165.71172499</v>
      </c>
      <c r="N14" s="75">
        <v>8065592.5538293784</v>
      </c>
      <c r="O14" s="75">
        <v>296001.23504061333</v>
      </c>
      <c r="P14" s="75">
        <v>1113579.5868458769</v>
      </c>
      <c r="Q14" s="75">
        <v>2606479.1264331513</v>
      </c>
      <c r="R14" s="75">
        <v>4875571.6307093957</v>
      </c>
      <c r="S14" s="75">
        <v>185678.06332217169</v>
      </c>
      <c r="T14" s="75">
        <v>9.0201907401635392E-4</v>
      </c>
      <c r="U14" s="75">
        <v>140616.76671722974</v>
      </c>
      <c r="V14" s="75">
        <v>3565391.3412693408</v>
      </c>
      <c r="W14" s="115"/>
      <c r="X14" s="116">
        <f t="shared" si="0"/>
        <v>121397580.16913767</v>
      </c>
      <c r="Y14" s="113">
        <f t="shared" si="1"/>
        <v>0</v>
      </c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</row>
    <row r="15" spans="1:63" ht="21.6" customHeight="1" x14ac:dyDescent="0.35">
      <c r="A15" s="10">
        <f t="shared" si="2"/>
        <v>4</v>
      </c>
      <c r="B15" s="76" t="s">
        <v>6</v>
      </c>
      <c r="C15" s="75">
        <v>52929996.344444513</v>
      </c>
      <c r="D15" s="75">
        <v>18157728.420787681</v>
      </c>
      <c r="E15" s="75">
        <v>42597.544403368942</v>
      </c>
      <c r="F15" s="75">
        <v>1559.7235232590231</v>
      </c>
      <c r="G15" s="75">
        <v>1624.9554711323976</v>
      </c>
      <c r="H15" s="75">
        <v>26541.755342663699</v>
      </c>
      <c r="I15" s="75">
        <v>1088041.729630175</v>
      </c>
      <c r="J15" s="75">
        <v>6046106.8388571981</v>
      </c>
      <c r="K15" s="75">
        <v>8572172.1124024689</v>
      </c>
      <c r="L15" s="75">
        <v>4852332.6847892767</v>
      </c>
      <c r="M15" s="75">
        <v>3456006.4474212518</v>
      </c>
      <c r="N15" s="75">
        <v>4653677.611081182</v>
      </c>
      <c r="O15" s="75">
        <v>108456.73341091277</v>
      </c>
      <c r="P15" s="75">
        <v>1242940.289116937</v>
      </c>
      <c r="Q15" s="75">
        <v>1442648.8791286999</v>
      </c>
      <c r="R15" s="75">
        <v>1815550.1514043561</v>
      </c>
      <c r="S15" s="75">
        <v>23142.823498438913</v>
      </c>
      <c r="T15" s="75">
        <v>0</v>
      </c>
      <c r="U15" s="75">
        <v>106607.65747834233</v>
      </c>
      <c r="V15" s="75">
        <v>1292259.9866971639</v>
      </c>
      <c r="W15" s="115"/>
      <c r="X15" s="116">
        <f t="shared" si="0"/>
        <v>52929996.344444506</v>
      </c>
      <c r="Y15" s="113">
        <f t="shared" si="1"/>
        <v>0</v>
      </c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</row>
    <row r="16" spans="1:63" ht="21.6" customHeight="1" x14ac:dyDescent="0.35">
      <c r="A16" s="10">
        <f t="shared" si="2"/>
        <v>5</v>
      </c>
      <c r="B16" s="76" t="s">
        <v>7</v>
      </c>
      <c r="C16" s="75">
        <v>4685938.1753702555</v>
      </c>
      <c r="D16" s="75">
        <v>624167.30956788885</v>
      </c>
      <c r="E16" s="75">
        <v>1464.27978590155</v>
      </c>
      <c r="F16" s="75">
        <v>157.12142494144143</v>
      </c>
      <c r="G16" s="75">
        <v>157.12142494144143</v>
      </c>
      <c r="H16" s="75">
        <v>2988.8780153633297</v>
      </c>
      <c r="I16" s="75">
        <v>61179.70679762154</v>
      </c>
      <c r="J16" s="75">
        <v>557872.83355194121</v>
      </c>
      <c r="K16" s="75">
        <v>910205.0219610784</v>
      </c>
      <c r="L16" s="75">
        <v>536880.05782834685</v>
      </c>
      <c r="M16" s="75">
        <v>386995.70568273257</v>
      </c>
      <c r="N16" s="75">
        <v>810061.58349222702</v>
      </c>
      <c r="O16" s="75">
        <v>5391.761106420784</v>
      </c>
      <c r="P16" s="75">
        <v>0</v>
      </c>
      <c r="Q16" s="75">
        <v>243606.26508660454</v>
      </c>
      <c r="R16" s="75">
        <v>532974.5989983076</v>
      </c>
      <c r="S16" s="75">
        <v>0</v>
      </c>
      <c r="T16" s="75">
        <v>0</v>
      </c>
      <c r="U16" s="75">
        <v>11835.930645937717</v>
      </c>
      <c r="V16" s="75">
        <v>0</v>
      </c>
      <c r="W16" s="115"/>
      <c r="X16" s="116">
        <f t="shared" si="0"/>
        <v>4685938.1753702555</v>
      </c>
      <c r="Y16" s="113">
        <f t="shared" si="1"/>
        <v>0</v>
      </c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</row>
    <row r="17" spans="1:63" ht="21.6" customHeight="1" x14ac:dyDescent="0.35">
      <c r="A17" s="10">
        <f t="shared" si="2"/>
        <v>6</v>
      </c>
      <c r="B17" s="76" t="s">
        <v>8</v>
      </c>
      <c r="C17" s="75">
        <v>19056381.744208299</v>
      </c>
      <c r="D17" s="75">
        <v>7037330.2906189365</v>
      </c>
      <c r="E17" s="75">
        <v>16509.388321538143</v>
      </c>
      <c r="F17" s="75">
        <v>542.18657466734123</v>
      </c>
      <c r="G17" s="75">
        <v>568.81817540180293</v>
      </c>
      <c r="H17" s="75">
        <v>9036.6502099605786</v>
      </c>
      <c r="I17" s="75">
        <v>407374.14371356077</v>
      </c>
      <c r="J17" s="75">
        <v>2132547.5385688357</v>
      </c>
      <c r="K17" s="75">
        <v>2951737.008193518</v>
      </c>
      <c r="L17" s="75">
        <v>1657814.740865984</v>
      </c>
      <c r="M17" s="75">
        <v>1177980.0759210275</v>
      </c>
      <c r="N17" s="75">
        <v>1587265.8309862195</v>
      </c>
      <c r="O17" s="75">
        <v>41032.743085647526</v>
      </c>
      <c r="P17" s="75">
        <v>423182.88596996007</v>
      </c>
      <c r="Q17" s="75">
        <v>494329.87260958314</v>
      </c>
      <c r="R17" s="75">
        <v>620265.88320168399</v>
      </c>
      <c r="S17" s="75">
        <v>8323.4624650071109</v>
      </c>
      <c r="T17" s="75">
        <v>0</v>
      </c>
      <c r="U17" s="75">
        <v>36398.482370783735</v>
      </c>
      <c r="V17" s="75">
        <v>454141.74235598196</v>
      </c>
      <c r="W17" s="115"/>
      <c r="X17" s="116">
        <f t="shared" si="0"/>
        <v>19056381.744208295</v>
      </c>
      <c r="Y17" s="113">
        <f t="shared" si="1"/>
        <v>0</v>
      </c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</row>
    <row r="18" spans="1:63" ht="21.6" customHeight="1" x14ac:dyDescent="0.35">
      <c r="A18" s="10">
        <f t="shared" si="2"/>
        <v>7</v>
      </c>
      <c r="B18" s="117" t="s">
        <v>9</v>
      </c>
      <c r="C18" s="75">
        <v>2474659.3806721</v>
      </c>
      <c r="D18" s="75">
        <v>962083.52748982713</v>
      </c>
      <c r="E18" s="75">
        <v>2203.5131058514844</v>
      </c>
      <c r="F18" s="75">
        <v>77.505322610666781</v>
      </c>
      <c r="G18" s="75">
        <v>72.256745304948922</v>
      </c>
      <c r="H18" s="75">
        <v>1134.0797374391036</v>
      </c>
      <c r="I18" s="75">
        <v>51541.062433523701</v>
      </c>
      <c r="J18" s="75">
        <v>269995.15878280124</v>
      </c>
      <c r="K18" s="75">
        <v>371488.39051633893</v>
      </c>
      <c r="L18" s="75">
        <v>208403.92860506478</v>
      </c>
      <c r="M18" s="75">
        <v>148714.23264042375</v>
      </c>
      <c r="N18" s="75">
        <v>207509.42200398416</v>
      </c>
      <c r="O18" s="75">
        <v>5173.3336090274715</v>
      </c>
      <c r="P18" s="75">
        <v>10390.961762703202</v>
      </c>
      <c r="Q18" s="75">
        <v>65479.175241051489</v>
      </c>
      <c r="R18" s="75">
        <v>97019.560695774577</v>
      </c>
      <c r="S18" s="75">
        <v>2148.0851722805769</v>
      </c>
      <c r="T18" s="75">
        <v>7.1154624373289714E-6</v>
      </c>
      <c r="U18" s="75">
        <v>4327.5832356561023</v>
      </c>
      <c r="V18" s="75">
        <v>66897.603565321086</v>
      </c>
      <c r="W18" s="115"/>
      <c r="X18" s="116">
        <f t="shared" si="0"/>
        <v>2474659.3806720991</v>
      </c>
      <c r="Y18" s="113">
        <f t="shared" si="1"/>
        <v>0</v>
      </c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</row>
    <row r="19" spans="1:63" ht="21.6" customHeight="1" x14ac:dyDescent="0.35">
      <c r="A19" s="10">
        <f t="shared" si="2"/>
        <v>8</v>
      </c>
      <c r="B19" s="117" t="s">
        <v>173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115"/>
      <c r="X19" s="116">
        <f t="shared" si="0"/>
        <v>0</v>
      </c>
      <c r="Y19" s="113">
        <f t="shared" si="1"/>
        <v>0</v>
      </c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</row>
    <row r="20" spans="1:63" ht="21.6" customHeight="1" x14ac:dyDescent="0.35">
      <c r="A20" s="10">
        <f>+A19+1</f>
        <v>9</v>
      </c>
      <c r="B20" s="76" t="s">
        <v>112</v>
      </c>
      <c r="C20" s="75">
        <v>104638261.00000003</v>
      </c>
      <c r="D20" s="75">
        <v>35733644.72418125</v>
      </c>
      <c r="E20" s="75">
        <v>83830.173166919165</v>
      </c>
      <c r="F20" s="75">
        <v>3089.7451242912171</v>
      </c>
      <c r="G20" s="75">
        <v>3217.6796198623233</v>
      </c>
      <c r="H20" s="75">
        <v>52639.805880699212</v>
      </c>
      <c r="I20" s="75">
        <v>2145878.0620924942</v>
      </c>
      <c r="J20" s="75">
        <v>11967049.68571803</v>
      </c>
      <c r="K20" s="75">
        <v>16990246.031440653</v>
      </c>
      <c r="L20" s="75">
        <v>9621678.4582447838</v>
      </c>
      <c r="M20" s="75">
        <v>6853809.7026749197</v>
      </c>
      <c r="N20" s="75">
        <v>9228637.117939353</v>
      </c>
      <c r="O20" s="75">
        <v>213764.14855452717</v>
      </c>
      <c r="P20" s="75">
        <v>2465102.0513042463</v>
      </c>
      <c r="Q20" s="75">
        <v>2860154.919049778</v>
      </c>
      <c r="R20" s="75">
        <v>3600057.2320505236</v>
      </c>
      <c r="S20" s="75">
        <v>45754.277028627534</v>
      </c>
      <c r="T20" s="75">
        <v>0</v>
      </c>
      <c r="U20" s="75">
        <v>211399.98612899592</v>
      </c>
      <c r="V20" s="75">
        <v>2558307.1998000601</v>
      </c>
      <c r="W20" s="115"/>
      <c r="X20" s="116">
        <f t="shared" si="0"/>
        <v>104638261.00000001</v>
      </c>
      <c r="Y20" s="113">
        <f t="shared" si="1"/>
        <v>0</v>
      </c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</row>
    <row r="21" spans="1:63" ht="21.6" customHeight="1" x14ac:dyDescent="0.35">
      <c r="A21" s="10">
        <f t="shared" si="2"/>
        <v>10</v>
      </c>
      <c r="B21" s="76" t="s">
        <v>10</v>
      </c>
      <c r="C21" s="75">
        <v>25497142.344745822</v>
      </c>
      <c r="D21" s="75">
        <v>8707195.7936019637</v>
      </c>
      <c r="E21" s="75">
        <v>20426.848053425019</v>
      </c>
      <c r="F21" s="75">
        <v>752.87634265096881</v>
      </c>
      <c r="G21" s="75">
        <v>784.05006451146255</v>
      </c>
      <c r="H21" s="75">
        <v>12826.709950196666</v>
      </c>
      <c r="I21" s="75">
        <v>522884.82129533507</v>
      </c>
      <c r="J21" s="75">
        <v>2916003.8246755479</v>
      </c>
      <c r="K21" s="75">
        <v>4140003.0676723025</v>
      </c>
      <c r="L21" s="75">
        <v>2344508.623334649</v>
      </c>
      <c r="M21" s="75">
        <v>1670063.7025390018</v>
      </c>
      <c r="N21" s="75">
        <v>2248736.475504925</v>
      </c>
      <c r="O21" s="75">
        <v>52087.781962452238</v>
      </c>
      <c r="P21" s="75">
        <v>600669.93942520954</v>
      </c>
      <c r="Q21" s="75">
        <v>696932.23494068894</v>
      </c>
      <c r="R21" s="75">
        <v>877223.78810198128</v>
      </c>
      <c r="S21" s="75">
        <v>11148.917261534476</v>
      </c>
      <c r="T21" s="75">
        <v>0</v>
      </c>
      <c r="U21" s="75">
        <v>51511.707921142719</v>
      </c>
      <c r="V21" s="75">
        <v>623381.18209829764</v>
      </c>
      <c r="W21" s="115"/>
      <c r="X21" s="116">
        <f t="shared" si="0"/>
        <v>25497142.344745819</v>
      </c>
      <c r="Y21" s="113">
        <f t="shared" si="1"/>
        <v>0</v>
      </c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</row>
    <row r="22" spans="1:63" ht="21.6" customHeight="1" x14ac:dyDescent="0.35">
      <c r="A22" s="10">
        <f t="shared" si="2"/>
        <v>11</v>
      </c>
      <c r="B22" s="76" t="s">
        <v>11</v>
      </c>
      <c r="C22" s="75">
        <v>-14495546.867221706</v>
      </c>
      <c r="D22" s="75">
        <v>-7249750.7416617628</v>
      </c>
      <c r="E22" s="75">
        <v>-15037.656885048627</v>
      </c>
      <c r="F22" s="75">
        <v>-83.564996870128667</v>
      </c>
      <c r="G22" s="75">
        <v>-226.15670156572986</v>
      </c>
      <c r="H22" s="75">
        <v>-442.45207768271058</v>
      </c>
      <c r="I22" s="75">
        <v>-589076.50284315669</v>
      </c>
      <c r="J22" s="75">
        <v>-1048136.6682616605</v>
      </c>
      <c r="K22" s="75">
        <v>-514439.75510889565</v>
      </c>
      <c r="L22" s="75">
        <v>-99818.783614614236</v>
      </c>
      <c r="M22" s="75">
        <v>-10687.347876960093</v>
      </c>
      <c r="N22" s="75">
        <v>-288237.94265886495</v>
      </c>
      <c r="O22" s="75">
        <v>-60916.790082940919</v>
      </c>
      <c r="P22" s="75">
        <v>-4528224.3575000996</v>
      </c>
      <c r="Q22" s="75">
        <v>-43430.783507828644</v>
      </c>
      <c r="R22" s="75">
        <v>-22584.007424070896</v>
      </c>
      <c r="S22" s="75">
        <v>-1737.2313403131461</v>
      </c>
      <c r="T22" s="75">
        <v>0</v>
      </c>
      <c r="U22" s="75">
        <v>-9767.7303430658794</v>
      </c>
      <c r="V22" s="75">
        <v>-12948.394336301197</v>
      </c>
      <c r="W22" s="115"/>
      <c r="X22" s="116">
        <f t="shared" si="0"/>
        <v>-14495546.867221706</v>
      </c>
      <c r="Y22" s="113">
        <f t="shared" si="1"/>
        <v>0</v>
      </c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</row>
    <row r="23" spans="1:63" ht="21.6" customHeight="1" x14ac:dyDescent="0.35">
      <c r="A23" s="10">
        <f t="shared" si="2"/>
        <v>12</v>
      </c>
      <c r="B23" s="76" t="s">
        <v>12</v>
      </c>
      <c r="C23" s="75">
        <v>115714871.36341134</v>
      </c>
      <c r="D23" s="75">
        <v>93331241.158609986</v>
      </c>
      <c r="E23" s="75">
        <v>212169.30687092626</v>
      </c>
      <c r="F23" s="75">
        <v>2617.9914969803244</v>
      </c>
      <c r="G23" s="75">
        <v>1952.635326119271</v>
      </c>
      <c r="H23" s="75">
        <v>6664.0652878966157</v>
      </c>
      <c r="I23" s="75">
        <v>3727445.7313686609</v>
      </c>
      <c r="J23" s="75">
        <v>8636960.5665010531</v>
      </c>
      <c r="K23" s="75">
        <v>5341417.2793833753</v>
      </c>
      <c r="L23" s="75">
        <v>1792063.7781852945</v>
      </c>
      <c r="M23" s="75">
        <v>1100569.3843821404</v>
      </c>
      <c r="N23" s="75">
        <v>264760.91164740507</v>
      </c>
      <c r="O23" s="75">
        <v>408493.74718187482</v>
      </c>
      <c r="P23" s="75">
        <v>-4528224.3575000996</v>
      </c>
      <c r="Q23" s="75">
        <v>431478.16373146279</v>
      </c>
      <c r="R23" s="75">
        <v>638577.69663167535</v>
      </c>
      <c r="S23" s="75">
        <v>209141.90728435139</v>
      </c>
      <c r="T23" s="75">
        <v>9.0201907401635392E-4</v>
      </c>
      <c r="U23" s="75">
        <v>5680.3557202631837</v>
      </c>
      <c r="V23" s="75">
        <v>4131861.0403999737</v>
      </c>
      <c r="W23" s="115"/>
      <c r="X23" s="116">
        <f t="shared" si="0"/>
        <v>115714871.36341134</v>
      </c>
      <c r="Y23" s="113">
        <f t="shared" si="1"/>
        <v>0</v>
      </c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</row>
    <row r="24" spans="1:63" ht="21.6" customHeight="1" x14ac:dyDescent="0.35">
      <c r="A24" s="10">
        <f t="shared" si="2"/>
        <v>13</v>
      </c>
      <c r="B24" s="76" t="s">
        <v>13</v>
      </c>
      <c r="C24" s="75">
        <v>197994881.54727361</v>
      </c>
      <c r="D24" s="75">
        <v>28630992.531225327</v>
      </c>
      <c r="E24" s="75">
        <v>67167.541412566687</v>
      </c>
      <c r="F24" s="75">
        <v>7207.2700300633041</v>
      </c>
      <c r="G24" s="75">
        <v>7207.2700300633041</v>
      </c>
      <c r="H24" s="75">
        <v>137101.93216279519</v>
      </c>
      <c r="I24" s="75">
        <v>2806356.0867965277</v>
      </c>
      <c r="J24" s="75">
        <v>25590018.390833177</v>
      </c>
      <c r="K24" s="75">
        <v>41751743.140301302</v>
      </c>
      <c r="L24" s="75">
        <v>24627065.035637397</v>
      </c>
      <c r="M24" s="75">
        <v>17751764.613704823</v>
      </c>
      <c r="N24" s="75">
        <v>26040972.318527017</v>
      </c>
      <c r="O24" s="75">
        <v>247323.86589575815</v>
      </c>
      <c r="P24" s="75">
        <v>5845474.7526622303</v>
      </c>
      <c r="Q24" s="75">
        <v>7869242.3500092141</v>
      </c>
      <c r="R24" s="75">
        <v>11660481.580410503</v>
      </c>
      <c r="S24" s="75">
        <v>63168.40495111519</v>
      </c>
      <c r="T24" s="75">
        <v>0</v>
      </c>
      <c r="U24" s="75">
        <v>542922.44519910309</v>
      </c>
      <c r="V24" s="75">
        <v>4348672.017484569</v>
      </c>
      <c r="W24" s="115"/>
      <c r="X24" s="116">
        <f t="shared" si="0"/>
        <v>197994881.54727355</v>
      </c>
      <c r="Y24" s="113">
        <f t="shared" si="1"/>
        <v>0</v>
      </c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</row>
    <row r="25" spans="1:63" ht="21.6" customHeight="1" x14ac:dyDescent="0.35">
      <c r="A25" s="10">
        <f t="shared" si="2"/>
        <v>14</v>
      </c>
      <c r="B25" s="76" t="s">
        <v>14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115"/>
      <c r="X25" s="116">
        <f t="shared" si="0"/>
        <v>0</v>
      </c>
      <c r="Y25" s="113">
        <f t="shared" si="1"/>
        <v>0</v>
      </c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</row>
    <row r="26" spans="1:63" ht="21.6" customHeight="1" x14ac:dyDescent="0.35">
      <c r="A26" s="10">
        <f t="shared" si="2"/>
        <v>15</v>
      </c>
      <c r="B26" s="76" t="s">
        <v>15</v>
      </c>
      <c r="C26" s="75">
        <v>2474659.3806721</v>
      </c>
      <c r="D26" s="75">
        <v>962083.52748982713</v>
      </c>
      <c r="E26" s="75">
        <v>2203.5131058514844</v>
      </c>
      <c r="F26" s="75">
        <v>77.505322610666781</v>
      </c>
      <c r="G26" s="75">
        <v>72.256745304948922</v>
      </c>
      <c r="H26" s="75">
        <v>1134.0797374391036</v>
      </c>
      <c r="I26" s="75">
        <v>51541.062433523701</v>
      </c>
      <c r="J26" s="75">
        <v>269995.15878280124</v>
      </c>
      <c r="K26" s="75">
        <v>371488.39051633893</v>
      </c>
      <c r="L26" s="75">
        <v>208403.92860506478</v>
      </c>
      <c r="M26" s="75">
        <v>148714.23264042375</v>
      </c>
      <c r="N26" s="75">
        <v>207509.42200398416</v>
      </c>
      <c r="O26" s="75">
        <v>5173.3336090274715</v>
      </c>
      <c r="P26" s="75">
        <v>10390.961762703202</v>
      </c>
      <c r="Q26" s="75">
        <v>65479.175241051489</v>
      </c>
      <c r="R26" s="75">
        <v>97019.560695774577</v>
      </c>
      <c r="S26" s="75">
        <v>2148.0851722805769</v>
      </c>
      <c r="T26" s="75">
        <v>7.1154624373289714E-6</v>
      </c>
      <c r="U26" s="75">
        <v>4327.5832356561023</v>
      </c>
      <c r="V26" s="75">
        <v>66897.603565321086</v>
      </c>
      <c r="W26" s="115"/>
      <c r="X26" s="116">
        <f t="shared" si="0"/>
        <v>2474659.3806720991</v>
      </c>
      <c r="Y26" s="113">
        <f t="shared" si="1"/>
        <v>0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</row>
    <row r="27" spans="1:63" ht="21.6" customHeight="1" x14ac:dyDescent="0.35">
      <c r="A27" s="10">
        <f t="shared" si="2"/>
        <v>16</v>
      </c>
      <c r="B27" s="76" t="s">
        <v>16</v>
      </c>
      <c r="C27" s="75">
        <v>425499.1225</v>
      </c>
      <c r="D27" s="75">
        <v>383532.99008017121</v>
      </c>
      <c r="E27" s="75">
        <v>899.7581193247205</v>
      </c>
      <c r="F27" s="75">
        <v>5</v>
      </c>
      <c r="G27" s="75">
        <v>5</v>
      </c>
      <c r="H27" s="75">
        <v>0</v>
      </c>
      <c r="I27" s="75">
        <v>11858.492314469993</v>
      </c>
      <c r="J27" s="75">
        <v>18515.058861090831</v>
      </c>
      <c r="K27" s="75">
        <v>8297.0031977809977</v>
      </c>
      <c r="L27" s="75">
        <v>957.81992716225022</v>
      </c>
      <c r="M27" s="75">
        <v>168</v>
      </c>
      <c r="N27" s="75">
        <v>165</v>
      </c>
      <c r="O27" s="75">
        <v>1027</v>
      </c>
      <c r="P27" s="75">
        <v>0</v>
      </c>
      <c r="Q27" s="75">
        <v>25</v>
      </c>
      <c r="R27" s="75">
        <v>13</v>
      </c>
      <c r="S27" s="75">
        <v>1</v>
      </c>
      <c r="T27" s="75">
        <v>0</v>
      </c>
      <c r="U27" s="75">
        <v>13</v>
      </c>
      <c r="V27" s="75">
        <v>16</v>
      </c>
      <c r="W27" s="115"/>
      <c r="X27" s="116">
        <f t="shared" si="0"/>
        <v>425499.1225</v>
      </c>
      <c r="Y27" s="113">
        <f t="shared" si="1"/>
        <v>0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</row>
    <row r="28" spans="1:63" ht="21.6" customHeight="1" x14ac:dyDescent="0.35">
      <c r="A28" s="10">
        <f t="shared" si="2"/>
        <v>17</v>
      </c>
      <c r="B28" s="76" t="s">
        <v>17</v>
      </c>
      <c r="C28" s="75">
        <v>353743622.50133729</v>
      </c>
      <c r="D28" s="75">
        <v>19862577.932974882</v>
      </c>
      <c r="E28" s="75">
        <v>46597.075683576615</v>
      </c>
      <c r="F28" s="75">
        <v>5000</v>
      </c>
      <c r="G28" s="75">
        <v>5000</v>
      </c>
      <c r="H28" s="75">
        <v>95113.636363636382</v>
      </c>
      <c r="I28" s="75">
        <v>1946892.5647925793</v>
      </c>
      <c r="J28" s="75">
        <v>17752920.512268085</v>
      </c>
      <c r="K28" s="75">
        <v>28965019.325031847</v>
      </c>
      <c r="L28" s="75">
        <v>17084877.445212834</v>
      </c>
      <c r="M28" s="75">
        <v>12315179.353387499</v>
      </c>
      <c r="N28" s="75">
        <v>25778202.55239328</v>
      </c>
      <c r="O28" s="75">
        <v>171579.43636363637</v>
      </c>
      <c r="P28" s="75">
        <v>0</v>
      </c>
      <c r="Q28" s="75">
        <v>7752165.727156423</v>
      </c>
      <c r="R28" s="75">
        <v>21840257.59372567</v>
      </c>
      <c r="S28" s="75">
        <v>9388798.9501323942</v>
      </c>
      <c r="T28" s="75">
        <v>0</v>
      </c>
      <c r="U28" s="75">
        <v>376649.1632299326</v>
      </c>
      <c r="V28" s="75">
        <v>190356791.23262098</v>
      </c>
      <c r="W28" s="115"/>
      <c r="X28" s="116">
        <f t="shared" si="0"/>
        <v>353743622.50133729</v>
      </c>
      <c r="Y28" s="113">
        <f t="shared" si="1"/>
        <v>0</v>
      </c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</row>
    <row r="29" spans="1:63" ht="21.6" customHeight="1" x14ac:dyDescent="0.35">
      <c r="A29" s="10">
        <f t="shared" si="2"/>
        <v>18</v>
      </c>
      <c r="B29" s="76" t="s">
        <v>18</v>
      </c>
      <c r="C29" s="75">
        <v>2096125688.3775043</v>
      </c>
      <c r="D29" s="75">
        <v>78899285.935958534</v>
      </c>
      <c r="E29" s="75">
        <v>0</v>
      </c>
      <c r="F29" s="75">
        <v>30000</v>
      </c>
      <c r="G29" s="75">
        <v>30000</v>
      </c>
      <c r="H29" s="75">
        <v>521117.49999999994</v>
      </c>
      <c r="I29" s="75">
        <v>9367587.1761954669</v>
      </c>
      <c r="J29" s="75">
        <v>91955094.850151956</v>
      </c>
      <c r="K29" s="75">
        <v>150398054.67159384</v>
      </c>
      <c r="L29" s="75">
        <v>90137453.779339164</v>
      </c>
      <c r="M29" s="75">
        <v>71639159.337326512</v>
      </c>
      <c r="N29" s="75">
        <v>150361272.54718637</v>
      </c>
      <c r="O29" s="75">
        <v>1277297.8</v>
      </c>
      <c r="P29" s="75">
        <v>0</v>
      </c>
      <c r="Q29" s="75">
        <v>43370926.66538731</v>
      </c>
      <c r="R29" s="75">
        <v>128823343.36438239</v>
      </c>
      <c r="S29" s="75">
        <v>54522387.201456338</v>
      </c>
      <c r="T29" s="75">
        <v>0</v>
      </c>
      <c r="U29" s="75">
        <v>1734497.6288625919</v>
      </c>
      <c r="V29" s="75">
        <v>1223058209.9196639</v>
      </c>
      <c r="W29" s="115"/>
      <c r="X29" s="116">
        <f t="shared" si="0"/>
        <v>2096125688.3775043</v>
      </c>
      <c r="Y29" s="113">
        <f t="shared" si="1"/>
        <v>0</v>
      </c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</row>
    <row r="30" spans="1:63" ht="18" x14ac:dyDescent="0.25">
      <c r="A30" s="5"/>
      <c r="B30" s="7"/>
      <c r="C30" s="11"/>
      <c r="D30" s="11"/>
      <c r="E30" s="11"/>
      <c r="F30" s="75"/>
      <c r="G30" s="75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2"/>
      <c r="T30" s="12"/>
      <c r="U30" s="12"/>
      <c r="V30" s="12"/>
      <c r="W30" s="62"/>
      <c r="X30" s="114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</row>
    <row r="31" spans="1:63" ht="18" x14ac:dyDescent="0.25">
      <c r="A31" s="5"/>
      <c r="B31" s="7"/>
      <c r="C31" s="7"/>
      <c r="D31" s="7"/>
      <c r="E31" s="7"/>
      <c r="F31" s="118"/>
      <c r="G31" s="118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5"/>
      <c r="T31" s="5"/>
      <c r="U31" s="5"/>
      <c r="V31" s="5"/>
      <c r="W31" s="28"/>
      <c r="X31" s="107"/>
    </row>
    <row r="32" spans="1:63" ht="18" x14ac:dyDescent="0.25">
      <c r="A32" s="5"/>
      <c r="B32" s="7"/>
      <c r="C32" s="7"/>
      <c r="D32" s="7"/>
      <c r="E32" s="7"/>
      <c r="F32" s="119"/>
      <c r="G32" s="119"/>
      <c r="H32" s="7"/>
      <c r="I32" s="7"/>
      <c r="J32" s="7"/>
      <c r="K32" s="7"/>
      <c r="L32" s="7"/>
      <c r="M32" s="7"/>
      <c r="N32" s="5"/>
      <c r="O32" s="5"/>
      <c r="P32" s="5"/>
      <c r="Q32" s="5"/>
      <c r="R32" s="5"/>
      <c r="S32" s="5"/>
      <c r="T32" s="5"/>
      <c r="U32" s="5"/>
      <c r="V32" s="5"/>
      <c r="W32" s="28"/>
      <c r="X32" s="107"/>
    </row>
    <row r="33" spans="1:24" ht="18" x14ac:dyDescent="0.25">
      <c r="A33" s="5"/>
      <c r="B33" s="7"/>
      <c r="C33" s="7"/>
      <c r="D33" s="7"/>
      <c r="E33" s="7"/>
      <c r="F33" s="120"/>
      <c r="G33" s="120"/>
      <c r="H33" s="7"/>
      <c r="I33" s="7"/>
      <c r="J33" s="7"/>
      <c r="K33" s="7"/>
      <c r="L33" s="7"/>
      <c r="M33" s="7"/>
      <c r="N33" s="5"/>
      <c r="O33" s="5"/>
      <c r="P33" s="5"/>
      <c r="Q33" s="5"/>
      <c r="R33" s="5"/>
      <c r="S33" s="5"/>
      <c r="T33" s="5"/>
      <c r="U33" s="5"/>
      <c r="V33" s="5"/>
      <c r="W33" s="28"/>
      <c r="X33" s="107"/>
    </row>
    <row r="34" spans="1:24" ht="18" x14ac:dyDescent="0.25">
      <c r="A34" s="5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5"/>
      <c r="O34" s="5"/>
      <c r="P34" s="5"/>
      <c r="Q34" s="5"/>
      <c r="R34" s="5"/>
      <c r="S34" s="5"/>
      <c r="T34" s="5"/>
      <c r="U34" s="5"/>
      <c r="V34" s="5"/>
      <c r="W34" s="28"/>
      <c r="X34" s="107"/>
    </row>
    <row r="35" spans="1:24" ht="18" x14ac:dyDescent="0.25">
      <c r="A35" s="5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5"/>
      <c r="O35" s="5"/>
      <c r="P35" s="5"/>
      <c r="Q35" s="5"/>
      <c r="R35" s="5"/>
      <c r="S35" s="5"/>
      <c r="T35" s="5"/>
      <c r="U35" s="5"/>
      <c r="V35" s="5"/>
      <c r="W35" s="28"/>
      <c r="X35" s="107"/>
    </row>
    <row r="36" spans="1:24" ht="18" x14ac:dyDescent="0.25">
      <c r="A36" s="5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5"/>
      <c r="O36" s="5"/>
      <c r="P36" s="5"/>
      <c r="Q36" s="5"/>
      <c r="R36" s="5"/>
      <c r="S36" s="5"/>
      <c r="T36" s="5"/>
      <c r="U36" s="5"/>
      <c r="V36" s="5"/>
      <c r="W36" s="28"/>
      <c r="X36" s="107"/>
    </row>
    <row r="37" spans="1:24" ht="18" x14ac:dyDescent="0.25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5"/>
      <c r="O37" s="5"/>
      <c r="P37" s="5"/>
      <c r="Q37" s="5"/>
      <c r="R37" s="5"/>
      <c r="S37" s="5"/>
      <c r="T37" s="5"/>
      <c r="U37" s="5"/>
      <c r="V37" s="5"/>
      <c r="W37" s="28"/>
      <c r="X37" s="107"/>
    </row>
    <row r="38" spans="1:24" ht="18" x14ac:dyDescent="0.25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5"/>
      <c r="O38" s="5"/>
      <c r="P38" s="5"/>
      <c r="Q38" s="5"/>
      <c r="R38" s="5"/>
      <c r="S38" s="5"/>
      <c r="T38" s="5"/>
      <c r="U38" s="5"/>
      <c r="V38" s="5"/>
      <c r="W38" s="28"/>
      <c r="X38" s="107"/>
    </row>
    <row r="39" spans="1:24" ht="18" x14ac:dyDescent="0.25">
      <c r="A39" s="5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5"/>
      <c r="O39" s="5"/>
      <c r="P39" s="5"/>
      <c r="Q39" s="5"/>
      <c r="R39" s="5"/>
      <c r="S39" s="5"/>
      <c r="T39" s="5"/>
      <c r="U39" s="5"/>
      <c r="V39" s="5"/>
      <c r="W39" s="28"/>
      <c r="X39" s="107"/>
    </row>
    <row r="40" spans="1:24" ht="18" x14ac:dyDescent="0.25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5"/>
      <c r="O40" s="5"/>
      <c r="P40" s="5"/>
      <c r="Q40" s="5"/>
      <c r="R40" s="5"/>
      <c r="S40" s="5"/>
      <c r="T40" s="5"/>
      <c r="U40" s="5"/>
      <c r="V40" s="5"/>
      <c r="W40" s="28"/>
      <c r="X40" s="107"/>
    </row>
    <row r="41" spans="1:24" ht="18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5"/>
      <c r="O41" s="5"/>
      <c r="P41" s="5"/>
      <c r="Q41" s="5"/>
      <c r="R41" s="5"/>
      <c r="S41" s="5"/>
      <c r="T41" s="5"/>
      <c r="U41" s="5"/>
      <c r="V41" s="5"/>
      <c r="W41" s="28"/>
      <c r="X41" s="107"/>
    </row>
    <row r="42" spans="1:24" ht="18" x14ac:dyDescent="0.25">
      <c r="A42" s="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5"/>
      <c r="O42" s="5"/>
      <c r="P42" s="5"/>
      <c r="Q42" s="5"/>
      <c r="R42" s="5"/>
      <c r="S42" s="5"/>
      <c r="T42" s="5"/>
      <c r="U42" s="5"/>
      <c r="V42" s="5"/>
      <c r="W42" s="28"/>
      <c r="X42" s="107"/>
    </row>
    <row r="43" spans="1:24" ht="18" x14ac:dyDescent="0.25">
      <c r="A43" s="5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5"/>
      <c r="O43" s="5"/>
      <c r="P43" s="5"/>
      <c r="Q43" s="5"/>
      <c r="R43" s="5"/>
      <c r="S43" s="5"/>
      <c r="T43" s="5"/>
      <c r="U43" s="5"/>
      <c r="V43" s="5"/>
      <c r="W43" s="28"/>
      <c r="X43" s="107"/>
    </row>
    <row r="44" spans="1:24" ht="18" x14ac:dyDescent="0.25">
      <c r="A44" s="5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5"/>
      <c r="O44" s="5"/>
      <c r="P44" s="5"/>
      <c r="Q44" s="5"/>
      <c r="R44" s="5"/>
      <c r="S44" s="5"/>
      <c r="T44" s="5"/>
      <c r="U44" s="5"/>
      <c r="V44" s="5"/>
      <c r="W44" s="28"/>
      <c r="X44" s="107"/>
    </row>
    <row r="45" spans="1:24" ht="18" x14ac:dyDescent="0.25">
      <c r="A45" s="5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"/>
      <c r="O45" s="5"/>
      <c r="P45" s="5"/>
      <c r="Q45" s="5"/>
      <c r="R45" s="5"/>
      <c r="S45" s="5"/>
      <c r="T45" s="5"/>
      <c r="U45" s="5"/>
      <c r="V45" s="5"/>
      <c r="W45" s="28"/>
      <c r="X45" s="107"/>
    </row>
    <row r="46" spans="1:24" ht="18" x14ac:dyDescent="0.25">
      <c r="A46" s="5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"/>
      <c r="O46" s="5"/>
      <c r="P46" s="5"/>
      <c r="Q46" s="5"/>
      <c r="R46" s="5"/>
      <c r="S46" s="5"/>
      <c r="T46" s="5"/>
      <c r="U46" s="5"/>
      <c r="V46" s="5"/>
      <c r="W46" s="28"/>
      <c r="X46" s="107"/>
    </row>
    <row r="47" spans="1:24" ht="18" x14ac:dyDescent="0.25">
      <c r="A47" s="5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"/>
      <c r="O47" s="5"/>
      <c r="P47" s="5"/>
      <c r="Q47" s="5"/>
      <c r="R47" s="5"/>
      <c r="S47" s="5"/>
      <c r="T47" s="5"/>
      <c r="U47" s="5"/>
      <c r="V47" s="5"/>
      <c r="W47" s="28"/>
      <c r="X47" s="107"/>
    </row>
    <row r="48" spans="1:24" ht="18" x14ac:dyDescent="0.25">
      <c r="A48" s="5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"/>
      <c r="O48" s="5"/>
      <c r="P48" s="5"/>
      <c r="Q48" s="5"/>
      <c r="R48" s="5"/>
      <c r="S48" s="5"/>
      <c r="T48" s="5"/>
      <c r="U48" s="5"/>
      <c r="V48" s="5"/>
      <c r="W48" s="28"/>
      <c r="X48" s="107"/>
    </row>
    <row r="49" spans="1:24" ht="18" x14ac:dyDescent="0.25">
      <c r="A49" s="5"/>
      <c r="B49" s="13"/>
      <c r="C49" s="14"/>
      <c r="D49" s="14"/>
      <c r="E49" s="14"/>
      <c r="F49" s="14"/>
      <c r="G49" s="14"/>
      <c r="H49" s="14"/>
      <c r="I49" s="14"/>
      <c r="J49" s="13"/>
      <c r="K49" s="14"/>
      <c r="L49" s="14"/>
      <c r="M49" s="14"/>
      <c r="N49" s="15"/>
      <c r="O49" s="15"/>
      <c r="P49" s="15"/>
      <c r="Q49" s="15"/>
      <c r="R49" s="15"/>
      <c r="S49" s="15"/>
      <c r="T49" s="15"/>
      <c r="U49" s="15"/>
      <c r="V49" s="15"/>
      <c r="W49" s="28"/>
      <c r="X49" s="107"/>
    </row>
    <row r="50" spans="1:24" ht="18.75" customHeight="1" x14ac:dyDescent="0.25">
      <c r="A50" s="23" t="s">
        <v>65</v>
      </c>
      <c r="B50" s="23"/>
      <c r="C50" s="7"/>
      <c r="D50" s="7"/>
      <c r="E50" s="7"/>
      <c r="F50" s="7"/>
      <c r="G50" s="7"/>
      <c r="H50" s="7"/>
      <c r="I50" s="7"/>
      <c r="J50" s="7"/>
      <c r="K50" s="5" t="s">
        <v>279</v>
      </c>
      <c r="L50" s="5"/>
      <c r="M50" s="7"/>
      <c r="N50" s="5"/>
      <c r="O50" s="5"/>
      <c r="P50" s="5"/>
      <c r="Q50" s="5"/>
      <c r="R50" s="5"/>
      <c r="S50" s="5"/>
      <c r="T50" s="5"/>
      <c r="U50" s="5" t="s">
        <v>279</v>
      </c>
      <c r="V50" s="5"/>
      <c r="W50" s="28"/>
      <c r="X50" s="107"/>
    </row>
    <row r="51" spans="1:24" ht="18" hidden="1" x14ac:dyDescent="0.25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"/>
      <c r="O51" s="5"/>
      <c r="P51" s="5"/>
      <c r="Q51" s="5"/>
      <c r="R51" s="5"/>
      <c r="S51" s="5"/>
      <c r="T51" s="5"/>
      <c r="U51" s="5"/>
      <c r="V51" s="5"/>
      <c r="W51" s="28"/>
      <c r="X51" s="107"/>
    </row>
    <row r="52" spans="1:24" hidden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28"/>
      <c r="X52" s="107"/>
    </row>
    <row r="53" spans="1:24" ht="18" x14ac:dyDescent="0.25">
      <c r="A53" s="5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5"/>
      <c r="O53" s="5"/>
      <c r="P53" s="5"/>
      <c r="Q53" s="5"/>
      <c r="R53" s="5"/>
      <c r="S53" s="5"/>
      <c r="T53" s="5"/>
      <c r="U53" s="5"/>
      <c r="V53" s="5"/>
      <c r="W53" s="28"/>
      <c r="X53" s="107"/>
    </row>
    <row r="54" spans="1:24" s="108" customFormat="1" ht="18" x14ac:dyDescent="0.25">
      <c r="A54" s="13" t="s">
        <v>0</v>
      </c>
      <c r="B54" s="13"/>
      <c r="C54" s="14"/>
      <c r="D54" s="15"/>
      <c r="E54" s="15"/>
      <c r="F54" s="15"/>
      <c r="G54" s="15"/>
      <c r="H54" s="14"/>
      <c r="I54" s="14"/>
      <c r="J54" s="103" t="s">
        <v>273</v>
      </c>
      <c r="K54" s="15"/>
      <c r="L54" s="15"/>
      <c r="M54" s="14"/>
      <c r="N54" s="15"/>
      <c r="O54" s="15"/>
      <c r="P54" s="15"/>
      <c r="R54" s="15"/>
      <c r="S54" s="21"/>
      <c r="T54" s="103" t="s">
        <v>272</v>
      </c>
      <c r="U54" s="15"/>
      <c r="V54" s="15"/>
      <c r="W54" s="15"/>
    </row>
    <row r="55" spans="1:24" ht="18" x14ac:dyDescent="0.25">
      <c r="A55" s="6"/>
      <c r="B55" s="6"/>
      <c r="C55" s="7"/>
      <c r="D55" s="5"/>
      <c r="E55" s="5"/>
      <c r="F55" s="8" t="s">
        <v>104</v>
      </c>
      <c r="G55" s="5"/>
      <c r="H55" s="7"/>
      <c r="I55" s="7"/>
      <c r="J55" s="104"/>
      <c r="K55" s="8"/>
      <c r="L55" s="5"/>
      <c r="M55" s="7"/>
      <c r="N55" s="8"/>
      <c r="O55" s="5"/>
      <c r="P55" s="8" t="s">
        <v>104</v>
      </c>
      <c r="R55" s="5"/>
      <c r="S55" s="7"/>
      <c r="T55" s="104"/>
      <c r="U55" s="5"/>
      <c r="V55" s="5"/>
      <c r="W55" s="28"/>
      <c r="X55" s="107"/>
    </row>
    <row r="56" spans="1:24" ht="18" x14ac:dyDescent="0.25">
      <c r="A56" s="6" t="s">
        <v>1</v>
      </c>
      <c r="B56" s="6"/>
      <c r="C56" s="7"/>
      <c r="D56" s="5"/>
      <c r="E56" s="5"/>
      <c r="F56" s="10"/>
      <c r="G56" s="5"/>
      <c r="H56" s="7"/>
      <c r="I56" s="7"/>
      <c r="J56" s="101" t="s">
        <v>2</v>
      </c>
      <c r="K56" s="10"/>
      <c r="L56" s="5"/>
      <c r="M56" s="7"/>
      <c r="N56" s="10"/>
      <c r="O56" s="5"/>
      <c r="P56" s="10"/>
      <c r="R56" s="5"/>
      <c r="S56" s="6"/>
      <c r="T56" s="101" t="s">
        <v>2</v>
      </c>
      <c r="U56" s="5"/>
      <c r="V56" s="5"/>
      <c r="W56" s="28"/>
      <c r="X56" s="107"/>
    </row>
    <row r="57" spans="1:24" ht="18" x14ac:dyDescent="0.25">
      <c r="A57" s="9" t="s">
        <v>71</v>
      </c>
      <c r="B57" s="9"/>
      <c r="C57" s="7"/>
      <c r="D57" s="5"/>
      <c r="E57" s="5"/>
      <c r="F57" s="8" t="s">
        <v>256</v>
      </c>
      <c r="G57" s="5"/>
      <c r="H57" s="7"/>
      <c r="I57" s="7"/>
      <c r="J57" s="102" t="str">
        <f>+J$4</f>
        <v>PROJECTED TEST YEAR:      12/31/21</v>
      </c>
      <c r="K57" s="8"/>
      <c r="L57" s="5"/>
      <c r="M57" s="7"/>
      <c r="N57" s="8"/>
      <c r="O57" s="5"/>
      <c r="P57" s="8" t="s">
        <v>256</v>
      </c>
      <c r="R57" s="5"/>
      <c r="S57" s="9"/>
      <c r="T57" s="102" t="str">
        <f>+T$4</f>
        <v>PROJECTED TEST YEAR:      12/31/21</v>
      </c>
      <c r="U57" s="5"/>
      <c r="V57" s="5"/>
      <c r="W57" s="28"/>
      <c r="X57" s="107"/>
    </row>
    <row r="58" spans="1:24" ht="18" x14ac:dyDescent="0.25">
      <c r="A58" s="21" t="s">
        <v>249</v>
      </c>
      <c r="B58" s="21"/>
      <c r="C58" s="14"/>
      <c r="D58" s="15"/>
      <c r="E58" s="15"/>
      <c r="F58" s="25" t="s">
        <v>255</v>
      </c>
      <c r="G58" s="15"/>
      <c r="H58" s="14"/>
      <c r="I58" s="14"/>
      <c r="J58" s="103" t="str">
        <f>+J$5</f>
        <v>WITNESS:  D. YARDLEY</v>
      </c>
      <c r="K58" s="25"/>
      <c r="L58" s="15"/>
      <c r="M58" s="14"/>
      <c r="N58" s="25"/>
      <c r="O58" s="15"/>
      <c r="P58" s="25" t="s">
        <v>255</v>
      </c>
      <c r="Q58" s="108"/>
      <c r="R58" s="15"/>
      <c r="S58" s="21"/>
      <c r="T58" s="103" t="str">
        <f>+T$5</f>
        <v>WITNESS:  D. YARDLEY</v>
      </c>
      <c r="U58" s="15"/>
      <c r="V58" s="15"/>
      <c r="W58" s="28"/>
      <c r="X58" s="107"/>
    </row>
    <row r="59" spans="1:24" ht="18" x14ac:dyDescent="0.25">
      <c r="A59" s="5"/>
      <c r="B59" s="7"/>
      <c r="C59" s="7"/>
      <c r="D59" s="5"/>
      <c r="E59" s="5"/>
      <c r="F59" s="10"/>
      <c r="G59" s="5"/>
      <c r="H59" s="7"/>
      <c r="I59" s="7"/>
      <c r="J59" s="10"/>
      <c r="K59" s="10"/>
      <c r="L59" s="7"/>
      <c r="M59" s="7"/>
      <c r="N59" s="10"/>
      <c r="O59" s="5"/>
      <c r="P59" s="10"/>
      <c r="Q59" s="5"/>
      <c r="R59" s="5"/>
      <c r="S59" s="5"/>
      <c r="T59" s="5"/>
      <c r="U59" s="5"/>
      <c r="V59" s="5"/>
      <c r="W59" s="28"/>
      <c r="X59" s="107"/>
    </row>
    <row r="60" spans="1:24" ht="18" x14ac:dyDescent="0.25">
      <c r="A60" s="5"/>
      <c r="B60" s="5"/>
      <c r="C60" s="7"/>
      <c r="D60" s="5"/>
      <c r="E60" s="5"/>
      <c r="F60" s="8" t="s">
        <v>257</v>
      </c>
      <c r="G60" s="5"/>
      <c r="H60" s="7"/>
      <c r="I60" s="7"/>
      <c r="J60" s="8"/>
      <c r="K60" s="8"/>
      <c r="L60" s="7"/>
      <c r="M60" s="7"/>
      <c r="N60" s="8"/>
      <c r="O60" s="5"/>
      <c r="P60" s="8" t="s">
        <v>257</v>
      </c>
      <c r="Q60" s="5"/>
      <c r="R60" s="5"/>
      <c r="S60" s="5"/>
      <c r="T60" s="5"/>
      <c r="U60" s="5"/>
      <c r="V60" s="5"/>
      <c r="W60" s="28"/>
      <c r="X60" s="107"/>
    </row>
    <row r="61" spans="1:24" ht="18" x14ac:dyDescent="0.25">
      <c r="A61" s="5"/>
      <c r="B61" s="7"/>
      <c r="C61" s="7"/>
      <c r="D61" s="5"/>
      <c r="E61" s="5"/>
      <c r="F61" s="5"/>
      <c r="G61" s="5"/>
      <c r="H61" s="7"/>
      <c r="I61" s="7"/>
      <c r="J61" s="5"/>
      <c r="K61" s="7"/>
      <c r="L61" s="7"/>
      <c r="M61" s="7"/>
      <c r="N61" s="5"/>
      <c r="O61" s="5"/>
      <c r="P61" s="5"/>
      <c r="Q61" s="5"/>
      <c r="R61" s="5"/>
      <c r="S61" s="5"/>
      <c r="T61" s="5"/>
      <c r="U61" s="5"/>
      <c r="V61" s="5"/>
      <c r="W61" s="28"/>
      <c r="X61" s="107"/>
    </row>
    <row r="62" spans="1:24" ht="18" x14ac:dyDescent="0.25">
      <c r="A62" s="5"/>
      <c r="B62" s="6"/>
      <c r="C62" s="11"/>
      <c r="D62" s="61"/>
      <c r="E62" s="61"/>
      <c r="F62" s="61" t="s">
        <v>72</v>
      </c>
      <c r="G62" s="61" t="s">
        <v>73</v>
      </c>
      <c r="H62" s="61" t="s">
        <v>73</v>
      </c>
      <c r="I62" s="110"/>
      <c r="J62" s="110"/>
      <c r="K62" s="110"/>
      <c r="L62" s="110"/>
      <c r="M62" s="110"/>
      <c r="N62" s="110"/>
      <c r="O62" s="61"/>
      <c r="P62" s="61"/>
      <c r="Q62" s="61"/>
      <c r="R62" s="61"/>
      <c r="S62" s="61"/>
      <c r="T62" s="61" t="s">
        <v>252</v>
      </c>
      <c r="U62" s="61"/>
      <c r="V62" s="61"/>
      <c r="W62" s="111"/>
      <c r="X62" s="109"/>
    </row>
    <row r="63" spans="1:24" ht="18" x14ac:dyDescent="0.25">
      <c r="A63" s="5"/>
      <c r="B63" s="7"/>
      <c r="C63" s="11"/>
      <c r="D63" s="61" t="s">
        <v>72</v>
      </c>
      <c r="E63" s="61" t="s">
        <v>72</v>
      </c>
      <c r="F63" s="61" t="s">
        <v>175</v>
      </c>
      <c r="G63" s="61" t="s">
        <v>175</v>
      </c>
      <c r="H63" s="61" t="s">
        <v>74</v>
      </c>
      <c r="I63" s="61" t="s">
        <v>75</v>
      </c>
      <c r="J63" s="61" t="s">
        <v>76</v>
      </c>
      <c r="K63" s="61" t="s">
        <v>76</v>
      </c>
      <c r="L63" s="61" t="s">
        <v>76</v>
      </c>
      <c r="M63" s="61" t="s">
        <v>76</v>
      </c>
      <c r="N63" s="61" t="s">
        <v>76</v>
      </c>
      <c r="O63" s="61" t="s">
        <v>73</v>
      </c>
      <c r="P63" s="61"/>
      <c r="Q63" s="61" t="s">
        <v>171</v>
      </c>
      <c r="R63" s="110" t="s">
        <v>83</v>
      </c>
      <c r="S63" s="110" t="s">
        <v>83</v>
      </c>
      <c r="T63" s="110" t="s">
        <v>84</v>
      </c>
      <c r="U63" s="61" t="s">
        <v>85</v>
      </c>
      <c r="V63" s="69" t="s">
        <v>190</v>
      </c>
      <c r="W63" s="111"/>
      <c r="X63" s="109"/>
    </row>
    <row r="64" spans="1:24" s="108" customFormat="1" ht="18" x14ac:dyDescent="0.25">
      <c r="A64" s="25" t="s">
        <v>70</v>
      </c>
      <c r="B64" s="14"/>
      <c r="C64" s="237" t="s">
        <v>19</v>
      </c>
      <c r="D64" s="238" t="s">
        <v>182</v>
      </c>
      <c r="E64" s="238" t="s">
        <v>172</v>
      </c>
      <c r="F64" s="239" t="s">
        <v>176</v>
      </c>
      <c r="G64" s="239" t="s">
        <v>176</v>
      </c>
      <c r="H64" s="240" t="s">
        <v>77</v>
      </c>
      <c r="I64" s="240" t="s">
        <v>78</v>
      </c>
      <c r="J64" s="240" t="s">
        <v>79</v>
      </c>
      <c r="K64" s="240" t="s">
        <v>80</v>
      </c>
      <c r="L64" s="240" t="s">
        <v>81</v>
      </c>
      <c r="M64" s="240" t="s">
        <v>82</v>
      </c>
      <c r="N64" s="240" t="s">
        <v>86</v>
      </c>
      <c r="O64" s="240" t="s">
        <v>172</v>
      </c>
      <c r="P64" s="240" t="s">
        <v>247</v>
      </c>
      <c r="Q64" s="240" t="s">
        <v>89</v>
      </c>
      <c r="R64" s="240" t="s">
        <v>78</v>
      </c>
      <c r="S64" s="240" t="s">
        <v>87</v>
      </c>
      <c r="T64" s="240" t="s">
        <v>88</v>
      </c>
      <c r="U64" s="240"/>
      <c r="V64" s="241" t="s">
        <v>191</v>
      </c>
      <c r="W64" s="242"/>
      <c r="X64" s="240"/>
    </row>
    <row r="65" spans="1:230" ht="19.5" x14ac:dyDescent="0.35">
      <c r="A65" s="10">
        <v>1</v>
      </c>
      <c r="B65" s="121" t="s">
        <v>20</v>
      </c>
      <c r="C65" s="119">
        <f t="shared" ref="C65:D68" si="3">C23</f>
        <v>115714871.36341134</v>
      </c>
      <c r="D65" s="119">
        <f t="shared" si="3"/>
        <v>93331241.158609986</v>
      </c>
      <c r="E65" s="119">
        <f t="shared" ref="E65:V65" si="4">E23</f>
        <v>212169.30687092626</v>
      </c>
      <c r="F65" s="119">
        <f t="shared" ref="F65:G68" si="5">F23</f>
        <v>2617.9914969803244</v>
      </c>
      <c r="G65" s="119">
        <f t="shared" si="5"/>
        <v>1952.635326119271</v>
      </c>
      <c r="H65" s="119">
        <f t="shared" si="4"/>
        <v>6664.0652878966157</v>
      </c>
      <c r="I65" s="119">
        <f t="shared" si="4"/>
        <v>3727445.7313686609</v>
      </c>
      <c r="J65" s="119">
        <f t="shared" si="4"/>
        <v>8636960.5665010531</v>
      </c>
      <c r="K65" s="119">
        <f t="shared" si="4"/>
        <v>5341417.2793833753</v>
      </c>
      <c r="L65" s="119">
        <f t="shared" si="4"/>
        <v>1792063.7781852945</v>
      </c>
      <c r="M65" s="119">
        <f t="shared" si="4"/>
        <v>1100569.3843821404</v>
      </c>
      <c r="N65" s="119">
        <f t="shared" si="4"/>
        <v>264760.91164740507</v>
      </c>
      <c r="O65" s="119">
        <f t="shared" si="4"/>
        <v>408493.74718187482</v>
      </c>
      <c r="P65" s="119">
        <f t="shared" ref="P65" si="6">P23</f>
        <v>-4528224.3575000996</v>
      </c>
      <c r="Q65" s="119">
        <f t="shared" si="4"/>
        <v>431478.16373146279</v>
      </c>
      <c r="R65" s="119">
        <f t="shared" si="4"/>
        <v>638577.69663167535</v>
      </c>
      <c r="S65" s="119">
        <f t="shared" si="4"/>
        <v>209141.90728435139</v>
      </c>
      <c r="T65" s="119">
        <f t="shared" si="4"/>
        <v>9.0201907401635392E-4</v>
      </c>
      <c r="U65" s="119">
        <f t="shared" si="4"/>
        <v>5680.3557202631837</v>
      </c>
      <c r="V65" s="119">
        <f t="shared" si="4"/>
        <v>4131861.0403999737</v>
      </c>
      <c r="W65" s="122"/>
      <c r="X65" s="123"/>
    </row>
    <row r="66" spans="1:230" ht="19.5" x14ac:dyDescent="0.35">
      <c r="A66" s="10">
        <v>2</v>
      </c>
      <c r="B66" s="121" t="s">
        <v>21</v>
      </c>
      <c r="C66" s="119">
        <f t="shared" si="3"/>
        <v>197994881.54727361</v>
      </c>
      <c r="D66" s="119">
        <f t="shared" si="3"/>
        <v>28630992.531225327</v>
      </c>
      <c r="E66" s="119">
        <f t="shared" ref="E66:V66" si="7">E24</f>
        <v>67167.541412566687</v>
      </c>
      <c r="F66" s="119">
        <f t="shared" si="5"/>
        <v>7207.2700300633041</v>
      </c>
      <c r="G66" s="119">
        <f t="shared" si="5"/>
        <v>7207.2700300633041</v>
      </c>
      <c r="H66" s="119">
        <f t="shared" si="7"/>
        <v>137101.93216279519</v>
      </c>
      <c r="I66" s="119">
        <f t="shared" si="7"/>
        <v>2806356.0867965277</v>
      </c>
      <c r="J66" s="119">
        <f t="shared" si="7"/>
        <v>25590018.390833177</v>
      </c>
      <c r="K66" s="119">
        <f t="shared" si="7"/>
        <v>41751743.140301302</v>
      </c>
      <c r="L66" s="119">
        <f t="shared" si="7"/>
        <v>24627065.035637397</v>
      </c>
      <c r="M66" s="119">
        <f t="shared" si="7"/>
        <v>17751764.613704823</v>
      </c>
      <c r="N66" s="119">
        <f t="shared" si="7"/>
        <v>26040972.318527017</v>
      </c>
      <c r="O66" s="119">
        <f t="shared" si="7"/>
        <v>247323.86589575815</v>
      </c>
      <c r="P66" s="119">
        <f t="shared" ref="P66" si="8">P24</f>
        <v>5845474.7526622303</v>
      </c>
      <c r="Q66" s="119">
        <f t="shared" si="7"/>
        <v>7869242.3500092141</v>
      </c>
      <c r="R66" s="119">
        <f t="shared" si="7"/>
        <v>11660481.580410503</v>
      </c>
      <c r="S66" s="119">
        <f t="shared" si="7"/>
        <v>63168.40495111519</v>
      </c>
      <c r="T66" s="119">
        <f t="shared" si="7"/>
        <v>0</v>
      </c>
      <c r="U66" s="119">
        <f t="shared" si="7"/>
        <v>542922.44519910309</v>
      </c>
      <c r="V66" s="119">
        <f t="shared" si="7"/>
        <v>4348672.017484569</v>
      </c>
      <c r="W66" s="122"/>
      <c r="X66" s="123"/>
    </row>
    <row r="67" spans="1:230" ht="19.5" x14ac:dyDescent="0.35">
      <c r="A67" s="10">
        <v>3</v>
      </c>
      <c r="B67" s="121" t="s">
        <v>22</v>
      </c>
      <c r="C67" s="119">
        <f t="shared" si="3"/>
        <v>0</v>
      </c>
      <c r="D67" s="119">
        <f t="shared" si="3"/>
        <v>0</v>
      </c>
      <c r="E67" s="119">
        <f t="shared" ref="E67:V67" si="9">E25</f>
        <v>0</v>
      </c>
      <c r="F67" s="119">
        <f t="shared" si="5"/>
        <v>0</v>
      </c>
      <c r="G67" s="119">
        <f t="shared" si="5"/>
        <v>0</v>
      </c>
      <c r="H67" s="119">
        <f t="shared" si="9"/>
        <v>0</v>
      </c>
      <c r="I67" s="119">
        <f t="shared" si="9"/>
        <v>0</v>
      </c>
      <c r="J67" s="119">
        <f t="shared" si="9"/>
        <v>0</v>
      </c>
      <c r="K67" s="119">
        <f t="shared" si="9"/>
        <v>0</v>
      </c>
      <c r="L67" s="119">
        <f t="shared" si="9"/>
        <v>0</v>
      </c>
      <c r="M67" s="119">
        <f t="shared" si="9"/>
        <v>0</v>
      </c>
      <c r="N67" s="119">
        <f t="shared" si="9"/>
        <v>0</v>
      </c>
      <c r="O67" s="119">
        <f t="shared" si="9"/>
        <v>0</v>
      </c>
      <c r="P67" s="119">
        <f t="shared" ref="P67" si="10">P25</f>
        <v>0</v>
      </c>
      <c r="Q67" s="119">
        <f t="shared" si="9"/>
        <v>0</v>
      </c>
      <c r="R67" s="119">
        <f t="shared" si="9"/>
        <v>0</v>
      </c>
      <c r="S67" s="119">
        <f t="shared" si="9"/>
        <v>0</v>
      </c>
      <c r="T67" s="119">
        <f t="shared" si="9"/>
        <v>0</v>
      </c>
      <c r="U67" s="119">
        <f t="shared" si="9"/>
        <v>0</v>
      </c>
      <c r="V67" s="119">
        <f t="shared" si="9"/>
        <v>0</v>
      </c>
      <c r="W67" s="122"/>
      <c r="X67" s="123"/>
    </row>
    <row r="68" spans="1:230" ht="19.5" x14ac:dyDescent="0.35">
      <c r="A68" s="10">
        <v>4</v>
      </c>
      <c r="B68" s="121" t="s">
        <v>23</v>
      </c>
      <c r="C68" s="119">
        <f>C26</f>
        <v>2474659.3806721</v>
      </c>
      <c r="D68" s="119">
        <f t="shared" si="3"/>
        <v>962083.52748982713</v>
      </c>
      <c r="E68" s="119">
        <f t="shared" ref="E68:V68" si="11">E26</f>
        <v>2203.5131058514844</v>
      </c>
      <c r="F68" s="119">
        <f t="shared" si="5"/>
        <v>77.505322610666781</v>
      </c>
      <c r="G68" s="119">
        <f t="shared" si="5"/>
        <v>72.256745304948922</v>
      </c>
      <c r="H68" s="119">
        <f t="shared" si="11"/>
        <v>1134.0797374391036</v>
      </c>
      <c r="I68" s="119">
        <f t="shared" si="11"/>
        <v>51541.062433523701</v>
      </c>
      <c r="J68" s="119">
        <f t="shared" si="11"/>
        <v>269995.15878280124</v>
      </c>
      <c r="K68" s="119">
        <f t="shared" si="11"/>
        <v>371488.39051633893</v>
      </c>
      <c r="L68" s="119">
        <f t="shared" si="11"/>
        <v>208403.92860506478</v>
      </c>
      <c r="M68" s="119">
        <f t="shared" si="11"/>
        <v>148714.23264042375</v>
      </c>
      <c r="N68" s="119">
        <f t="shared" si="11"/>
        <v>207509.42200398416</v>
      </c>
      <c r="O68" s="119">
        <f t="shared" si="11"/>
        <v>5173.3336090274715</v>
      </c>
      <c r="P68" s="119">
        <f t="shared" ref="P68" si="12">P26</f>
        <v>10390.961762703202</v>
      </c>
      <c r="Q68" s="119">
        <f t="shared" si="11"/>
        <v>65479.175241051489</v>
      </c>
      <c r="R68" s="119">
        <f t="shared" si="11"/>
        <v>97019.560695774577</v>
      </c>
      <c r="S68" s="119">
        <f t="shared" si="11"/>
        <v>2148.0851722805769</v>
      </c>
      <c r="T68" s="119">
        <f t="shared" si="11"/>
        <v>7.1154624373289714E-6</v>
      </c>
      <c r="U68" s="119">
        <f t="shared" si="11"/>
        <v>4327.5832356561023</v>
      </c>
      <c r="V68" s="119">
        <f t="shared" si="11"/>
        <v>66897.603565321086</v>
      </c>
      <c r="W68" s="122"/>
      <c r="X68" s="123"/>
    </row>
    <row r="69" spans="1:230" ht="19.5" x14ac:dyDescent="0.35">
      <c r="A69" s="10">
        <v>5</v>
      </c>
      <c r="B69" s="121" t="s">
        <v>24</v>
      </c>
      <c r="C69" s="119">
        <f t="shared" ref="C69:V69" si="13">SUM(C65:C68)</f>
        <v>316184412.29135704</v>
      </c>
      <c r="D69" s="119">
        <f t="shared" si="13"/>
        <v>122924317.21732514</v>
      </c>
      <c r="E69" s="119">
        <f t="shared" si="13"/>
        <v>281540.36138934444</v>
      </c>
      <c r="F69" s="119">
        <f>SUM(F65:F68)</f>
        <v>9902.7668496542956</v>
      </c>
      <c r="G69" s="119">
        <f>SUM(G65:G68)</f>
        <v>9232.1621014875236</v>
      </c>
      <c r="H69" s="119">
        <f t="shared" si="13"/>
        <v>144900.0771881309</v>
      </c>
      <c r="I69" s="119">
        <f t="shared" si="13"/>
        <v>6585342.8805987127</v>
      </c>
      <c r="J69" s="119">
        <f t="shared" si="13"/>
        <v>34496974.11611703</v>
      </c>
      <c r="K69" s="119">
        <f t="shared" si="13"/>
        <v>47464648.810201019</v>
      </c>
      <c r="L69" s="119">
        <f t="shared" si="13"/>
        <v>26627532.742427755</v>
      </c>
      <c r="M69" s="119">
        <f t="shared" si="13"/>
        <v>19001048.230727386</v>
      </c>
      <c r="N69" s="119">
        <f t="shared" si="13"/>
        <v>26513242.652178407</v>
      </c>
      <c r="O69" s="119">
        <f t="shared" si="13"/>
        <v>660990.94668666041</v>
      </c>
      <c r="P69" s="119">
        <f t="shared" ref="P69" si="14">SUM(P65:P68)</f>
        <v>1327641.356924834</v>
      </c>
      <c r="Q69" s="119">
        <f t="shared" si="13"/>
        <v>8366199.6889817286</v>
      </c>
      <c r="R69" s="119">
        <f t="shared" si="13"/>
        <v>12396078.837737953</v>
      </c>
      <c r="S69" s="119">
        <f t="shared" si="13"/>
        <v>274458.39740774711</v>
      </c>
      <c r="T69" s="119">
        <f t="shared" si="13"/>
        <v>9.0913453645368294E-4</v>
      </c>
      <c r="U69" s="119">
        <f t="shared" si="13"/>
        <v>552930.38415502245</v>
      </c>
      <c r="V69" s="119">
        <f t="shared" si="13"/>
        <v>8547430.6614498626</v>
      </c>
      <c r="W69" s="122"/>
      <c r="X69" s="123"/>
    </row>
    <row r="70" spans="1:230" ht="19.5" x14ac:dyDescent="0.35">
      <c r="A70" s="10"/>
      <c r="B70" s="7"/>
      <c r="C70" s="7"/>
      <c r="D70" s="7"/>
      <c r="E70" s="7"/>
      <c r="F70" s="119"/>
      <c r="G70" s="119"/>
      <c r="H70" s="7"/>
      <c r="I70" s="7"/>
      <c r="J70" s="7"/>
      <c r="K70" s="7"/>
      <c r="L70" s="7"/>
      <c r="M70" s="7"/>
      <c r="N70" s="7"/>
      <c r="O70" s="7"/>
      <c r="P70" s="7"/>
      <c r="Q70" s="7"/>
      <c r="R70" s="11"/>
      <c r="S70" s="11"/>
      <c r="T70" s="11"/>
      <c r="U70" s="7"/>
      <c r="V70" s="7"/>
      <c r="W70" s="29"/>
      <c r="X70" s="4"/>
    </row>
    <row r="71" spans="1:230" ht="19.5" x14ac:dyDescent="0.35">
      <c r="A71" s="10">
        <v>6</v>
      </c>
      <c r="B71" s="121" t="s">
        <v>25</v>
      </c>
      <c r="C71" s="119">
        <f>SUM(D71:V71)</f>
        <v>232214876.24195573</v>
      </c>
      <c r="D71" s="75">
        <v>87366797.485980779</v>
      </c>
      <c r="E71" s="75">
        <v>205252.82218035532</v>
      </c>
      <c r="F71" s="75">
        <v>4020</v>
      </c>
      <c r="G71" s="75">
        <v>7877.1000000000013</v>
      </c>
      <c r="H71" s="75">
        <v>93394.678349999973</v>
      </c>
      <c r="I71" s="75">
        <v>6398018.4546671966</v>
      </c>
      <c r="J71" s="75">
        <v>30802595.188261107</v>
      </c>
      <c r="K71" s="75">
        <v>37233460.658242516</v>
      </c>
      <c r="L71" s="75">
        <v>18486939.627837822</v>
      </c>
      <c r="M71" s="75">
        <v>10837267.328584038</v>
      </c>
      <c r="N71" s="75">
        <v>16740343.900626309</v>
      </c>
      <c r="O71" s="75">
        <v>821262.76946800004</v>
      </c>
      <c r="P71" s="75">
        <v>0</v>
      </c>
      <c r="Q71" s="75">
        <v>3024774.7001132974</v>
      </c>
      <c r="R71" s="75">
        <v>4344775.3728302084</v>
      </c>
      <c r="S71" s="75">
        <v>521743.68679779151</v>
      </c>
      <c r="T71" s="75">
        <v>10209.130518000002</v>
      </c>
      <c r="U71" s="75">
        <v>268397.70348817908</v>
      </c>
      <c r="V71" s="75">
        <v>15047745.634010116</v>
      </c>
      <c r="W71" s="115"/>
      <c r="X71" s="124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3"/>
      <c r="HK71" s="113"/>
      <c r="HL71" s="113"/>
      <c r="HM71" s="113"/>
      <c r="HN71" s="113"/>
      <c r="HO71" s="113"/>
      <c r="HP71" s="113"/>
      <c r="HQ71" s="113"/>
      <c r="HR71" s="113"/>
      <c r="HS71" s="113"/>
      <c r="HT71" s="113"/>
      <c r="HU71" s="113"/>
      <c r="HV71" s="113"/>
    </row>
    <row r="72" spans="1:230" ht="19.5" x14ac:dyDescent="0.35">
      <c r="A72" s="10">
        <v>7</v>
      </c>
      <c r="B72" s="121" t="s">
        <v>26</v>
      </c>
      <c r="C72" s="7"/>
      <c r="D72" s="7"/>
      <c r="E72" s="7"/>
      <c r="F72" s="119"/>
      <c r="G72" s="119"/>
      <c r="H72" s="119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29"/>
      <c r="X72" s="4"/>
    </row>
    <row r="73" spans="1:230" ht="19.5" x14ac:dyDescent="0.35">
      <c r="A73" s="10">
        <v>8</v>
      </c>
      <c r="B73" s="121" t="s">
        <v>27</v>
      </c>
      <c r="C73" s="119">
        <f t="shared" ref="C73:V73" si="15">C69-C71</f>
        <v>83969536.049401313</v>
      </c>
      <c r="D73" s="119">
        <f t="shared" si="15"/>
        <v>35557519.731344357</v>
      </c>
      <c r="E73" s="119">
        <f t="shared" si="15"/>
        <v>76287.539208989125</v>
      </c>
      <c r="F73" s="119">
        <f>F69-F71</f>
        <v>5882.7668496542956</v>
      </c>
      <c r="G73" s="119">
        <f>G69-G71</f>
        <v>1355.0621014875223</v>
      </c>
      <c r="H73" s="119">
        <f t="shared" si="15"/>
        <v>51505.398838130932</v>
      </c>
      <c r="I73" s="119">
        <f t="shared" si="15"/>
        <v>187324.4259315161</v>
      </c>
      <c r="J73" s="119">
        <f t="shared" si="15"/>
        <v>3694378.9278559238</v>
      </c>
      <c r="K73" s="119">
        <f t="shared" si="15"/>
        <v>10231188.151958503</v>
      </c>
      <c r="L73" s="119">
        <f t="shared" si="15"/>
        <v>8140593.1145899333</v>
      </c>
      <c r="M73" s="119">
        <f t="shared" si="15"/>
        <v>8163780.902143348</v>
      </c>
      <c r="N73" s="119">
        <f t="shared" si="15"/>
        <v>9772898.7515520975</v>
      </c>
      <c r="O73" s="119">
        <f t="shared" si="15"/>
        <v>-160271.82278133964</v>
      </c>
      <c r="P73" s="119">
        <f t="shared" ref="P73" si="16">P69-P71</f>
        <v>1327641.356924834</v>
      </c>
      <c r="Q73" s="119">
        <f t="shared" si="15"/>
        <v>5341424.9888684312</v>
      </c>
      <c r="R73" s="119">
        <f t="shared" si="15"/>
        <v>8051303.4649077449</v>
      </c>
      <c r="S73" s="119">
        <f t="shared" si="15"/>
        <v>-247285.2893900444</v>
      </c>
      <c r="T73" s="119">
        <f t="shared" si="15"/>
        <v>-10209.129608865465</v>
      </c>
      <c r="U73" s="119">
        <f t="shared" si="15"/>
        <v>284532.68066684337</v>
      </c>
      <c r="V73" s="119">
        <f t="shared" si="15"/>
        <v>-6500314.972560253</v>
      </c>
      <c r="W73" s="122"/>
      <c r="X73" s="123"/>
    </row>
    <row r="74" spans="1:230" ht="19.5" x14ac:dyDescent="0.35">
      <c r="A74" s="10">
        <v>9</v>
      </c>
      <c r="B74" s="121" t="s">
        <v>122</v>
      </c>
      <c r="C74" s="119">
        <f t="shared" ref="C74:V74" si="17">-C22-C117</f>
        <v>1355357.9375571087</v>
      </c>
      <c r="D74" s="119">
        <f t="shared" si="17"/>
        <v>1225164.431144054</v>
      </c>
      <c r="E74" s="119">
        <f t="shared" si="17"/>
        <v>2874.2029315373566</v>
      </c>
      <c r="F74" s="119">
        <f t="shared" si="17"/>
        <v>15.97208666310496</v>
      </c>
      <c r="G74" s="119">
        <f t="shared" si="17"/>
        <v>15.5015916495135</v>
      </c>
      <c r="H74" s="119">
        <f t="shared" si="17"/>
        <v>0</v>
      </c>
      <c r="I74" s="119">
        <f t="shared" si="17"/>
        <v>36765.101087561576</v>
      </c>
      <c r="J74" s="119">
        <f t="shared" si="17"/>
        <v>57402.5763662674</v>
      </c>
      <c r="K74" s="119">
        <f t="shared" si="17"/>
        <v>25723.351097341802</v>
      </c>
      <c r="L74" s="119">
        <f t="shared" si="17"/>
        <v>2969.5466769271879</v>
      </c>
      <c r="M74" s="119">
        <f t="shared" si="17"/>
        <v>520.85347942365297</v>
      </c>
      <c r="N74" s="119">
        <f t="shared" si="17"/>
        <v>511.55252443387872</v>
      </c>
      <c r="O74" s="119">
        <f t="shared" si="17"/>
        <v>3184.0269248100667</v>
      </c>
      <c r="P74" s="119">
        <f t="shared" ref="P74" si="18">-P22-P117</f>
        <v>0</v>
      </c>
      <c r="Q74" s="119">
        <f t="shared" si="17"/>
        <v>77.507958247566421</v>
      </c>
      <c r="R74" s="119">
        <f t="shared" si="17"/>
        <v>40.304138288734976</v>
      </c>
      <c r="S74" s="119">
        <f t="shared" si="17"/>
        <v>3.1003183299028478</v>
      </c>
      <c r="T74" s="119">
        <f t="shared" si="17"/>
        <v>0</v>
      </c>
      <c r="U74" s="119">
        <f t="shared" si="17"/>
        <v>40.304138288734976</v>
      </c>
      <c r="V74" s="119">
        <f t="shared" si="17"/>
        <v>49.605093278445565</v>
      </c>
      <c r="W74" s="122"/>
      <c r="X74" s="123"/>
    </row>
    <row r="75" spans="1:230" ht="19.5" x14ac:dyDescent="0.35">
      <c r="A75" s="10">
        <v>10</v>
      </c>
      <c r="B75" s="121" t="s">
        <v>28</v>
      </c>
      <c r="C75" s="125">
        <f t="shared" ref="C75:V75" si="19">C73+C74</f>
        <v>85324893.986958414</v>
      </c>
      <c r="D75" s="125">
        <f t="shared" si="19"/>
        <v>36782684.162488408</v>
      </c>
      <c r="E75" s="125">
        <f t="shared" si="19"/>
        <v>79161.742140526476</v>
      </c>
      <c r="F75" s="125">
        <f>F73+F74</f>
        <v>5898.7389363174007</v>
      </c>
      <c r="G75" s="125">
        <f>G73+G74</f>
        <v>1370.5636931370359</v>
      </c>
      <c r="H75" s="125">
        <f t="shared" si="19"/>
        <v>51505.398838130932</v>
      </c>
      <c r="I75" s="125">
        <f t="shared" si="19"/>
        <v>224089.52701907768</v>
      </c>
      <c r="J75" s="125">
        <f t="shared" si="19"/>
        <v>3751781.5042221909</v>
      </c>
      <c r="K75" s="125">
        <f t="shared" si="19"/>
        <v>10256911.503055844</v>
      </c>
      <c r="L75" s="125">
        <f t="shared" si="19"/>
        <v>8143562.6612668606</v>
      </c>
      <c r="M75" s="125">
        <f t="shared" si="19"/>
        <v>8164301.7556227716</v>
      </c>
      <c r="N75" s="125">
        <f t="shared" si="19"/>
        <v>9773410.3040765319</v>
      </c>
      <c r="O75" s="125">
        <f t="shared" si="19"/>
        <v>-157087.79585652956</v>
      </c>
      <c r="P75" s="125">
        <f t="shared" ref="P75" si="20">P73+P74</f>
        <v>1327641.356924834</v>
      </c>
      <c r="Q75" s="125">
        <f t="shared" si="19"/>
        <v>5341502.4968266785</v>
      </c>
      <c r="R75" s="125">
        <f t="shared" si="19"/>
        <v>8051343.7690460337</v>
      </c>
      <c r="S75" s="125">
        <f t="shared" si="19"/>
        <v>-247282.1890717145</v>
      </c>
      <c r="T75" s="125">
        <f t="shared" si="19"/>
        <v>-10209.129608865465</v>
      </c>
      <c r="U75" s="125">
        <f t="shared" si="19"/>
        <v>284572.98480513209</v>
      </c>
      <c r="V75" s="125">
        <f t="shared" si="19"/>
        <v>-6500265.367466975</v>
      </c>
      <c r="W75" s="126"/>
      <c r="X75" s="127"/>
    </row>
    <row r="76" spans="1:230" ht="19.5" thickBot="1" x14ac:dyDescent="0.35">
      <c r="A76" s="128"/>
      <c r="B76" s="247"/>
      <c r="C76" s="129"/>
      <c r="D76" s="130"/>
      <c r="E76" s="130"/>
      <c r="F76" s="131"/>
      <c r="G76" s="131"/>
      <c r="H76" s="130"/>
      <c r="I76" s="130"/>
      <c r="J76" s="132"/>
      <c r="K76" s="17"/>
      <c r="L76" s="17"/>
      <c r="M76" s="17"/>
      <c r="N76" s="18"/>
      <c r="O76" s="18"/>
      <c r="P76" s="18"/>
      <c r="Q76" s="18"/>
      <c r="R76" s="18"/>
      <c r="S76" s="18"/>
      <c r="T76" s="18"/>
      <c r="U76" s="18"/>
      <c r="V76" s="18"/>
      <c r="W76" s="28"/>
      <c r="X76" s="107"/>
    </row>
    <row r="77" spans="1:230" ht="18.75" thickTop="1" x14ac:dyDescent="0.25">
      <c r="A77" s="10">
        <v>11</v>
      </c>
      <c r="B77" s="121" t="s">
        <v>29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5"/>
      <c r="O77" s="5"/>
      <c r="P77" s="5"/>
      <c r="Q77" s="5"/>
      <c r="R77" s="5"/>
      <c r="S77" s="5"/>
      <c r="T77" s="5"/>
      <c r="U77" s="5"/>
      <c r="V77" s="5"/>
      <c r="W77" s="28"/>
      <c r="X77" s="107"/>
    </row>
    <row r="78" spans="1:230" ht="19.5" x14ac:dyDescent="0.35">
      <c r="A78" s="10">
        <v>12</v>
      </c>
      <c r="B78" s="121" t="s">
        <v>30</v>
      </c>
      <c r="C78" s="59">
        <f>(C65/C27)/12</f>
        <v>22.662575401553138</v>
      </c>
      <c r="D78" s="59">
        <f>(D65/D27)/12</f>
        <v>20.278838147034982</v>
      </c>
      <c r="E78" s="59">
        <f>(E65/E27)/12</f>
        <v>19.650587411033118</v>
      </c>
      <c r="F78" s="59">
        <f>IF(F27=0,0,(F65/F27)/12)</f>
        <v>43.633191616338742</v>
      </c>
      <c r="G78" s="59">
        <f>IF(G27=0,0,(G65/G27)/12)</f>
        <v>32.543922101987853</v>
      </c>
      <c r="H78" s="59">
        <f>IF(H27=0,0,(H65/H27)/12)</f>
        <v>0</v>
      </c>
      <c r="I78" s="59">
        <f t="shared" ref="I78:V78" si="21">(I65/I27)/12</f>
        <v>26.193926628853916</v>
      </c>
      <c r="J78" s="59">
        <f t="shared" si="21"/>
        <v>38.873584970751928</v>
      </c>
      <c r="K78" s="59">
        <f t="shared" si="21"/>
        <v>53.648057739007072</v>
      </c>
      <c r="L78" s="59">
        <f t="shared" si="21"/>
        <v>155.91516103090075</v>
      </c>
      <c r="M78" s="59">
        <f t="shared" si="21"/>
        <v>545.91735336415695</v>
      </c>
      <c r="N78" s="59">
        <f t="shared" si="21"/>
        <v>133.71763214515406</v>
      </c>
      <c r="O78" s="59">
        <f t="shared" si="21"/>
        <v>33.146198245851572</v>
      </c>
      <c r="P78" s="59">
        <f>IF(P27=0,0,(P65/P27)/12)</f>
        <v>0</v>
      </c>
      <c r="Q78" s="59">
        <f t="shared" si="21"/>
        <v>1438.2605457715426</v>
      </c>
      <c r="R78" s="59">
        <f t="shared" si="21"/>
        <v>4093.4467732799699</v>
      </c>
      <c r="S78" s="59">
        <f t="shared" si="21"/>
        <v>17428.492273695949</v>
      </c>
      <c r="T78" s="59">
        <f>IF(T27=0,0,(T65/T27)/12)</f>
        <v>0</v>
      </c>
      <c r="U78" s="59">
        <f t="shared" si="21"/>
        <v>36.412536668353745</v>
      </c>
      <c r="V78" s="59">
        <f t="shared" si="21"/>
        <v>21520.109585416529</v>
      </c>
      <c r="W78" s="133"/>
      <c r="X78" s="134"/>
    </row>
    <row r="79" spans="1:230" ht="19.5" x14ac:dyDescent="0.35">
      <c r="A79" s="10">
        <v>13</v>
      </c>
      <c r="B79" s="121" t="s">
        <v>31</v>
      </c>
      <c r="C79" s="59">
        <f t="shared" ref="C79:V79" si="22">(C66/C28)</f>
        <v>0.55971293601632377</v>
      </c>
      <c r="D79" s="59">
        <f t="shared" si="22"/>
        <v>1.4414540060126613</v>
      </c>
      <c r="E79" s="135">
        <f t="shared" ref="E79:G80" si="23">IF(E28=0,0,(E66/E28))</f>
        <v>1.4414540060126615</v>
      </c>
      <c r="F79" s="135">
        <f t="shared" si="23"/>
        <v>1.4414540060126608</v>
      </c>
      <c r="G79" s="135">
        <f t="shared" si="23"/>
        <v>1.4414540060126608</v>
      </c>
      <c r="H79" s="59">
        <f t="shared" si="22"/>
        <v>1.4414540060126613</v>
      </c>
      <c r="I79" s="59">
        <f t="shared" si="22"/>
        <v>1.441454006012661</v>
      </c>
      <c r="J79" s="59">
        <f t="shared" si="22"/>
        <v>1.4414540060126613</v>
      </c>
      <c r="K79" s="59">
        <f t="shared" si="22"/>
        <v>1.441454006012661</v>
      </c>
      <c r="L79" s="59">
        <f t="shared" si="22"/>
        <v>1.441454006012661</v>
      </c>
      <c r="M79" s="59">
        <f t="shared" si="22"/>
        <v>1.441454006012661</v>
      </c>
      <c r="N79" s="59">
        <f t="shared" si="22"/>
        <v>1.0101934867491116</v>
      </c>
      <c r="O79" s="59">
        <f t="shared" si="22"/>
        <v>1.4414540060126613</v>
      </c>
      <c r="P79" s="135">
        <f t="shared" ref="P79" si="24">IF(P28=0,0,(P66/P28))</f>
        <v>0</v>
      </c>
      <c r="Q79" s="59">
        <f t="shared" si="22"/>
        <v>1.0151024406563784</v>
      </c>
      <c r="R79" s="59">
        <f t="shared" si="22"/>
        <v>0.53389853715646463</v>
      </c>
      <c r="S79" s="59">
        <f t="shared" si="22"/>
        <v>6.7280602435548405E-3</v>
      </c>
      <c r="T79" s="59">
        <f>IF(T28=0,0,(T66/T28)/12)</f>
        <v>0</v>
      </c>
      <c r="U79" s="59">
        <f t="shared" si="22"/>
        <v>1.4414540060126613</v>
      </c>
      <c r="V79" s="59">
        <f t="shared" si="22"/>
        <v>2.2844848294224385E-2</v>
      </c>
      <c r="W79" s="133"/>
      <c r="X79" s="134"/>
    </row>
    <row r="80" spans="1:230" ht="19.5" x14ac:dyDescent="0.35">
      <c r="A80" s="10">
        <v>14</v>
      </c>
      <c r="B80" s="121" t="s">
        <v>32</v>
      </c>
      <c r="C80" s="135">
        <f>+(C67/C29)</f>
        <v>0</v>
      </c>
      <c r="D80" s="135">
        <f t="shared" ref="D80:V80" si="25">(D67/D29)</f>
        <v>0</v>
      </c>
      <c r="E80" s="135">
        <f t="shared" si="23"/>
        <v>0</v>
      </c>
      <c r="F80" s="135">
        <f t="shared" si="23"/>
        <v>0</v>
      </c>
      <c r="G80" s="135">
        <f t="shared" si="23"/>
        <v>0</v>
      </c>
      <c r="H80" s="135">
        <f t="shared" si="25"/>
        <v>0</v>
      </c>
      <c r="I80" s="135">
        <f t="shared" si="25"/>
        <v>0</v>
      </c>
      <c r="J80" s="135">
        <f t="shared" si="25"/>
        <v>0</v>
      </c>
      <c r="K80" s="135">
        <f t="shared" si="25"/>
        <v>0</v>
      </c>
      <c r="L80" s="135">
        <f t="shared" si="25"/>
        <v>0</v>
      </c>
      <c r="M80" s="135">
        <f t="shared" si="25"/>
        <v>0</v>
      </c>
      <c r="N80" s="135">
        <f t="shared" si="25"/>
        <v>0</v>
      </c>
      <c r="O80" s="135">
        <f t="shared" si="25"/>
        <v>0</v>
      </c>
      <c r="P80" s="135">
        <f t="shared" ref="P80" si="26">IF(P29=0,0,(P67/P29))</f>
        <v>0</v>
      </c>
      <c r="Q80" s="135">
        <f t="shared" si="25"/>
        <v>0</v>
      </c>
      <c r="R80" s="135">
        <f t="shared" si="25"/>
        <v>0</v>
      </c>
      <c r="S80" s="135">
        <f t="shared" si="25"/>
        <v>0</v>
      </c>
      <c r="T80" s="59">
        <f>IF(T29=0,0,(T67/T29)/12)</f>
        <v>0</v>
      </c>
      <c r="U80" s="135">
        <f t="shared" si="25"/>
        <v>0</v>
      </c>
      <c r="V80" s="135">
        <f t="shared" si="25"/>
        <v>0</v>
      </c>
      <c r="W80" s="136"/>
      <c r="X80" s="137"/>
    </row>
    <row r="81" spans="1:24" ht="18" x14ac:dyDescent="0.25">
      <c r="A81" s="5"/>
      <c r="B81" s="7"/>
      <c r="C81" s="7"/>
      <c r="D81" s="7"/>
      <c r="E81" s="7"/>
      <c r="F81" s="118"/>
      <c r="G81" s="118"/>
      <c r="H81" s="7"/>
      <c r="I81" s="7"/>
      <c r="J81" s="7"/>
      <c r="K81" s="7"/>
      <c r="L81" s="7"/>
      <c r="M81" s="7"/>
      <c r="N81" s="5"/>
      <c r="O81" s="5"/>
      <c r="P81" s="5"/>
      <c r="Q81" s="5"/>
      <c r="R81" s="5"/>
      <c r="S81" s="5"/>
      <c r="T81" s="5"/>
      <c r="U81" s="5"/>
      <c r="V81" s="5"/>
      <c r="W81" s="28"/>
      <c r="X81" s="107"/>
    </row>
    <row r="82" spans="1:24" ht="18" x14ac:dyDescent="0.25">
      <c r="A82" s="5"/>
      <c r="B82" s="7"/>
      <c r="C82" s="7"/>
      <c r="D82" s="7"/>
      <c r="E82" s="7"/>
      <c r="F82" s="119"/>
      <c r="G82" s="119"/>
      <c r="H82" s="7"/>
      <c r="I82" s="7"/>
      <c r="J82" s="7"/>
      <c r="K82" s="7"/>
      <c r="L82" s="7"/>
      <c r="M82" s="7"/>
      <c r="N82" s="5"/>
      <c r="O82" s="5"/>
      <c r="P82" s="5"/>
      <c r="Q82" s="5"/>
      <c r="R82" s="5"/>
      <c r="S82" s="5"/>
      <c r="T82" s="5"/>
      <c r="U82" s="5"/>
      <c r="V82" s="5"/>
      <c r="W82" s="28"/>
      <c r="X82" s="107"/>
    </row>
    <row r="83" spans="1:24" ht="18" x14ac:dyDescent="0.25">
      <c r="A83" s="5"/>
      <c r="B83" s="7"/>
      <c r="C83" s="7"/>
      <c r="D83" s="7"/>
      <c r="E83" s="7"/>
      <c r="F83" s="120"/>
      <c r="G83" s="120"/>
      <c r="H83" s="7"/>
      <c r="I83" s="7"/>
      <c r="J83" s="7"/>
      <c r="K83" s="7"/>
      <c r="L83" s="7"/>
      <c r="M83" s="7"/>
      <c r="N83" s="5"/>
      <c r="O83" s="5"/>
      <c r="P83" s="5"/>
      <c r="Q83" s="5"/>
      <c r="R83" s="5"/>
      <c r="S83" s="5"/>
      <c r="T83" s="5"/>
      <c r="U83" s="5"/>
      <c r="V83" s="5"/>
      <c r="W83" s="28"/>
      <c r="X83" s="107"/>
    </row>
    <row r="84" spans="1:24" ht="18" x14ac:dyDescent="0.25">
      <c r="A84" s="5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5"/>
      <c r="O84" s="5"/>
      <c r="P84" s="5"/>
      <c r="Q84" s="5"/>
      <c r="R84" s="5"/>
      <c r="S84" s="5"/>
      <c r="T84" s="5"/>
      <c r="U84" s="5"/>
      <c r="V84" s="5"/>
      <c r="W84" s="28"/>
      <c r="X84" s="107"/>
    </row>
    <row r="85" spans="1:24" ht="18" x14ac:dyDescent="0.25">
      <c r="A85" s="5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5"/>
      <c r="O85" s="5"/>
      <c r="P85" s="5"/>
      <c r="Q85" s="5"/>
      <c r="R85" s="5"/>
      <c r="S85" s="5"/>
      <c r="T85" s="5"/>
      <c r="U85" s="5"/>
      <c r="V85" s="5"/>
      <c r="W85" s="28"/>
      <c r="X85" s="107"/>
    </row>
    <row r="86" spans="1:24" ht="18" x14ac:dyDescent="0.25">
      <c r="A86" s="5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5"/>
      <c r="O86" s="5"/>
      <c r="P86" s="5"/>
      <c r="Q86" s="5"/>
      <c r="R86" s="5"/>
      <c r="S86" s="5"/>
      <c r="T86" s="5"/>
      <c r="U86" s="5"/>
      <c r="V86" s="5"/>
      <c r="W86" s="28"/>
      <c r="X86" s="107"/>
    </row>
    <row r="87" spans="1:24" ht="18" x14ac:dyDescent="0.25">
      <c r="A87" s="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5"/>
      <c r="O87" s="5"/>
      <c r="P87" s="5"/>
      <c r="Q87" s="5"/>
      <c r="R87" s="5"/>
      <c r="S87" s="5"/>
      <c r="T87" s="5"/>
      <c r="U87" s="5"/>
      <c r="V87" s="5"/>
      <c r="W87" s="28"/>
      <c r="X87" s="107"/>
    </row>
    <row r="88" spans="1:24" ht="18" x14ac:dyDescent="0.25">
      <c r="A88" s="5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5"/>
      <c r="O88" s="5"/>
      <c r="P88" s="5"/>
      <c r="Q88" s="5"/>
      <c r="R88" s="5"/>
      <c r="S88" s="5"/>
      <c r="T88" s="5"/>
      <c r="U88" s="5"/>
      <c r="V88" s="5"/>
      <c r="W88" s="28"/>
      <c r="X88" s="107"/>
    </row>
    <row r="89" spans="1:24" ht="18" x14ac:dyDescent="0.25">
      <c r="A89" s="5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5"/>
      <c r="O89" s="5"/>
      <c r="P89" s="5"/>
      <c r="Q89" s="5"/>
      <c r="R89" s="5"/>
      <c r="S89" s="5"/>
      <c r="T89" s="5"/>
      <c r="U89" s="5"/>
      <c r="V89" s="5"/>
      <c r="W89" s="28"/>
      <c r="X89" s="107"/>
    </row>
    <row r="90" spans="1:24" ht="18" x14ac:dyDescent="0.25">
      <c r="A90" s="5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5"/>
      <c r="O90" s="5"/>
      <c r="P90" s="5"/>
      <c r="Q90" s="5"/>
      <c r="R90" s="5"/>
      <c r="S90" s="5"/>
      <c r="T90" s="5"/>
      <c r="U90" s="5"/>
      <c r="V90" s="5"/>
      <c r="W90" s="28"/>
      <c r="X90" s="107"/>
    </row>
    <row r="91" spans="1:24" ht="18" x14ac:dyDescent="0.25">
      <c r="A91" s="5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5"/>
      <c r="O91" s="5"/>
      <c r="P91" s="5"/>
      <c r="Q91" s="5"/>
      <c r="R91" s="5"/>
      <c r="S91" s="5"/>
      <c r="T91" s="5"/>
      <c r="U91" s="5"/>
      <c r="V91" s="5"/>
      <c r="W91" s="28"/>
      <c r="X91" s="107"/>
    </row>
    <row r="92" spans="1:24" ht="18" x14ac:dyDescent="0.25">
      <c r="A92" s="5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5"/>
      <c r="O92" s="5"/>
      <c r="P92" s="5"/>
      <c r="Q92" s="5"/>
      <c r="R92" s="5"/>
      <c r="S92" s="5"/>
      <c r="T92" s="5"/>
      <c r="U92" s="5"/>
      <c r="V92" s="5"/>
      <c r="W92" s="28"/>
      <c r="X92" s="107"/>
    </row>
    <row r="93" spans="1:24" ht="18" x14ac:dyDescent="0.25">
      <c r="A93" s="5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5"/>
      <c r="O93" s="5"/>
      <c r="P93" s="5"/>
      <c r="Q93" s="5"/>
      <c r="R93" s="5"/>
      <c r="S93" s="5"/>
      <c r="T93" s="5"/>
      <c r="U93" s="5"/>
      <c r="V93" s="5"/>
      <c r="W93" s="28"/>
      <c r="X93" s="107"/>
    </row>
    <row r="94" spans="1:24" ht="18" x14ac:dyDescent="0.25">
      <c r="A94" s="5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5"/>
      <c r="O94" s="5"/>
      <c r="P94" s="5"/>
      <c r="Q94" s="5"/>
      <c r="R94" s="5"/>
      <c r="S94" s="5"/>
      <c r="T94" s="5"/>
      <c r="U94" s="5"/>
      <c r="V94" s="5"/>
      <c r="W94" s="28"/>
      <c r="X94" s="107"/>
    </row>
    <row r="95" spans="1:24" ht="18" x14ac:dyDescent="0.25">
      <c r="A95" s="5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5"/>
      <c r="O95" s="5"/>
      <c r="P95" s="5"/>
      <c r="Q95" s="5"/>
      <c r="R95" s="5"/>
      <c r="S95" s="5"/>
      <c r="T95" s="5"/>
      <c r="U95" s="5"/>
      <c r="V95" s="5"/>
      <c r="W95" s="28"/>
      <c r="X95" s="107"/>
    </row>
    <row r="96" spans="1:24" ht="18" x14ac:dyDescent="0.25">
      <c r="A96" s="5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5"/>
      <c r="O96" s="5"/>
      <c r="P96" s="5"/>
      <c r="Q96" s="5"/>
      <c r="R96" s="5"/>
      <c r="S96" s="5"/>
      <c r="T96" s="5"/>
      <c r="U96" s="5"/>
      <c r="V96" s="5"/>
      <c r="W96" s="28"/>
      <c r="X96" s="107"/>
    </row>
    <row r="97" spans="1:24" ht="18" x14ac:dyDescent="0.25">
      <c r="A97" s="5"/>
      <c r="B97" s="13"/>
      <c r="C97" s="14"/>
      <c r="D97" s="14"/>
      <c r="E97" s="14"/>
      <c r="F97" s="14"/>
      <c r="G97" s="14"/>
      <c r="H97" s="14"/>
      <c r="I97" s="14"/>
      <c r="J97" s="13"/>
      <c r="K97" s="14"/>
      <c r="L97" s="14"/>
      <c r="M97" s="14"/>
      <c r="N97" s="15"/>
      <c r="O97" s="15"/>
      <c r="P97" s="15"/>
      <c r="Q97" s="15"/>
      <c r="R97" s="15"/>
      <c r="S97" s="15"/>
      <c r="T97" s="15"/>
      <c r="U97" s="15"/>
      <c r="V97" s="15"/>
      <c r="W97" s="28"/>
      <c r="X97" s="107"/>
    </row>
    <row r="98" spans="1:24" ht="18" x14ac:dyDescent="0.25">
      <c r="A98" s="23" t="s">
        <v>65</v>
      </c>
      <c r="B98" s="23"/>
      <c r="C98" s="7"/>
      <c r="D98" s="7"/>
      <c r="E98" s="7"/>
      <c r="F98" s="7"/>
      <c r="G98" s="7"/>
      <c r="H98" s="7"/>
      <c r="I98" s="7"/>
      <c r="J98" s="7"/>
      <c r="K98" s="5" t="s">
        <v>279</v>
      </c>
      <c r="L98" s="5"/>
      <c r="M98" s="7"/>
      <c r="N98" s="5"/>
      <c r="O98" s="5"/>
      <c r="P98" s="5"/>
      <c r="Q98" s="5"/>
      <c r="R98" s="5"/>
      <c r="S98" s="5"/>
      <c r="T98" s="5"/>
      <c r="U98" s="5" t="s">
        <v>279</v>
      </c>
      <c r="V98" s="5"/>
      <c r="W98" s="28"/>
      <c r="X98" s="107"/>
    </row>
    <row r="99" spans="1:24" ht="18" hidden="1" x14ac:dyDescent="0.25">
      <c r="A99" s="5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5"/>
      <c r="O99" s="5"/>
      <c r="P99" s="5"/>
      <c r="Q99" s="5"/>
      <c r="R99" s="5"/>
      <c r="S99" s="5"/>
      <c r="T99" s="5"/>
      <c r="U99" s="5"/>
      <c r="V99" s="5"/>
      <c r="W99" s="28"/>
      <c r="X99" s="107"/>
    </row>
    <row r="100" spans="1:24" hidden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28"/>
      <c r="X100" s="107"/>
    </row>
    <row r="101" spans="1:24" ht="18" hidden="1" x14ac:dyDescent="0.25">
      <c r="A101" s="5"/>
      <c r="B101" s="29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5"/>
      <c r="O101" s="5"/>
      <c r="P101" s="5"/>
      <c r="Q101" s="5"/>
      <c r="R101" s="5"/>
      <c r="S101" s="5"/>
      <c r="T101" s="5"/>
      <c r="U101" s="5"/>
      <c r="V101" s="5"/>
      <c r="W101" s="28"/>
      <c r="X101" s="107"/>
    </row>
    <row r="102" spans="1:24" ht="18" x14ac:dyDescent="0.25">
      <c r="B102" s="99"/>
      <c r="C102" s="7"/>
      <c r="D102" s="5"/>
      <c r="E102" s="5"/>
      <c r="F102" s="5"/>
      <c r="G102" s="5"/>
      <c r="H102" s="7"/>
      <c r="I102" s="7"/>
      <c r="J102" s="7"/>
      <c r="K102" s="5"/>
      <c r="L102" s="5"/>
      <c r="M102" s="7"/>
      <c r="N102" s="5"/>
      <c r="O102" s="5"/>
      <c r="P102" s="5"/>
      <c r="Q102" s="5"/>
      <c r="R102" s="5"/>
      <c r="S102" s="5"/>
      <c r="T102" s="5"/>
      <c r="U102" s="5"/>
      <c r="V102" s="5"/>
      <c r="W102" s="28"/>
      <c r="X102" s="107"/>
    </row>
    <row r="103" spans="1:24" s="108" customFormat="1" ht="18" x14ac:dyDescent="0.25">
      <c r="A103" s="13" t="s">
        <v>0</v>
      </c>
      <c r="B103" s="13"/>
      <c r="C103" s="14"/>
      <c r="D103" s="15"/>
      <c r="E103" s="15"/>
      <c r="F103" s="15"/>
      <c r="G103" s="15"/>
      <c r="H103" s="14"/>
      <c r="I103" s="14"/>
      <c r="J103" s="103" t="s">
        <v>270</v>
      </c>
      <c r="K103" s="15"/>
      <c r="L103" s="15"/>
      <c r="M103" s="14"/>
      <c r="N103" s="15"/>
      <c r="O103" s="15"/>
      <c r="P103" s="15"/>
      <c r="R103" s="15"/>
      <c r="S103" s="21"/>
      <c r="T103" s="103" t="s">
        <v>271</v>
      </c>
      <c r="U103" s="15"/>
      <c r="V103" s="15"/>
      <c r="W103" s="15"/>
    </row>
    <row r="104" spans="1:24" s="107" customFormat="1" ht="18" x14ac:dyDescent="0.25">
      <c r="A104" s="99"/>
      <c r="B104" s="99"/>
      <c r="C104" s="29"/>
      <c r="D104" s="28"/>
      <c r="E104" s="30"/>
      <c r="F104" s="30" t="s">
        <v>104</v>
      </c>
      <c r="G104" s="28"/>
      <c r="H104" s="29"/>
      <c r="I104" s="29"/>
      <c r="J104" s="236"/>
      <c r="K104" s="30"/>
      <c r="L104" s="28"/>
      <c r="M104" s="29"/>
      <c r="N104" s="30"/>
      <c r="O104" s="30"/>
      <c r="P104" s="30" t="s">
        <v>104</v>
      </c>
      <c r="R104" s="28"/>
      <c r="S104" s="29"/>
      <c r="T104" s="236"/>
      <c r="U104" s="28"/>
      <c r="V104" s="28"/>
      <c r="W104" s="28"/>
    </row>
    <row r="105" spans="1:24" ht="18" x14ac:dyDescent="0.25">
      <c r="A105" s="6" t="s">
        <v>1</v>
      </c>
      <c r="B105" s="9"/>
      <c r="C105" s="7"/>
      <c r="D105" s="5"/>
      <c r="E105" s="5"/>
      <c r="F105" s="5"/>
      <c r="G105" s="5"/>
      <c r="H105" s="7"/>
      <c r="I105" s="7"/>
      <c r="J105" s="101" t="s">
        <v>2</v>
      </c>
      <c r="K105" s="5"/>
      <c r="L105" s="5"/>
      <c r="M105" s="7"/>
      <c r="N105" s="5"/>
      <c r="O105" s="5"/>
      <c r="P105" s="5"/>
      <c r="R105" s="5"/>
      <c r="S105" s="6"/>
      <c r="T105" s="101" t="s">
        <v>2</v>
      </c>
      <c r="U105" s="5"/>
      <c r="V105" s="5"/>
      <c r="W105" s="28"/>
      <c r="X105" s="107"/>
    </row>
    <row r="106" spans="1:24" ht="18" x14ac:dyDescent="0.25">
      <c r="A106" s="9" t="s">
        <v>71</v>
      </c>
      <c r="B106" s="31"/>
      <c r="C106" s="7"/>
      <c r="D106" s="5"/>
      <c r="E106" s="5"/>
      <c r="F106" s="10" t="s">
        <v>254</v>
      </c>
      <c r="G106" s="5"/>
      <c r="H106" s="7"/>
      <c r="I106" s="7"/>
      <c r="J106" s="102" t="str">
        <f>+J$4</f>
        <v>PROJECTED TEST YEAR:      12/31/21</v>
      </c>
      <c r="K106" s="5"/>
      <c r="L106" s="5"/>
      <c r="M106" s="7"/>
      <c r="N106" s="5"/>
      <c r="O106" s="5"/>
      <c r="P106" s="10" t="s">
        <v>254</v>
      </c>
      <c r="R106" s="5"/>
      <c r="S106" s="9"/>
      <c r="T106" s="102" t="str">
        <f>+T$4</f>
        <v>PROJECTED TEST YEAR:      12/31/21</v>
      </c>
      <c r="U106" s="5"/>
      <c r="V106" s="5"/>
      <c r="W106" s="28"/>
      <c r="X106" s="107"/>
    </row>
    <row r="107" spans="1:24" ht="18" x14ac:dyDescent="0.25">
      <c r="A107" s="21" t="s">
        <v>249</v>
      </c>
      <c r="B107" s="14"/>
      <c r="C107" s="14"/>
      <c r="D107" s="15"/>
      <c r="E107" s="26"/>
      <c r="F107" s="26" t="s">
        <v>255</v>
      </c>
      <c r="G107" s="15"/>
      <c r="H107" s="14"/>
      <c r="I107" s="14"/>
      <c r="J107" s="103" t="str">
        <f>+J$5</f>
        <v>WITNESS:  D. YARDLEY</v>
      </c>
      <c r="K107" s="26"/>
      <c r="L107" s="14"/>
      <c r="M107" s="14"/>
      <c r="N107" s="26"/>
      <c r="O107" s="26"/>
      <c r="P107" s="26" t="s">
        <v>255</v>
      </c>
      <c r="Q107" s="108"/>
      <c r="R107" s="15"/>
      <c r="S107" s="21"/>
      <c r="T107" s="103" t="str">
        <f>+T$5</f>
        <v>WITNESS:  D. YARDLEY</v>
      </c>
      <c r="U107" s="15"/>
      <c r="V107" s="15"/>
      <c r="W107" s="28"/>
      <c r="X107" s="107"/>
    </row>
    <row r="108" spans="1:24" ht="18" x14ac:dyDescent="0.25">
      <c r="A108" s="28"/>
      <c r="B108" s="29"/>
      <c r="C108" s="29"/>
      <c r="D108" s="28"/>
      <c r="E108" s="30"/>
      <c r="F108" s="30" t="s">
        <v>105</v>
      </c>
      <c r="G108" s="28"/>
      <c r="H108" s="29"/>
      <c r="I108" s="29"/>
      <c r="J108" s="30"/>
      <c r="K108" s="30"/>
      <c r="L108" s="29"/>
      <c r="M108" s="29"/>
      <c r="N108" s="30"/>
      <c r="O108" s="30"/>
      <c r="P108" s="30" t="s">
        <v>105</v>
      </c>
      <c r="Q108" s="107"/>
      <c r="R108" s="28"/>
      <c r="S108" s="28"/>
      <c r="T108" s="28"/>
      <c r="U108" s="31"/>
      <c r="V108" s="28"/>
      <c r="W108" s="28"/>
      <c r="X108" s="107"/>
    </row>
    <row r="109" spans="1:24" ht="18" x14ac:dyDescent="0.25">
      <c r="A109" s="5"/>
      <c r="B109" s="5"/>
      <c r="C109" s="7"/>
      <c r="D109" s="5"/>
      <c r="E109" s="30"/>
      <c r="F109" s="30" t="s">
        <v>258</v>
      </c>
      <c r="G109" s="5"/>
      <c r="H109" s="7"/>
      <c r="I109" s="7"/>
      <c r="J109" s="30"/>
      <c r="K109" s="30"/>
      <c r="L109" s="7"/>
      <c r="M109" s="7"/>
      <c r="N109" s="30"/>
      <c r="O109" s="30"/>
      <c r="P109" s="30" t="s">
        <v>258</v>
      </c>
      <c r="Q109" s="5"/>
      <c r="R109" s="5"/>
      <c r="S109" s="5"/>
      <c r="T109" s="5"/>
      <c r="U109" s="5"/>
      <c r="V109" s="5"/>
      <c r="W109" s="28"/>
      <c r="X109" s="107"/>
    </row>
    <row r="110" spans="1:24" ht="18" x14ac:dyDescent="0.25">
      <c r="A110" s="5"/>
      <c r="B110" s="5"/>
      <c r="C110" s="7"/>
      <c r="D110" s="5"/>
      <c r="E110" s="5"/>
      <c r="F110" s="5"/>
      <c r="G110" s="5"/>
      <c r="H110" s="7"/>
      <c r="I110" s="7"/>
      <c r="K110" s="30"/>
      <c r="L110" s="7"/>
      <c r="M110" s="7"/>
      <c r="N110" s="30"/>
      <c r="O110" s="5"/>
      <c r="P110" s="5"/>
      <c r="Q110" s="5"/>
      <c r="R110" s="5"/>
      <c r="S110" s="5"/>
      <c r="T110" s="5"/>
      <c r="U110" s="5"/>
      <c r="V110" s="5"/>
      <c r="W110" s="28"/>
      <c r="X110" s="107"/>
    </row>
    <row r="111" spans="1:24" ht="18" x14ac:dyDescent="0.25">
      <c r="A111" s="5"/>
      <c r="B111" s="7"/>
      <c r="C111" s="7"/>
      <c r="D111" s="5"/>
      <c r="E111" s="5"/>
      <c r="F111" s="5"/>
      <c r="G111" s="5"/>
      <c r="H111" s="7"/>
      <c r="I111" s="7"/>
      <c r="J111" s="5"/>
      <c r="K111" s="7"/>
      <c r="L111" s="7"/>
      <c r="M111" s="7"/>
      <c r="N111" s="5"/>
      <c r="O111" s="5"/>
      <c r="P111" s="5"/>
      <c r="Q111" s="5"/>
      <c r="R111" s="5"/>
      <c r="S111" s="5"/>
      <c r="T111" s="5"/>
      <c r="U111" s="5"/>
      <c r="V111" s="5"/>
      <c r="W111" s="28"/>
      <c r="X111" s="107"/>
    </row>
    <row r="112" spans="1:24" ht="18" x14ac:dyDescent="0.25">
      <c r="A112" s="5"/>
      <c r="B112" s="6"/>
      <c r="C112" s="11"/>
      <c r="D112" s="61"/>
      <c r="E112" s="61"/>
      <c r="F112" s="61" t="s">
        <v>72</v>
      </c>
      <c r="G112" s="61" t="s">
        <v>73</v>
      </c>
      <c r="H112" s="61" t="s">
        <v>73</v>
      </c>
      <c r="I112" s="110"/>
      <c r="J112" s="110"/>
      <c r="K112" s="110"/>
      <c r="L112" s="110"/>
      <c r="M112" s="110"/>
      <c r="N112" s="110"/>
      <c r="O112" s="61"/>
      <c r="P112" s="61"/>
      <c r="Q112" s="61"/>
      <c r="R112" s="61"/>
      <c r="S112" s="61"/>
      <c r="T112" s="61" t="s">
        <v>252</v>
      </c>
      <c r="U112" s="61"/>
      <c r="V112" s="61"/>
      <c r="W112" s="111"/>
      <c r="X112" s="109"/>
    </row>
    <row r="113" spans="1:27" ht="18" x14ac:dyDescent="0.25">
      <c r="A113" s="5"/>
      <c r="B113" s="7"/>
      <c r="C113" s="11"/>
      <c r="D113" s="61" t="s">
        <v>72</v>
      </c>
      <c r="E113" s="61" t="s">
        <v>72</v>
      </c>
      <c r="F113" s="61" t="s">
        <v>175</v>
      </c>
      <c r="G113" s="61" t="s">
        <v>175</v>
      </c>
      <c r="H113" s="61" t="s">
        <v>74</v>
      </c>
      <c r="I113" s="61" t="s">
        <v>75</v>
      </c>
      <c r="J113" s="61" t="s">
        <v>76</v>
      </c>
      <c r="K113" s="61" t="s">
        <v>76</v>
      </c>
      <c r="L113" s="61" t="s">
        <v>76</v>
      </c>
      <c r="M113" s="61" t="s">
        <v>76</v>
      </c>
      <c r="N113" s="61" t="s">
        <v>76</v>
      </c>
      <c r="O113" s="61" t="s">
        <v>73</v>
      </c>
      <c r="P113" s="61"/>
      <c r="Q113" s="61" t="s">
        <v>171</v>
      </c>
      <c r="R113" s="110" t="s">
        <v>83</v>
      </c>
      <c r="S113" s="110" t="s">
        <v>83</v>
      </c>
      <c r="T113" s="110" t="s">
        <v>84</v>
      </c>
      <c r="U113" s="61" t="s">
        <v>85</v>
      </c>
      <c r="V113" s="69" t="s">
        <v>190</v>
      </c>
      <c r="W113" s="111"/>
      <c r="X113" s="109"/>
    </row>
    <row r="114" spans="1:27" s="108" customFormat="1" ht="18" x14ac:dyDescent="0.25">
      <c r="A114" s="25" t="s">
        <v>70</v>
      </c>
      <c r="B114" s="14"/>
      <c r="C114" s="237" t="s">
        <v>19</v>
      </c>
      <c r="D114" s="238" t="s">
        <v>182</v>
      </c>
      <c r="E114" s="238" t="s">
        <v>172</v>
      </c>
      <c r="F114" s="239" t="s">
        <v>176</v>
      </c>
      <c r="G114" s="239" t="s">
        <v>176</v>
      </c>
      <c r="H114" s="240" t="s">
        <v>77</v>
      </c>
      <c r="I114" s="240" t="s">
        <v>78</v>
      </c>
      <c r="J114" s="240" t="s">
        <v>79</v>
      </c>
      <c r="K114" s="240" t="s">
        <v>80</v>
      </c>
      <c r="L114" s="240" t="s">
        <v>81</v>
      </c>
      <c r="M114" s="240" t="s">
        <v>82</v>
      </c>
      <c r="N114" s="240" t="s">
        <v>86</v>
      </c>
      <c r="O114" s="240" t="s">
        <v>172</v>
      </c>
      <c r="P114" s="240" t="s">
        <v>247</v>
      </c>
      <c r="Q114" s="240" t="s">
        <v>89</v>
      </c>
      <c r="R114" s="240" t="s">
        <v>78</v>
      </c>
      <c r="S114" s="240" t="s">
        <v>87</v>
      </c>
      <c r="T114" s="240" t="s">
        <v>88</v>
      </c>
      <c r="U114" s="240"/>
      <c r="V114" s="241" t="s">
        <v>191</v>
      </c>
      <c r="W114" s="242"/>
      <c r="X114" s="240"/>
    </row>
    <row r="115" spans="1:27" ht="18" x14ac:dyDescent="0.25">
      <c r="A115" s="10">
        <v>1</v>
      </c>
      <c r="B115" s="121" t="s">
        <v>33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5"/>
      <c r="O115" s="5"/>
      <c r="P115" s="5"/>
      <c r="Q115" s="5"/>
      <c r="R115" s="5"/>
      <c r="S115" s="5"/>
      <c r="T115" s="5"/>
      <c r="U115" s="5"/>
      <c r="V115" s="5"/>
      <c r="W115" s="28"/>
      <c r="X115" s="107"/>
    </row>
    <row r="116" spans="1:27" ht="19.5" x14ac:dyDescent="0.35">
      <c r="A116" s="10">
        <f>+A115+1</f>
        <v>2</v>
      </c>
      <c r="B116" s="121" t="s">
        <v>48</v>
      </c>
      <c r="C116" s="119">
        <f t="shared" ref="C116:V116" si="27">C71</f>
        <v>232214876.24195573</v>
      </c>
      <c r="D116" s="119">
        <f t="shared" si="27"/>
        <v>87366797.485980779</v>
      </c>
      <c r="E116" s="119">
        <f t="shared" si="27"/>
        <v>205252.82218035532</v>
      </c>
      <c r="F116" s="119">
        <f t="shared" si="27"/>
        <v>4020</v>
      </c>
      <c r="G116" s="119">
        <f t="shared" si="27"/>
        <v>7877.1000000000013</v>
      </c>
      <c r="H116" s="119">
        <f t="shared" si="27"/>
        <v>93394.678349999973</v>
      </c>
      <c r="I116" s="119">
        <f t="shared" si="27"/>
        <v>6398018.4546671966</v>
      </c>
      <c r="J116" s="119">
        <f t="shared" si="27"/>
        <v>30802595.188261107</v>
      </c>
      <c r="K116" s="119">
        <f t="shared" si="27"/>
        <v>37233460.658242516</v>
      </c>
      <c r="L116" s="119">
        <f t="shared" si="27"/>
        <v>18486939.627837822</v>
      </c>
      <c r="M116" s="119">
        <f t="shared" si="27"/>
        <v>10837267.328584038</v>
      </c>
      <c r="N116" s="119">
        <f t="shared" si="27"/>
        <v>16740343.900626309</v>
      </c>
      <c r="O116" s="119">
        <f t="shared" si="27"/>
        <v>821262.76946800004</v>
      </c>
      <c r="P116" s="119">
        <f t="shared" ref="P116" si="28">P71</f>
        <v>0</v>
      </c>
      <c r="Q116" s="119">
        <f t="shared" si="27"/>
        <v>3024774.7001132974</v>
      </c>
      <c r="R116" s="119">
        <f t="shared" si="27"/>
        <v>4344775.3728302084</v>
      </c>
      <c r="S116" s="119">
        <f t="shared" si="27"/>
        <v>521743.68679779151</v>
      </c>
      <c r="T116" s="119">
        <f t="shared" si="27"/>
        <v>10209.130518000002</v>
      </c>
      <c r="U116" s="119">
        <f t="shared" si="27"/>
        <v>268397.70348817908</v>
      </c>
      <c r="V116" s="119">
        <f t="shared" si="27"/>
        <v>15047745.634010116</v>
      </c>
      <c r="W116" s="122"/>
      <c r="X116" s="123"/>
    </row>
    <row r="117" spans="1:27" s="113" customFormat="1" ht="19.5" x14ac:dyDescent="0.35">
      <c r="A117" s="10">
        <f t="shared" ref="A117:A126" si="29">+A116+1</f>
        <v>3</v>
      </c>
      <c r="B117" s="76" t="s">
        <v>34</v>
      </c>
      <c r="C117" s="119">
        <f>SUM(D117:V117)</f>
        <v>13140188.929664597</v>
      </c>
      <c r="D117" s="75">
        <v>6024586.3105177088</v>
      </c>
      <c r="E117" s="75">
        <v>12163.453953511271</v>
      </c>
      <c r="F117" s="75">
        <v>67.592910207023706</v>
      </c>
      <c r="G117" s="75">
        <v>210.65510991621636</v>
      </c>
      <c r="H117" s="75">
        <v>442.45207768271058</v>
      </c>
      <c r="I117" s="75">
        <v>552311.40175559511</v>
      </c>
      <c r="J117" s="75">
        <v>990734.0918953931</v>
      </c>
      <c r="K117" s="75">
        <v>488716.40401155385</v>
      </c>
      <c r="L117" s="75">
        <v>96849.236937687048</v>
      </c>
      <c r="M117" s="75">
        <v>10166.49439753644</v>
      </c>
      <c r="N117" s="75">
        <v>287726.39013443107</v>
      </c>
      <c r="O117" s="75">
        <v>57732.763158130852</v>
      </c>
      <c r="P117" s="75">
        <v>4528224.3575000996</v>
      </c>
      <c r="Q117" s="75">
        <v>43353.275549581078</v>
      </c>
      <c r="R117" s="75">
        <v>22543.703285782161</v>
      </c>
      <c r="S117" s="75">
        <v>1734.1310219832433</v>
      </c>
      <c r="T117" s="75">
        <v>0</v>
      </c>
      <c r="U117" s="75">
        <v>9727.4262047771444</v>
      </c>
      <c r="V117" s="75">
        <v>12898.789243022751</v>
      </c>
      <c r="W117" s="115"/>
      <c r="X117" s="124"/>
      <c r="Z117" s="113">
        <f>SUM(D117:V117)-C117</f>
        <v>0</v>
      </c>
      <c r="AA117" s="113" t="s">
        <v>111</v>
      </c>
    </row>
    <row r="118" spans="1:27" ht="19.5" x14ac:dyDescent="0.35">
      <c r="A118" s="10">
        <f t="shared" si="29"/>
        <v>4</v>
      </c>
      <c r="B118" s="121" t="s">
        <v>35</v>
      </c>
      <c r="C118" s="119">
        <f>SUM(D118:V118)</f>
        <v>245355065.17162031</v>
      </c>
      <c r="D118" s="119">
        <f t="shared" ref="D118:V118" si="30">SUM(D116:D117)</f>
        <v>93391383.796498492</v>
      </c>
      <c r="E118" s="119">
        <f t="shared" si="30"/>
        <v>217416.27613386657</v>
      </c>
      <c r="F118" s="119">
        <f>SUM(F116:F117)</f>
        <v>4087.5929102070236</v>
      </c>
      <c r="G118" s="119">
        <f>SUM(G116:G117)</f>
        <v>8087.7551099162174</v>
      </c>
      <c r="H118" s="119">
        <f t="shared" si="30"/>
        <v>93837.130427682685</v>
      </c>
      <c r="I118" s="119">
        <f t="shared" si="30"/>
        <v>6950329.8564227913</v>
      </c>
      <c r="J118" s="119">
        <f t="shared" si="30"/>
        <v>31793329.280156501</v>
      </c>
      <c r="K118" s="119">
        <f t="shared" si="30"/>
        <v>37722177.062254071</v>
      </c>
      <c r="L118" s="119">
        <f t="shared" si="30"/>
        <v>18583788.864775509</v>
      </c>
      <c r="M118" s="119">
        <f t="shared" si="30"/>
        <v>10847433.822981574</v>
      </c>
      <c r="N118" s="119">
        <f t="shared" si="30"/>
        <v>17028070.290760741</v>
      </c>
      <c r="O118" s="119">
        <f t="shared" si="30"/>
        <v>878995.53262613085</v>
      </c>
      <c r="P118" s="119">
        <f t="shared" ref="P118" si="31">SUM(P116:P117)</f>
        <v>4528224.3575000996</v>
      </c>
      <c r="Q118" s="119">
        <f t="shared" si="30"/>
        <v>3068127.9756628787</v>
      </c>
      <c r="R118" s="119">
        <f t="shared" si="30"/>
        <v>4367319.076115991</v>
      </c>
      <c r="S118" s="119">
        <f t="shared" si="30"/>
        <v>523477.81781977473</v>
      </c>
      <c r="T118" s="119">
        <f t="shared" si="30"/>
        <v>10209.130518000002</v>
      </c>
      <c r="U118" s="119">
        <f t="shared" si="30"/>
        <v>278125.12969295622</v>
      </c>
      <c r="V118" s="119">
        <f t="shared" si="30"/>
        <v>15060644.423253138</v>
      </c>
      <c r="W118" s="122"/>
      <c r="X118" s="123"/>
      <c r="Z118" s="66">
        <f>SUM(D118:V118)-C118</f>
        <v>0</v>
      </c>
    </row>
    <row r="119" spans="1:27" ht="19.5" x14ac:dyDescent="0.35">
      <c r="A119" s="10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29"/>
      <c r="X119" s="4"/>
    </row>
    <row r="120" spans="1:27" ht="19.5" x14ac:dyDescent="0.35">
      <c r="A120" s="10">
        <f>+A118+1</f>
        <v>5</v>
      </c>
      <c r="B120" s="121" t="s">
        <v>36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29"/>
      <c r="X120" s="4"/>
    </row>
    <row r="121" spans="1:27" ht="19.5" x14ac:dyDescent="0.35">
      <c r="A121" s="10">
        <f t="shared" si="29"/>
        <v>6</v>
      </c>
      <c r="B121" s="121" t="s">
        <v>37</v>
      </c>
      <c r="C121" s="119">
        <f t="shared" ref="C121:V121" si="32">C176</f>
        <v>0</v>
      </c>
      <c r="D121" s="119">
        <f t="shared" si="32"/>
        <v>0</v>
      </c>
      <c r="E121" s="119">
        <f t="shared" si="32"/>
        <v>0</v>
      </c>
      <c r="F121" s="119">
        <f>F176</f>
        <v>0</v>
      </c>
      <c r="G121" s="119">
        <f>G176</f>
        <v>0</v>
      </c>
      <c r="H121" s="119">
        <f t="shared" si="32"/>
        <v>0</v>
      </c>
      <c r="I121" s="119">
        <f t="shared" si="32"/>
        <v>0</v>
      </c>
      <c r="J121" s="119">
        <f t="shared" si="32"/>
        <v>0</v>
      </c>
      <c r="K121" s="119">
        <f t="shared" si="32"/>
        <v>0</v>
      </c>
      <c r="L121" s="119">
        <f t="shared" si="32"/>
        <v>0</v>
      </c>
      <c r="M121" s="119">
        <f t="shared" si="32"/>
        <v>0</v>
      </c>
      <c r="N121" s="119">
        <f t="shared" si="32"/>
        <v>0</v>
      </c>
      <c r="O121" s="119">
        <f t="shared" si="32"/>
        <v>0</v>
      </c>
      <c r="P121" s="119">
        <f t="shared" ref="P121" si="33">P176</f>
        <v>0</v>
      </c>
      <c r="Q121" s="119">
        <f t="shared" si="32"/>
        <v>0</v>
      </c>
      <c r="R121" s="119">
        <f t="shared" si="32"/>
        <v>0</v>
      </c>
      <c r="S121" s="119">
        <f t="shared" si="32"/>
        <v>0</v>
      </c>
      <c r="T121" s="119">
        <f t="shared" si="32"/>
        <v>0</v>
      </c>
      <c r="U121" s="119">
        <f t="shared" si="32"/>
        <v>0</v>
      </c>
      <c r="V121" s="119">
        <f t="shared" si="32"/>
        <v>0</v>
      </c>
      <c r="W121" s="122"/>
      <c r="X121" s="123"/>
      <c r="Z121" s="66">
        <f t="shared" ref="Z121:Z133" si="34">SUM(D121:V121)-C121</f>
        <v>0</v>
      </c>
    </row>
    <row r="122" spans="1:27" ht="19.5" x14ac:dyDescent="0.35">
      <c r="A122" s="10">
        <f t="shared" si="29"/>
        <v>7</v>
      </c>
      <c r="B122" s="121" t="s">
        <v>38</v>
      </c>
      <c r="C122" s="119">
        <f t="shared" ref="C122:C127" si="35">SUM(D122:V122)</f>
        <v>121397580.16913767</v>
      </c>
      <c r="D122" s="119">
        <f t="shared" ref="D122:V122" si="36">D14</f>
        <v>58951917.892739333</v>
      </c>
      <c r="E122" s="119">
        <f t="shared" si="36"/>
        <v>129546.27143738876</v>
      </c>
      <c r="F122" s="119">
        <f t="shared" si="36"/>
        <v>3807.1735341037656</v>
      </c>
      <c r="G122" s="119">
        <f t="shared" si="36"/>
        <v>3033.4373018988776</v>
      </c>
      <c r="H122" s="119">
        <f t="shared" si="36"/>
        <v>40174.650129491019</v>
      </c>
      <c r="I122" s="119">
        <f t="shared" si="36"/>
        <v>2897519.8574791579</v>
      </c>
      <c r="J122" s="119">
        <f t="shared" si="36"/>
        <v>11655534.904224336</v>
      </c>
      <c r="K122" s="119">
        <f t="shared" si="36"/>
        <v>14043236.933123549</v>
      </c>
      <c r="L122" s="119">
        <f t="shared" si="36"/>
        <v>7505733.0323742665</v>
      </c>
      <c r="M122" s="119">
        <f t="shared" si="36"/>
        <v>5318165.71172499</v>
      </c>
      <c r="N122" s="119">
        <f t="shared" si="36"/>
        <v>8065592.5538293784</v>
      </c>
      <c r="O122" s="119">
        <f t="shared" si="36"/>
        <v>296001.23504061333</v>
      </c>
      <c r="P122" s="119">
        <f t="shared" ref="P122" si="37">P14</f>
        <v>1113579.5868458769</v>
      </c>
      <c r="Q122" s="119">
        <f t="shared" si="36"/>
        <v>2606479.1264331513</v>
      </c>
      <c r="R122" s="119">
        <f t="shared" si="36"/>
        <v>4875571.6307093957</v>
      </c>
      <c r="S122" s="119">
        <f t="shared" si="36"/>
        <v>185678.06332217169</v>
      </c>
      <c r="T122" s="119">
        <f t="shared" si="36"/>
        <v>9.0201907401635392E-4</v>
      </c>
      <c r="U122" s="119">
        <f t="shared" si="36"/>
        <v>140616.76671722974</v>
      </c>
      <c r="V122" s="119">
        <f t="shared" si="36"/>
        <v>3565391.3412693408</v>
      </c>
      <c r="W122" s="122"/>
      <c r="X122" s="123"/>
      <c r="Z122" s="66">
        <f t="shared" si="34"/>
        <v>0</v>
      </c>
    </row>
    <row r="123" spans="1:27" ht="19.5" x14ac:dyDescent="0.35">
      <c r="A123" s="10">
        <f t="shared" si="29"/>
        <v>8</v>
      </c>
      <c r="B123" s="121" t="s">
        <v>39</v>
      </c>
      <c r="C123" s="119">
        <f t="shared" si="35"/>
        <v>52929996.344444506</v>
      </c>
      <c r="D123" s="119">
        <f t="shared" ref="D123:V123" si="38">D15</f>
        <v>18157728.420787681</v>
      </c>
      <c r="E123" s="119">
        <f t="shared" si="38"/>
        <v>42597.544403368942</v>
      </c>
      <c r="F123" s="119">
        <f t="shared" si="38"/>
        <v>1559.7235232590231</v>
      </c>
      <c r="G123" s="119">
        <f t="shared" si="38"/>
        <v>1624.9554711323976</v>
      </c>
      <c r="H123" s="119">
        <f t="shared" si="38"/>
        <v>26541.755342663699</v>
      </c>
      <c r="I123" s="119">
        <f t="shared" si="38"/>
        <v>1088041.729630175</v>
      </c>
      <c r="J123" s="119">
        <f t="shared" si="38"/>
        <v>6046106.8388571981</v>
      </c>
      <c r="K123" s="119">
        <f t="shared" si="38"/>
        <v>8572172.1124024689</v>
      </c>
      <c r="L123" s="119">
        <f t="shared" si="38"/>
        <v>4852332.6847892767</v>
      </c>
      <c r="M123" s="119">
        <f t="shared" si="38"/>
        <v>3456006.4474212518</v>
      </c>
      <c r="N123" s="119">
        <f t="shared" si="38"/>
        <v>4653677.611081182</v>
      </c>
      <c r="O123" s="119">
        <f t="shared" si="38"/>
        <v>108456.73341091277</v>
      </c>
      <c r="P123" s="119">
        <f t="shared" ref="P123" si="39">P15</f>
        <v>1242940.289116937</v>
      </c>
      <c r="Q123" s="119">
        <f t="shared" si="38"/>
        <v>1442648.8791286999</v>
      </c>
      <c r="R123" s="119">
        <f t="shared" si="38"/>
        <v>1815550.1514043561</v>
      </c>
      <c r="S123" s="119">
        <f t="shared" si="38"/>
        <v>23142.823498438913</v>
      </c>
      <c r="T123" s="119">
        <f t="shared" si="38"/>
        <v>0</v>
      </c>
      <c r="U123" s="119">
        <f t="shared" si="38"/>
        <v>106607.65747834233</v>
      </c>
      <c r="V123" s="119">
        <f t="shared" si="38"/>
        <v>1292259.9866971639</v>
      </c>
      <c r="W123" s="122"/>
      <c r="X123" s="123"/>
      <c r="Z123" s="66">
        <f t="shared" si="34"/>
        <v>0</v>
      </c>
    </row>
    <row r="124" spans="1:27" ht="19.5" x14ac:dyDescent="0.35">
      <c r="A124" s="10">
        <f t="shared" si="29"/>
        <v>9</v>
      </c>
      <c r="B124" s="121" t="s">
        <v>40</v>
      </c>
      <c r="C124" s="119">
        <f t="shared" si="35"/>
        <v>4685938.1753702555</v>
      </c>
      <c r="D124" s="119">
        <f t="shared" ref="D124:V124" si="40">D16</f>
        <v>624167.30956788885</v>
      </c>
      <c r="E124" s="119">
        <f t="shared" si="40"/>
        <v>1464.27978590155</v>
      </c>
      <c r="F124" s="119">
        <f t="shared" si="40"/>
        <v>157.12142494144143</v>
      </c>
      <c r="G124" s="119">
        <f t="shared" si="40"/>
        <v>157.12142494144143</v>
      </c>
      <c r="H124" s="119">
        <f t="shared" si="40"/>
        <v>2988.8780153633297</v>
      </c>
      <c r="I124" s="119">
        <f t="shared" si="40"/>
        <v>61179.70679762154</v>
      </c>
      <c r="J124" s="119">
        <f t="shared" si="40"/>
        <v>557872.83355194121</v>
      </c>
      <c r="K124" s="119">
        <f t="shared" si="40"/>
        <v>910205.0219610784</v>
      </c>
      <c r="L124" s="119">
        <f t="shared" si="40"/>
        <v>536880.05782834685</v>
      </c>
      <c r="M124" s="119">
        <f t="shared" si="40"/>
        <v>386995.70568273257</v>
      </c>
      <c r="N124" s="119">
        <f t="shared" si="40"/>
        <v>810061.58349222702</v>
      </c>
      <c r="O124" s="119">
        <f t="shared" si="40"/>
        <v>5391.761106420784</v>
      </c>
      <c r="P124" s="119">
        <f t="shared" ref="P124" si="41">P16</f>
        <v>0</v>
      </c>
      <c r="Q124" s="119">
        <f t="shared" si="40"/>
        <v>243606.26508660454</v>
      </c>
      <c r="R124" s="119">
        <f t="shared" si="40"/>
        <v>532974.5989983076</v>
      </c>
      <c r="S124" s="119">
        <f t="shared" si="40"/>
        <v>0</v>
      </c>
      <c r="T124" s="119">
        <f t="shared" si="40"/>
        <v>0</v>
      </c>
      <c r="U124" s="119">
        <f t="shared" si="40"/>
        <v>11835.930645937717</v>
      </c>
      <c r="V124" s="119">
        <f t="shared" si="40"/>
        <v>0</v>
      </c>
      <c r="W124" s="122"/>
      <c r="X124" s="123"/>
      <c r="Z124" s="66">
        <f t="shared" si="34"/>
        <v>0</v>
      </c>
    </row>
    <row r="125" spans="1:27" ht="19.5" x14ac:dyDescent="0.35">
      <c r="A125" s="10">
        <f t="shared" si="29"/>
        <v>10</v>
      </c>
      <c r="B125" s="121" t="s">
        <v>41</v>
      </c>
      <c r="C125" s="119">
        <f t="shared" si="35"/>
        <v>19056381.744208295</v>
      </c>
      <c r="D125" s="119">
        <f t="shared" ref="D125:V125" si="42">D17</f>
        <v>7037330.2906189365</v>
      </c>
      <c r="E125" s="119">
        <f t="shared" si="42"/>
        <v>16509.388321538143</v>
      </c>
      <c r="F125" s="119">
        <f t="shared" si="42"/>
        <v>542.18657466734123</v>
      </c>
      <c r="G125" s="119">
        <f t="shared" si="42"/>
        <v>568.81817540180293</v>
      </c>
      <c r="H125" s="119">
        <f t="shared" si="42"/>
        <v>9036.6502099605786</v>
      </c>
      <c r="I125" s="119">
        <f t="shared" si="42"/>
        <v>407374.14371356077</v>
      </c>
      <c r="J125" s="119">
        <f t="shared" si="42"/>
        <v>2132547.5385688357</v>
      </c>
      <c r="K125" s="119">
        <f t="shared" si="42"/>
        <v>2951737.008193518</v>
      </c>
      <c r="L125" s="119">
        <f t="shared" si="42"/>
        <v>1657814.740865984</v>
      </c>
      <c r="M125" s="119">
        <f t="shared" si="42"/>
        <v>1177980.0759210275</v>
      </c>
      <c r="N125" s="119">
        <f t="shared" si="42"/>
        <v>1587265.8309862195</v>
      </c>
      <c r="O125" s="119">
        <f t="shared" si="42"/>
        <v>41032.743085647526</v>
      </c>
      <c r="P125" s="119">
        <f t="shared" ref="P125" si="43">P17</f>
        <v>423182.88596996007</v>
      </c>
      <c r="Q125" s="119">
        <f t="shared" si="42"/>
        <v>494329.87260958314</v>
      </c>
      <c r="R125" s="119">
        <f t="shared" si="42"/>
        <v>620265.88320168399</v>
      </c>
      <c r="S125" s="119">
        <f t="shared" si="42"/>
        <v>8323.4624650071109</v>
      </c>
      <c r="T125" s="119">
        <f t="shared" si="42"/>
        <v>0</v>
      </c>
      <c r="U125" s="119">
        <f t="shared" si="42"/>
        <v>36398.482370783735</v>
      </c>
      <c r="V125" s="119">
        <f t="shared" si="42"/>
        <v>454141.74235598196</v>
      </c>
      <c r="W125" s="122"/>
      <c r="X125" s="123"/>
      <c r="Z125" s="66">
        <f t="shared" si="34"/>
        <v>0</v>
      </c>
    </row>
    <row r="126" spans="1:27" ht="19.5" x14ac:dyDescent="0.35">
      <c r="A126" s="10">
        <f t="shared" si="29"/>
        <v>11</v>
      </c>
      <c r="B126" s="121" t="s">
        <v>42</v>
      </c>
      <c r="C126" s="119">
        <f t="shared" si="35"/>
        <v>2474659.3806720991</v>
      </c>
      <c r="D126" s="119">
        <f t="shared" ref="D126:V126" si="44">D18</f>
        <v>962083.52748982713</v>
      </c>
      <c r="E126" s="119">
        <f t="shared" si="44"/>
        <v>2203.5131058514844</v>
      </c>
      <c r="F126" s="119">
        <f t="shared" si="44"/>
        <v>77.505322610666781</v>
      </c>
      <c r="G126" s="119">
        <f t="shared" si="44"/>
        <v>72.256745304948922</v>
      </c>
      <c r="H126" s="119">
        <f t="shared" si="44"/>
        <v>1134.0797374391036</v>
      </c>
      <c r="I126" s="119">
        <f t="shared" si="44"/>
        <v>51541.062433523701</v>
      </c>
      <c r="J126" s="119">
        <f t="shared" si="44"/>
        <v>269995.15878280124</v>
      </c>
      <c r="K126" s="119">
        <f t="shared" si="44"/>
        <v>371488.39051633893</v>
      </c>
      <c r="L126" s="119">
        <f t="shared" si="44"/>
        <v>208403.92860506478</v>
      </c>
      <c r="M126" s="119">
        <f t="shared" si="44"/>
        <v>148714.23264042375</v>
      </c>
      <c r="N126" s="119">
        <f t="shared" si="44"/>
        <v>207509.42200398416</v>
      </c>
      <c r="O126" s="119">
        <f t="shared" si="44"/>
        <v>5173.3336090274715</v>
      </c>
      <c r="P126" s="119">
        <f t="shared" ref="P126" si="45">P18</f>
        <v>10390.961762703202</v>
      </c>
      <c r="Q126" s="119">
        <f t="shared" si="44"/>
        <v>65479.175241051489</v>
      </c>
      <c r="R126" s="119">
        <f t="shared" si="44"/>
        <v>97019.560695774577</v>
      </c>
      <c r="S126" s="119">
        <f t="shared" si="44"/>
        <v>2148.0851722805769</v>
      </c>
      <c r="T126" s="119">
        <f t="shared" si="44"/>
        <v>7.1154624373289714E-6</v>
      </c>
      <c r="U126" s="119">
        <f t="shared" si="44"/>
        <v>4327.5832356561023</v>
      </c>
      <c r="V126" s="119">
        <f t="shared" si="44"/>
        <v>66897.603565321086</v>
      </c>
      <c r="W126" s="122"/>
      <c r="X126" s="123"/>
      <c r="Z126" s="66">
        <f t="shared" si="34"/>
        <v>0</v>
      </c>
    </row>
    <row r="127" spans="1:27" ht="19.5" x14ac:dyDescent="0.35">
      <c r="A127" s="10">
        <f>+A126+1</f>
        <v>12</v>
      </c>
      <c r="B127" s="121" t="s">
        <v>174</v>
      </c>
      <c r="C127" s="119">
        <f t="shared" si="35"/>
        <v>0</v>
      </c>
      <c r="D127" s="119">
        <f t="shared" ref="D127:V127" si="46">D19</f>
        <v>0</v>
      </c>
      <c r="E127" s="119">
        <f t="shared" si="46"/>
        <v>0</v>
      </c>
      <c r="F127" s="119">
        <f t="shared" si="46"/>
        <v>0</v>
      </c>
      <c r="G127" s="119">
        <f t="shared" si="46"/>
        <v>0</v>
      </c>
      <c r="H127" s="119">
        <f t="shared" si="46"/>
        <v>0</v>
      </c>
      <c r="I127" s="119">
        <f t="shared" si="46"/>
        <v>0</v>
      </c>
      <c r="J127" s="119">
        <f t="shared" si="46"/>
        <v>0</v>
      </c>
      <c r="K127" s="119">
        <f t="shared" si="46"/>
        <v>0</v>
      </c>
      <c r="L127" s="119">
        <f t="shared" si="46"/>
        <v>0</v>
      </c>
      <c r="M127" s="119">
        <f t="shared" si="46"/>
        <v>0</v>
      </c>
      <c r="N127" s="119">
        <f t="shared" si="46"/>
        <v>0</v>
      </c>
      <c r="O127" s="119">
        <f t="shared" si="46"/>
        <v>0</v>
      </c>
      <c r="P127" s="119">
        <f t="shared" ref="P127" si="47">P19</f>
        <v>0</v>
      </c>
      <c r="Q127" s="119">
        <f t="shared" si="46"/>
        <v>0</v>
      </c>
      <c r="R127" s="119">
        <f t="shared" si="46"/>
        <v>0</v>
      </c>
      <c r="S127" s="119">
        <f t="shared" si="46"/>
        <v>0</v>
      </c>
      <c r="T127" s="119">
        <f t="shared" si="46"/>
        <v>0</v>
      </c>
      <c r="U127" s="119">
        <f t="shared" si="46"/>
        <v>0</v>
      </c>
      <c r="V127" s="119">
        <f t="shared" si="46"/>
        <v>0</v>
      </c>
      <c r="W127" s="122"/>
      <c r="X127" s="123"/>
      <c r="Z127" s="66">
        <f t="shared" si="34"/>
        <v>0</v>
      </c>
    </row>
    <row r="128" spans="1:27" ht="19.5" x14ac:dyDescent="0.35">
      <c r="A128" s="10">
        <f>+A127+1</f>
        <v>13</v>
      </c>
      <c r="B128" s="121" t="s">
        <v>109</v>
      </c>
      <c r="C128" s="119">
        <f t="shared" ref="C128:V128" si="48">SUM(C121:C127)</f>
        <v>200544555.81383282</v>
      </c>
      <c r="D128" s="119">
        <f t="shared" si="48"/>
        <v>85733227.441203669</v>
      </c>
      <c r="E128" s="119">
        <f t="shared" si="48"/>
        <v>192320.99705404884</v>
      </c>
      <c r="F128" s="119">
        <f t="shared" si="48"/>
        <v>6143.7103795822377</v>
      </c>
      <c r="G128" s="119">
        <f t="shared" si="48"/>
        <v>5456.5891186794688</v>
      </c>
      <c r="H128" s="119">
        <f t="shared" si="48"/>
        <v>79876.01343491771</v>
      </c>
      <c r="I128" s="119">
        <f t="shared" si="48"/>
        <v>4505656.5000540391</v>
      </c>
      <c r="J128" s="119">
        <f t="shared" si="48"/>
        <v>20662057.27398511</v>
      </c>
      <c r="K128" s="119">
        <f t="shared" si="48"/>
        <v>26848839.466196958</v>
      </c>
      <c r="L128" s="119">
        <f t="shared" si="48"/>
        <v>14761164.44446294</v>
      </c>
      <c r="M128" s="119">
        <f t="shared" si="48"/>
        <v>10487862.173390424</v>
      </c>
      <c r="N128" s="119">
        <f t="shared" si="48"/>
        <v>15324107.00139299</v>
      </c>
      <c r="O128" s="119">
        <f t="shared" si="48"/>
        <v>456055.80625262193</v>
      </c>
      <c r="P128" s="119">
        <f t="shared" ref="P128" si="49">SUM(P121:P127)</f>
        <v>2790093.723695477</v>
      </c>
      <c r="Q128" s="119">
        <f t="shared" si="48"/>
        <v>4852543.3184990892</v>
      </c>
      <c r="R128" s="119">
        <f t="shared" si="48"/>
        <v>7941381.8250095174</v>
      </c>
      <c r="S128" s="119">
        <f t="shared" si="48"/>
        <v>219292.43445789831</v>
      </c>
      <c r="T128" s="119">
        <f t="shared" si="48"/>
        <v>9.0913453645368294E-4</v>
      </c>
      <c r="U128" s="119">
        <f t="shared" si="48"/>
        <v>299786.42044794961</v>
      </c>
      <c r="V128" s="119">
        <f t="shared" si="48"/>
        <v>5378690.6738878079</v>
      </c>
      <c r="W128" s="122"/>
      <c r="X128" s="123"/>
      <c r="Z128" s="66">
        <f t="shared" si="34"/>
        <v>0</v>
      </c>
    </row>
    <row r="129" spans="1:26" ht="19.5" x14ac:dyDescent="0.35">
      <c r="A129" s="10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29"/>
      <c r="X129" s="4"/>
      <c r="Z129" s="66">
        <f t="shared" si="34"/>
        <v>0</v>
      </c>
    </row>
    <row r="130" spans="1:26" ht="19.5" x14ac:dyDescent="0.35">
      <c r="A130" s="10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29"/>
      <c r="X130" s="4"/>
      <c r="Z130" s="66">
        <f t="shared" si="34"/>
        <v>0</v>
      </c>
    </row>
    <row r="131" spans="1:26" ht="19.5" x14ac:dyDescent="0.35">
      <c r="A131" s="10">
        <f>+A128+1</f>
        <v>14</v>
      </c>
      <c r="B131" s="121" t="s">
        <v>43</v>
      </c>
      <c r="C131" s="119">
        <v>4750161.3447458157</v>
      </c>
      <c r="D131" s="119">
        <f t="shared" ref="D131:V131" si="50">$C131*(D136/$C136)</f>
        <v>1622165.5086153054</v>
      </c>
      <c r="E131" s="119">
        <f t="shared" si="50"/>
        <v>3805.5568230520139</v>
      </c>
      <c r="F131" s="119">
        <f>$C131*(F136/$C136)</f>
        <v>140.26215376921257</v>
      </c>
      <c r="G131" s="119">
        <f>$C131*(G136/$C136)</f>
        <v>146.0698716127022</v>
      </c>
      <c r="H131" s="119">
        <f t="shared" si="50"/>
        <v>2389.6380606843318</v>
      </c>
      <c r="I131" s="119">
        <f t="shared" si="50"/>
        <v>97414.338920347975</v>
      </c>
      <c r="J131" s="119">
        <f t="shared" si="50"/>
        <v>543256.51329154207</v>
      </c>
      <c r="K131" s="119">
        <f t="shared" si="50"/>
        <v>771289.67133991665</v>
      </c>
      <c r="L131" s="119">
        <f t="shared" si="50"/>
        <v>436785.97720510577</v>
      </c>
      <c r="M131" s="119">
        <f t="shared" si="50"/>
        <v>311135.7318322619</v>
      </c>
      <c r="N131" s="119">
        <f t="shared" si="50"/>
        <v>418943.46182150295</v>
      </c>
      <c r="O131" s="119">
        <f t="shared" si="50"/>
        <v>9704.0431067199916</v>
      </c>
      <c r="P131" s="119">
        <f t="shared" ref="P131" si="51">$C131*(P136/$C136)</f>
        <v>111905.83982429764</v>
      </c>
      <c r="Q131" s="119">
        <f t="shared" si="50"/>
        <v>129839.67056232761</v>
      </c>
      <c r="R131" s="119">
        <f t="shared" si="50"/>
        <v>163428.29610441462</v>
      </c>
      <c r="S131" s="119">
        <f t="shared" si="50"/>
        <v>2077.0624054826176</v>
      </c>
      <c r="T131" s="119">
        <f t="shared" si="50"/>
        <v>0</v>
      </c>
      <c r="U131" s="119">
        <f t="shared" si="50"/>
        <v>9596.719524894992</v>
      </c>
      <c r="V131" s="119">
        <f t="shared" si="50"/>
        <v>116136.98328257918</v>
      </c>
      <c r="W131" s="122"/>
      <c r="X131" s="123"/>
      <c r="Z131" s="66">
        <f t="shared" si="34"/>
        <v>0</v>
      </c>
    </row>
    <row r="132" spans="1:26" ht="19.5" x14ac:dyDescent="0.35">
      <c r="A132" s="10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29"/>
      <c r="X132" s="4"/>
      <c r="Z132" s="66">
        <f t="shared" si="34"/>
        <v>0</v>
      </c>
    </row>
    <row r="133" spans="1:26" s="65" customFormat="1" ht="20.25" thickBot="1" x14ac:dyDescent="0.4">
      <c r="A133" s="10">
        <f>+A131+1</f>
        <v>15</v>
      </c>
      <c r="B133" s="243" t="s">
        <v>44</v>
      </c>
      <c r="C133" s="138">
        <f t="shared" ref="C133:V133" si="52">C118-C128-C131</f>
        <v>40060348.013041675</v>
      </c>
      <c r="D133" s="138">
        <f t="shared" si="52"/>
        <v>6035990.846679518</v>
      </c>
      <c r="E133" s="138">
        <f t="shared" si="52"/>
        <v>21289.722256765715</v>
      </c>
      <c r="F133" s="138">
        <f t="shared" si="52"/>
        <v>-2196.3796231444267</v>
      </c>
      <c r="G133" s="138">
        <f t="shared" si="52"/>
        <v>2485.0961196240464</v>
      </c>
      <c r="H133" s="138">
        <f t="shared" si="52"/>
        <v>11571.478932080643</v>
      </c>
      <c r="I133" s="138">
        <f t="shared" si="52"/>
        <v>2347259.0174484043</v>
      </c>
      <c r="J133" s="138">
        <f t="shared" si="52"/>
        <v>10588015.492879849</v>
      </c>
      <c r="K133" s="138">
        <f t="shared" si="52"/>
        <v>10102047.924717197</v>
      </c>
      <c r="L133" s="138">
        <f t="shared" si="52"/>
        <v>3385838.443107463</v>
      </c>
      <c r="M133" s="138">
        <f t="shared" si="52"/>
        <v>48435.917758887867</v>
      </c>
      <c r="N133" s="138">
        <f t="shared" si="52"/>
        <v>1285019.8275462473</v>
      </c>
      <c r="O133" s="138">
        <f t="shared" si="52"/>
        <v>413235.68326678895</v>
      </c>
      <c r="P133" s="138">
        <f t="shared" ref="P133" si="53">P118-P128-P131</f>
        <v>1626224.7939803249</v>
      </c>
      <c r="Q133" s="138">
        <f t="shared" si="52"/>
        <v>-1914255.0133985381</v>
      </c>
      <c r="R133" s="138">
        <f t="shared" si="52"/>
        <v>-3737491.0449979408</v>
      </c>
      <c r="S133" s="138">
        <f t="shared" si="52"/>
        <v>302108.32095639379</v>
      </c>
      <c r="T133" s="138">
        <f t="shared" si="52"/>
        <v>10209.129608865465</v>
      </c>
      <c r="U133" s="138">
        <f t="shared" si="52"/>
        <v>-31258.010279888382</v>
      </c>
      <c r="V133" s="138">
        <f t="shared" si="52"/>
        <v>9565816.7660827506</v>
      </c>
      <c r="W133" s="139"/>
      <c r="X133" s="140"/>
      <c r="Z133" s="65">
        <f t="shared" si="34"/>
        <v>0</v>
      </c>
    </row>
    <row r="134" spans="1:26" ht="20.25" thickTop="1" x14ac:dyDescent="0.35">
      <c r="A134" s="10"/>
      <c r="B134" s="121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41"/>
      <c r="X134" s="142"/>
    </row>
    <row r="135" spans="1:26" ht="19.5" x14ac:dyDescent="0.35">
      <c r="A135" s="10"/>
      <c r="B135" s="7"/>
      <c r="C135" s="7"/>
      <c r="D135" s="7"/>
      <c r="E135" s="7"/>
      <c r="F135" s="119"/>
      <c r="G135" s="119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29"/>
      <c r="X135" s="4"/>
    </row>
    <row r="136" spans="1:26" s="65" customFormat="1" ht="19.5" x14ac:dyDescent="0.35">
      <c r="A136" s="10">
        <f>+A133+1</f>
        <v>16</v>
      </c>
      <c r="B136" s="143" t="s">
        <v>45</v>
      </c>
      <c r="C136" s="144">
        <f t="shared" ref="C136:V136" si="54">C189</f>
        <v>1578725509.1567197</v>
      </c>
      <c r="D136" s="144">
        <f t="shared" si="54"/>
        <v>539129912.15716386</v>
      </c>
      <c r="E136" s="144">
        <f t="shared" si="54"/>
        <v>1264784.3298508227</v>
      </c>
      <c r="F136" s="144">
        <f>F189</f>
        <v>46616.403960604286</v>
      </c>
      <c r="G136" s="144">
        <f>G189</f>
        <v>48546.610461830482</v>
      </c>
      <c r="H136" s="144">
        <f t="shared" si="54"/>
        <v>794200.93134879007</v>
      </c>
      <c r="I136" s="144">
        <f t="shared" si="54"/>
        <v>32375848.029099114</v>
      </c>
      <c r="J136" s="144">
        <f t="shared" si="54"/>
        <v>180552375.65720782</v>
      </c>
      <c r="K136" s="144">
        <f t="shared" si="54"/>
        <v>256339646.32386321</v>
      </c>
      <c r="L136" s="144">
        <f t="shared" si="54"/>
        <v>145166682.60508212</v>
      </c>
      <c r="M136" s="144">
        <f t="shared" si="54"/>
        <v>103406575.27287014</v>
      </c>
      <c r="N136" s="144">
        <f t="shared" si="54"/>
        <v>139236687.36086327</v>
      </c>
      <c r="O136" s="144">
        <f t="shared" si="54"/>
        <v>3225157.9015270392</v>
      </c>
      <c r="P136" s="144">
        <f t="shared" ref="P136" si="55">P189</f>
        <v>37192126.989462979</v>
      </c>
      <c r="Q136" s="144">
        <f t="shared" si="54"/>
        <v>43152471.07216315</v>
      </c>
      <c r="R136" s="144">
        <f t="shared" si="54"/>
        <v>54315717.141574964</v>
      </c>
      <c r="S136" s="144">
        <f t="shared" si="54"/>
        <v>690315.79469882068</v>
      </c>
      <c r="T136" s="144">
        <f t="shared" si="54"/>
        <v>0</v>
      </c>
      <c r="U136" s="144">
        <f t="shared" si="54"/>
        <v>3189488.6970380996</v>
      </c>
      <c r="V136" s="144">
        <f t="shared" si="54"/>
        <v>38598355.878483608</v>
      </c>
      <c r="W136" s="139"/>
      <c r="X136" s="140"/>
      <c r="Z136" s="65">
        <f>SUM(D136:V136)-C136</f>
        <v>0</v>
      </c>
    </row>
    <row r="137" spans="1:26" ht="19.5" x14ac:dyDescent="0.35">
      <c r="A137" s="10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29"/>
      <c r="X137" s="4"/>
    </row>
    <row r="138" spans="1:26" s="65" customFormat="1" ht="19.5" x14ac:dyDescent="0.35">
      <c r="A138" s="10">
        <f>+A136+1</f>
        <v>17</v>
      </c>
      <c r="B138" s="143" t="s">
        <v>46</v>
      </c>
      <c r="C138" s="145">
        <f>C133/C136</f>
        <v>2.5375119221605544E-2</v>
      </c>
      <c r="D138" s="145">
        <f>D133/D136</f>
        <v>1.1195800326730792E-2</v>
      </c>
      <c r="E138" s="145">
        <f t="shared" ref="E138:V138" si="56">E133/E136</f>
        <v>1.683268977508345E-2</v>
      </c>
      <c r="F138" s="145">
        <f>IF(F136=0,0,(F133/F136))</f>
        <v>-4.7116024329130923E-2</v>
      </c>
      <c r="G138" s="145">
        <f>IF(G133=0,0,(G133/G136))</f>
        <v>5.1189899685745111E-2</v>
      </c>
      <c r="H138" s="145">
        <f t="shared" si="56"/>
        <v>1.4569963941529028E-2</v>
      </c>
      <c r="I138" s="145">
        <f t="shared" si="56"/>
        <v>7.2500309963733134E-2</v>
      </c>
      <c r="J138" s="145">
        <f t="shared" si="56"/>
        <v>5.864234937003536E-2</v>
      </c>
      <c r="K138" s="145">
        <f t="shared" si="56"/>
        <v>3.9408839286429083E-2</v>
      </c>
      <c r="L138" s="145">
        <f t="shared" si="56"/>
        <v>2.3323798425003952E-2</v>
      </c>
      <c r="M138" s="145">
        <f t="shared" si="56"/>
        <v>4.6840268746039371E-4</v>
      </c>
      <c r="N138" s="145">
        <f t="shared" si="56"/>
        <v>9.2290318873777047E-3</v>
      </c>
      <c r="O138" s="145">
        <f t="shared" si="56"/>
        <v>0.12812882217987875</v>
      </c>
      <c r="P138" s="145">
        <f>IF(P136=0,0,(P133/P136))</f>
        <v>4.3724974224815263E-2</v>
      </c>
      <c r="Q138" s="145">
        <f t="shared" si="56"/>
        <v>-4.4360264101616836E-2</v>
      </c>
      <c r="R138" s="145">
        <f t="shared" si="56"/>
        <v>-6.8810488780919499E-2</v>
      </c>
      <c r="S138" s="145">
        <f t="shared" si="56"/>
        <v>0.43763785107684122</v>
      </c>
      <c r="T138" s="145">
        <f>IF(T136=0,0,(T133/T136))</f>
        <v>0</v>
      </c>
      <c r="U138" s="145">
        <f t="shared" si="56"/>
        <v>-9.8003201293410929E-3</v>
      </c>
      <c r="V138" s="145">
        <f t="shared" si="56"/>
        <v>0.24782964321584355</v>
      </c>
      <c r="W138" s="146"/>
      <c r="X138" s="147"/>
    </row>
    <row r="139" spans="1:26" ht="18" x14ac:dyDescent="0.25">
      <c r="A139" s="5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5"/>
      <c r="O139" s="5"/>
      <c r="P139" s="5"/>
      <c r="Q139" s="5"/>
      <c r="R139" s="5"/>
      <c r="S139" s="5"/>
      <c r="T139" s="5"/>
      <c r="U139" s="5"/>
      <c r="V139" s="5"/>
      <c r="W139" s="28"/>
      <c r="X139" s="107"/>
    </row>
    <row r="140" spans="1:26" ht="18" x14ac:dyDescent="0.25">
      <c r="A140" s="5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5"/>
      <c r="O140" s="5"/>
      <c r="P140" s="5"/>
      <c r="Q140" s="5"/>
      <c r="R140" s="5"/>
      <c r="S140" s="5"/>
      <c r="T140" s="5"/>
      <c r="U140" s="5"/>
      <c r="V140" s="5"/>
      <c r="W140" s="28"/>
      <c r="X140" s="107"/>
    </row>
    <row r="141" spans="1:26" ht="18" x14ac:dyDescent="0.25">
      <c r="A141" s="5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5"/>
      <c r="O141" s="5"/>
      <c r="P141" s="5"/>
      <c r="Q141" s="5"/>
      <c r="R141" s="5"/>
      <c r="S141" s="5"/>
      <c r="T141" s="5"/>
      <c r="U141" s="5"/>
      <c r="V141" s="5"/>
      <c r="W141" s="28"/>
      <c r="X141" s="107"/>
    </row>
    <row r="142" spans="1:26" ht="18" x14ac:dyDescent="0.25">
      <c r="A142" s="5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5"/>
      <c r="O142" s="5"/>
      <c r="P142" s="5"/>
      <c r="Q142" s="5"/>
      <c r="R142" s="5"/>
      <c r="S142" s="5"/>
      <c r="T142" s="5"/>
      <c r="U142" s="5"/>
      <c r="V142" s="5"/>
      <c r="W142" s="28"/>
      <c r="X142" s="107"/>
    </row>
    <row r="143" spans="1:26" ht="18" x14ac:dyDescent="0.25">
      <c r="A143" s="5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5"/>
      <c r="O143" s="5"/>
      <c r="P143" s="5"/>
      <c r="Q143" s="5"/>
      <c r="R143" s="5"/>
      <c r="S143" s="5"/>
      <c r="T143" s="5"/>
      <c r="U143" s="5"/>
      <c r="V143" s="5"/>
      <c r="W143" s="28"/>
      <c r="X143" s="107"/>
    </row>
    <row r="144" spans="1:26" ht="18" x14ac:dyDescent="0.25">
      <c r="A144" s="5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5"/>
      <c r="O144" s="5"/>
      <c r="P144" s="5"/>
      <c r="Q144" s="5"/>
      <c r="R144" s="5"/>
      <c r="S144" s="5"/>
      <c r="T144" s="5"/>
      <c r="U144" s="5"/>
      <c r="V144" s="5"/>
      <c r="W144" s="28"/>
      <c r="X144" s="107"/>
    </row>
    <row r="145" spans="1:24" ht="18" x14ac:dyDescent="0.25">
      <c r="A145" s="5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5"/>
      <c r="O145" s="5"/>
      <c r="P145" s="5"/>
      <c r="Q145" s="5"/>
      <c r="R145" s="5"/>
      <c r="S145" s="5"/>
      <c r="T145" s="5"/>
      <c r="U145" s="5"/>
      <c r="V145" s="5"/>
      <c r="W145" s="28"/>
      <c r="X145" s="107"/>
    </row>
    <row r="146" spans="1:24" ht="18" x14ac:dyDescent="0.25">
      <c r="A146" s="5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5"/>
      <c r="O146" s="5"/>
      <c r="P146" s="5"/>
      <c r="Q146" s="5"/>
      <c r="R146" s="5"/>
      <c r="S146" s="5"/>
      <c r="T146" s="5"/>
      <c r="U146" s="5"/>
      <c r="V146" s="5"/>
      <c r="W146" s="28"/>
      <c r="X146" s="107"/>
    </row>
    <row r="147" spans="1:24" ht="18" x14ac:dyDescent="0.25">
      <c r="A147" s="5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5"/>
      <c r="O147" s="5"/>
      <c r="P147" s="5"/>
      <c r="Q147" s="5"/>
      <c r="R147" s="5"/>
      <c r="S147" s="5"/>
      <c r="T147" s="5"/>
      <c r="U147" s="5"/>
      <c r="V147" s="5"/>
      <c r="W147" s="28"/>
      <c r="X147" s="107"/>
    </row>
    <row r="148" spans="1:24" ht="18" x14ac:dyDescent="0.25">
      <c r="A148" s="5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5"/>
      <c r="O148" s="5"/>
      <c r="P148" s="5"/>
      <c r="Q148" s="5"/>
      <c r="R148" s="5"/>
      <c r="S148" s="5"/>
      <c r="T148" s="5"/>
      <c r="U148" s="5"/>
      <c r="V148" s="5"/>
      <c r="W148" s="28"/>
      <c r="X148" s="107"/>
    </row>
    <row r="149" spans="1:24" ht="18" x14ac:dyDescent="0.25">
      <c r="A149" s="5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5"/>
      <c r="O149" s="5"/>
      <c r="P149" s="5"/>
      <c r="Q149" s="5"/>
      <c r="R149" s="5"/>
      <c r="S149" s="5"/>
      <c r="T149" s="5"/>
      <c r="U149" s="5"/>
      <c r="V149" s="5"/>
      <c r="W149" s="28"/>
      <c r="X149" s="107"/>
    </row>
    <row r="150" spans="1:24" ht="18" x14ac:dyDescent="0.25">
      <c r="A150" s="5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5"/>
      <c r="O150" s="5"/>
      <c r="P150" s="5"/>
      <c r="Q150" s="5"/>
      <c r="R150" s="5"/>
      <c r="S150" s="5"/>
      <c r="T150" s="5"/>
      <c r="U150" s="5"/>
      <c r="V150" s="5"/>
      <c r="W150" s="28"/>
      <c r="X150" s="107"/>
    </row>
    <row r="151" spans="1:24" ht="18" x14ac:dyDescent="0.25">
      <c r="A151" s="5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5"/>
      <c r="O151" s="5"/>
      <c r="P151" s="5"/>
      <c r="Q151" s="5"/>
      <c r="R151" s="5"/>
      <c r="S151" s="5"/>
      <c r="T151" s="5"/>
      <c r="U151" s="5"/>
      <c r="V151" s="5"/>
      <c r="W151" s="28"/>
      <c r="X151" s="107"/>
    </row>
    <row r="152" spans="1:24" ht="18" x14ac:dyDescent="0.25">
      <c r="A152" s="5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5"/>
      <c r="O152" s="5"/>
      <c r="P152" s="5"/>
      <c r="Q152" s="5"/>
      <c r="R152" s="5"/>
      <c r="S152" s="5"/>
      <c r="T152" s="5"/>
      <c r="U152" s="5"/>
      <c r="V152" s="5"/>
      <c r="W152" s="28"/>
      <c r="X152" s="107"/>
    </row>
    <row r="153" spans="1:24" ht="18" x14ac:dyDescent="0.25">
      <c r="A153" s="15"/>
      <c r="B153" s="13"/>
      <c r="C153" s="14"/>
      <c r="D153" s="14"/>
      <c r="E153" s="14"/>
      <c r="F153" s="14"/>
      <c r="G153" s="14"/>
      <c r="H153" s="14"/>
      <c r="I153" s="14"/>
      <c r="J153" s="13"/>
      <c r="K153" s="14"/>
      <c r="L153" s="14"/>
      <c r="M153" s="14"/>
      <c r="N153" s="15"/>
      <c r="O153" s="15"/>
      <c r="P153" s="15"/>
      <c r="Q153" s="15"/>
      <c r="R153" s="15"/>
      <c r="S153" s="15"/>
      <c r="T153" s="15"/>
      <c r="U153" s="15"/>
      <c r="V153" s="15"/>
      <c r="W153" s="28"/>
      <c r="X153" s="107"/>
    </row>
    <row r="154" spans="1:24" ht="18" x14ac:dyDescent="0.25">
      <c r="A154" s="23" t="s">
        <v>65</v>
      </c>
      <c r="B154" s="23"/>
      <c r="C154" s="7"/>
      <c r="D154" s="7"/>
      <c r="E154" s="7"/>
      <c r="F154" s="7"/>
      <c r="G154" s="7"/>
      <c r="H154" s="7"/>
      <c r="I154" s="7"/>
      <c r="J154" s="7"/>
      <c r="K154" s="5" t="s">
        <v>279</v>
      </c>
      <c r="L154" s="5"/>
      <c r="M154" s="7"/>
      <c r="N154" s="5"/>
      <c r="O154" s="5"/>
      <c r="P154" s="5"/>
      <c r="Q154" s="5"/>
      <c r="R154" s="5"/>
      <c r="S154" s="5"/>
      <c r="T154" s="5"/>
      <c r="U154" s="5" t="s">
        <v>279</v>
      </c>
      <c r="V154" s="5"/>
      <c r="W154" s="28"/>
      <c r="X154" s="107"/>
    </row>
    <row r="155" spans="1:24" ht="18" hidden="1" x14ac:dyDescent="0.25">
      <c r="A155" s="5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5"/>
      <c r="O155" s="5"/>
      <c r="P155" s="5"/>
      <c r="Q155" s="5"/>
      <c r="R155" s="5"/>
      <c r="S155" s="5"/>
      <c r="T155" s="5"/>
      <c r="U155" s="5"/>
      <c r="V155" s="5"/>
      <c r="W155" s="28"/>
      <c r="X155" s="107"/>
    </row>
    <row r="156" spans="1:24" ht="18" hidden="1" x14ac:dyDescent="0.25">
      <c r="A156" s="5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5"/>
      <c r="O156" s="5"/>
      <c r="P156" s="5"/>
      <c r="Q156" s="5"/>
      <c r="R156" s="5"/>
      <c r="S156" s="5"/>
      <c r="T156" s="5"/>
      <c r="U156" s="5"/>
      <c r="V156" s="5"/>
      <c r="W156" s="28"/>
      <c r="X156" s="107"/>
    </row>
    <row r="157" spans="1:24" ht="18" x14ac:dyDescent="0.25">
      <c r="A157" s="5"/>
      <c r="C157" s="7"/>
      <c r="D157" s="5"/>
      <c r="E157" s="5"/>
      <c r="F157" s="5"/>
      <c r="G157" s="5"/>
      <c r="H157" s="7"/>
      <c r="I157" s="7"/>
      <c r="J157" s="7"/>
      <c r="K157" s="5"/>
      <c r="L157" s="5"/>
      <c r="M157" s="7"/>
      <c r="N157" s="5"/>
      <c r="O157" s="5"/>
      <c r="P157" s="5"/>
      <c r="Q157" s="5"/>
      <c r="R157" s="5"/>
      <c r="S157" s="5"/>
      <c r="T157" s="5"/>
      <c r="U157" s="5"/>
      <c r="V157" s="5"/>
      <c r="W157" s="28"/>
      <c r="X157" s="107"/>
    </row>
    <row r="158" spans="1:24" s="107" customFormat="1" ht="18" x14ac:dyDescent="0.25">
      <c r="A158" s="99" t="s">
        <v>0</v>
      </c>
      <c r="B158" s="99"/>
      <c r="C158" s="29"/>
      <c r="D158" s="28"/>
      <c r="E158" s="28"/>
      <c r="F158" s="28"/>
      <c r="G158" s="28"/>
      <c r="H158" s="29"/>
      <c r="I158" s="29"/>
      <c r="J158" s="106" t="s">
        <v>269</v>
      </c>
      <c r="K158" s="28"/>
      <c r="L158" s="28"/>
      <c r="M158" s="29"/>
      <c r="N158" s="28"/>
      <c r="O158" s="28"/>
      <c r="P158" s="28"/>
      <c r="R158" s="28"/>
      <c r="S158" s="31"/>
      <c r="T158" s="106" t="s">
        <v>268</v>
      </c>
      <c r="U158" s="28"/>
      <c r="V158" s="28"/>
      <c r="W158" s="28"/>
    </row>
    <row r="159" spans="1:24" ht="18" x14ac:dyDescent="0.25">
      <c r="A159" s="13"/>
      <c r="B159" s="13"/>
      <c r="C159" s="14"/>
      <c r="D159" s="15"/>
      <c r="E159" s="15"/>
      <c r="F159" s="26" t="s">
        <v>104</v>
      </c>
      <c r="G159" s="15"/>
      <c r="H159" s="14"/>
      <c r="I159" s="14"/>
      <c r="J159" s="100"/>
      <c r="K159" s="26"/>
      <c r="L159" s="15"/>
      <c r="M159" s="14"/>
      <c r="N159" s="26"/>
      <c r="O159" s="15"/>
      <c r="P159" s="26" t="s">
        <v>104</v>
      </c>
      <c r="Q159" s="108"/>
      <c r="R159" s="15"/>
      <c r="S159" s="14"/>
      <c r="T159" s="100"/>
      <c r="U159" s="15"/>
      <c r="V159" s="15"/>
      <c r="W159" s="28"/>
      <c r="X159" s="107"/>
    </row>
    <row r="160" spans="1:24" ht="18" x14ac:dyDescent="0.25">
      <c r="A160" s="6" t="s">
        <v>1</v>
      </c>
      <c r="B160" s="6"/>
      <c r="C160" s="7"/>
      <c r="D160" s="5"/>
      <c r="E160" s="5"/>
      <c r="F160" s="10"/>
      <c r="G160" s="5"/>
      <c r="H160" s="7"/>
      <c r="I160" s="7"/>
      <c r="J160" s="101" t="s">
        <v>2</v>
      </c>
      <c r="K160" s="10"/>
      <c r="L160" s="5"/>
      <c r="M160" s="7"/>
      <c r="N160" s="10"/>
      <c r="O160" s="5"/>
      <c r="P160" s="10"/>
      <c r="R160" s="5"/>
      <c r="S160" s="6"/>
      <c r="T160" s="101" t="s">
        <v>2</v>
      </c>
      <c r="U160" s="5"/>
      <c r="V160" s="5"/>
      <c r="W160" s="28"/>
      <c r="X160" s="107"/>
    </row>
    <row r="161" spans="1:26" ht="18" x14ac:dyDescent="0.25">
      <c r="A161" s="9" t="s">
        <v>71</v>
      </c>
      <c r="B161" s="9"/>
      <c r="C161" s="7"/>
      <c r="D161" s="5"/>
      <c r="E161" s="5"/>
      <c r="F161" s="10" t="s">
        <v>259</v>
      </c>
      <c r="G161" s="5"/>
      <c r="H161" s="7"/>
      <c r="I161" s="7"/>
      <c r="J161" s="102" t="str">
        <f>+J$4</f>
        <v>PROJECTED TEST YEAR:      12/31/21</v>
      </c>
      <c r="K161" s="10"/>
      <c r="L161" s="5"/>
      <c r="M161" s="7"/>
      <c r="N161" s="10"/>
      <c r="O161" s="5"/>
      <c r="P161" s="10" t="s">
        <v>259</v>
      </c>
      <c r="R161" s="5"/>
      <c r="S161" s="9"/>
      <c r="T161" s="102" t="str">
        <f>+T$4</f>
        <v>PROJECTED TEST YEAR:      12/31/21</v>
      </c>
      <c r="U161" s="5"/>
      <c r="V161" s="5"/>
      <c r="W161" s="28"/>
      <c r="X161" s="107"/>
    </row>
    <row r="162" spans="1:26" ht="18" x14ac:dyDescent="0.25">
      <c r="A162" s="21" t="s">
        <v>249</v>
      </c>
      <c r="B162" s="21"/>
      <c r="C162" s="14"/>
      <c r="D162" s="15"/>
      <c r="E162" s="15"/>
      <c r="F162" s="26" t="s">
        <v>255</v>
      </c>
      <c r="G162" s="15"/>
      <c r="H162" s="14"/>
      <c r="I162" s="14"/>
      <c r="J162" s="103" t="str">
        <f>+J$5</f>
        <v>WITNESS:  D. YARDLEY</v>
      </c>
      <c r="K162" s="26"/>
      <c r="L162" s="14"/>
      <c r="M162" s="14"/>
      <c r="N162" s="26"/>
      <c r="O162" s="15"/>
      <c r="P162" s="26" t="s">
        <v>255</v>
      </c>
      <c r="Q162" s="108"/>
      <c r="R162" s="15"/>
      <c r="S162" s="21"/>
      <c r="T162" s="103" t="str">
        <f>+T$5</f>
        <v>WITNESS:  D. YARDLEY</v>
      </c>
      <c r="U162" s="15"/>
      <c r="V162" s="15"/>
      <c r="W162" s="28"/>
      <c r="X162" s="107"/>
    </row>
    <row r="163" spans="1:26" ht="18" x14ac:dyDescent="0.25">
      <c r="A163" s="28"/>
      <c r="B163" s="29"/>
      <c r="C163" s="29"/>
      <c r="D163" s="28"/>
      <c r="E163" s="28"/>
      <c r="F163" s="30" t="s">
        <v>105</v>
      </c>
      <c r="G163" s="28"/>
      <c r="H163" s="29"/>
      <c r="I163" s="29"/>
      <c r="J163" s="30"/>
      <c r="K163" s="30"/>
      <c r="L163" s="29"/>
      <c r="M163" s="29"/>
      <c r="N163" s="30"/>
      <c r="O163" s="28"/>
      <c r="P163" s="30" t="s">
        <v>105</v>
      </c>
      <c r="Q163" s="107"/>
      <c r="R163" s="28"/>
      <c r="S163" s="28"/>
      <c r="T163" s="28"/>
      <c r="U163" s="28"/>
      <c r="V163" s="28"/>
      <c r="W163" s="28"/>
      <c r="X163" s="107"/>
    </row>
    <row r="164" spans="1:26" ht="18" x14ac:dyDescent="0.25">
      <c r="A164" s="5"/>
      <c r="B164" s="5"/>
      <c r="C164" s="7"/>
      <c r="D164" s="5"/>
      <c r="E164" s="5"/>
      <c r="F164" s="30" t="s">
        <v>260</v>
      </c>
      <c r="G164" s="5"/>
      <c r="H164" s="7"/>
      <c r="I164" s="7"/>
      <c r="J164" s="30"/>
      <c r="K164" s="30"/>
      <c r="L164" s="7"/>
      <c r="M164" s="7"/>
      <c r="N164" s="30"/>
      <c r="O164" s="5"/>
      <c r="P164" s="30" t="s">
        <v>260</v>
      </c>
      <c r="Q164" s="5"/>
      <c r="R164" s="5"/>
      <c r="S164" s="5"/>
      <c r="T164" s="5"/>
      <c r="U164" s="5"/>
      <c r="V164" s="5"/>
      <c r="W164" s="28"/>
      <c r="X164" s="107"/>
    </row>
    <row r="165" spans="1:26" ht="18" x14ac:dyDescent="0.25">
      <c r="A165" s="5"/>
      <c r="B165" s="7"/>
      <c r="C165" s="7"/>
      <c r="D165" s="5"/>
      <c r="E165" s="5"/>
      <c r="F165" s="5"/>
      <c r="G165" s="5"/>
      <c r="H165" s="7"/>
      <c r="I165" s="7"/>
      <c r="J165" s="7"/>
      <c r="K165" s="7"/>
      <c r="L165" s="7"/>
      <c r="M165" s="7"/>
      <c r="N165" s="5"/>
      <c r="O165" s="5"/>
      <c r="P165" s="5"/>
      <c r="Q165" s="5"/>
      <c r="R165" s="5"/>
      <c r="S165" s="5"/>
      <c r="T165" s="5"/>
      <c r="U165" s="5"/>
      <c r="V165" s="5"/>
      <c r="W165" s="28"/>
      <c r="X165" s="107"/>
    </row>
    <row r="166" spans="1:26" ht="18" x14ac:dyDescent="0.25">
      <c r="A166" s="5"/>
      <c r="B166" s="7"/>
      <c r="C166" s="7"/>
      <c r="D166" s="5"/>
      <c r="E166" s="5"/>
      <c r="F166" s="5"/>
      <c r="G166" s="5"/>
      <c r="H166" s="7"/>
      <c r="I166" s="7"/>
      <c r="J166" s="5"/>
      <c r="K166" s="7"/>
      <c r="L166" s="7"/>
      <c r="M166" s="7"/>
      <c r="N166" s="5"/>
      <c r="O166" s="5"/>
      <c r="P166" s="5"/>
      <c r="Q166" s="5"/>
      <c r="R166" s="5"/>
      <c r="S166" s="5"/>
      <c r="T166" s="5"/>
      <c r="U166" s="5"/>
      <c r="V166" s="5"/>
      <c r="W166" s="28"/>
      <c r="X166" s="107"/>
    </row>
    <row r="167" spans="1:26" ht="18" x14ac:dyDescent="0.25">
      <c r="A167" s="5"/>
      <c r="B167" s="6"/>
      <c r="C167" s="11"/>
      <c r="D167" s="61"/>
      <c r="E167" s="61"/>
      <c r="F167" s="61" t="s">
        <v>72</v>
      </c>
      <c r="G167" s="61" t="s">
        <v>73</v>
      </c>
      <c r="H167" s="61" t="s">
        <v>73</v>
      </c>
      <c r="I167" s="110"/>
      <c r="J167" s="110"/>
      <c r="K167" s="110"/>
      <c r="L167" s="110"/>
      <c r="M167" s="110"/>
      <c r="N167" s="110"/>
      <c r="O167" s="61"/>
      <c r="P167" s="61"/>
      <c r="Q167" s="61"/>
      <c r="R167" s="61"/>
      <c r="S167" s="61"/>
      <c r="T167" s="61" t="s">
        <v>252</v>
      </c>
      <c r="U167" s="61"/>
      <c r="V167" s="61"/>
      <c r="W167" s="111"/>
      <c r="X167" s="109"/>
    </row>
    <row r="168" spans="1:26" ht="18" x14ac:dyDescent="0.25">
      <c r="A168" s="5"/>
      <c r="B168" s="7"/>
      <c r="C168" s="11"/>
      <c r="D168" s="61" t="s">
        <v>72</v>
      </c>
      <c r="E168" s="61" t="s">
        <v>72</v>
      </c>
      <c r="F168" s="61" t="s">
        <v>175</v>
      </c>
      <c r="G168" s="61" t="s">
        <v>175</v>
      </c>
      <c r="H168" s="61" t="s">
        <v>74</v>
      </c>
      <c r="I168" s="61" t="s">
        <v>75</v>
      </c>
      <c r="J168" s="61" t="s">
        <v>76</v>
      </c>
      <c r="K168" s="61" t="s">
        <v>76</v>
      </c>
      <c r="L168" s="61" t="s">
        <v>76</v>
      </c>
      <c r="M168" s="61" t="s">
        <v>76</v>
      </c>
      <c r="N168" s="61" t="s">
        <v>76</v>
      </c>
      <c r="O168" s="61" t="s">
        <v>73</v>
      </c>
      <c r="P168" s="61"/>
      <c r="Q168" s="61" t="s">
        <v>171</v>
      </c>
      <c r="R168" s="110" t="s">
        <v>83</v>
      </c>
      <c r="S168" s="110" t="s">
        <v>83</v>
      </c>
      <c r="T168" s="110" t="s">
        <v>84</v>
      </c>
      <c r="U168" s="61" t="s">
        <v>85</v>
      </c>
      <c r="V168" s="69" t="s">
        <v>190</v>
      </c>
      <c r="W168" s="111"/>
      <c r="X168" s="109"/>
    </row>
    <row r="169" spans="1:26" s="108" customFormat="1" ht="18" x14ac:dyDescent="0.25">
      <c r="A169" s="25" t="s">
        <v>70</v>
      </c>
      <c r="B169" s="14"/>
      <c r="C169" s="237" t="s">
        <v>19</v>
      </c>
      <c r="D169" s="238" t="s">
        <v>182</v>
      </c>
      <c r="E169" s="238" t="s">
        <v>172</v>
      </c>
      <c r="F169" s="239" t="s">
        <v>176</v>
      </c>
      <c r="G169" s="239" t="s">
        <v>176</v>
      </c>
      <c r="H169" s="240" t="s">
        <v>77</v>
      </c>
      <c r="I169" s="240" t="s">
        <v>78</v>
      </c>
      <c r="J169" s="240" t="s">
        <v>79</v>
      </c>
      <c r="K169" s="240" t="s">
        <v>80</v>
      </c>
      <c r="L169" s="240" t="s">
        <v>81</v>
      </c>
      <c r="M169" s="240" t="s">
        <v>82</v>
      </c>
      <c r="N169" s="240" t="s">
        <v>86</v>
      </c>
      <c r="O169" s="240" t="s">
        <v>172</v>
      </c>
      <c r="P169" s="240" t="s">
        <v>247</v>
      </c>
      <c r="Q169" s="240" t="s">
        <v>89</v>
      </c>
      <c r="R169" s="240" t="s">
        <v>78</v>
      </c>
      <c r="S169" s="240" t="s">
        <v>87</v>
      </c>
      <c r="T169" s="240" t="s">
        <v>88</v>
      </c>
      <c r="U169" s="240"/>
      <c r="V169" s="241" t="s">
        <v>191</v>
      </c>
      <c r="W169" s="242"/>
      <c r="X169" s="240"/>
    </row>
    <row r="170" spans="1:26" ht="18" x14ac:dyDescent="0.25">
      <c r="A170" s="10">
        <v>1</v>
      </c>
      <c r="B170" s="121" t="s">
        <v>47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5"/>
      <c r="O170" s="5"/>
      <c r="P170" s="5"/>
      <c r="Q170" s="5"/>
      <c r="R170" s="5"/>
      <c r="S170" s="5"/>
      <c r="T170" s="5"/>
      <c r="U170" s="5"/>
      <c r="V170" s="5"/>
      <c r="W170" s="28"/>
      <c r="X170" s="107"/>
    </row>
    <row r="171" spans="1:26" ht="19.5" x14ac:dyDescent="0.35">
      <c r="A171" s="10">
        <v>2</v>
      </c>
      <c r="B171" s="121" t="s">
        <v>48</v>
      </c>
      <c r="C171" s="119">
        <f>+C233</f>
        <v>316184240.48021054</v>
      </c>
      <c r="D171" s="119">
        <f t="shared" ref="D171:V171" si="57">D233</f>
        <v>119528239.88527496</v>
      </c>
      <c r="E171" s="119">
        <f t="shared" si="57"/>
        <v>299511.48276081291</v>
      </c>
      <c r="F171" s="119">
        <f>F233</f>
        <v>4451.3999999999996</v>
      </c>
      <c r="G171" s="119">
        <f>G233</f>
        <v>8761.5</v>
      </c>
      <c r="H171" s="119">
        <f t="shared" si="57"/>
        <v>157205.51622499997</v>
      </c>
      <c r="I171" s="119">
        <f t="shared" si="57"/>
        <v>8703365.7832870409</v>
      </c>
      <c r="J171" s="119">
        <f t="shared" si="57"/>
        <v>42126190.056019306</v>
      </c>
      <c r="K171" s="119">
        <f t="shared" si="57"/>
        <v>52411364.092807181</v>
      </c>
      <c r="L171" s="119">
        <f t="shared" si="57"/>
        <v>26727532.079441525</v>
      </c>
      <c r="M171" s="119">
        <f t="shared" si="57"/>
        <v>15473494.030893158</v>
      </c>
      <c r="N171" s="119">
        <f t="shared" si="57"/>
        <v>22627904.30237288</v>
      </c>
      <c r="O171" s="119">
        <f t="shared" si="57"/>
        <v>1267715.1363860001</v>
      </c>
      <c r="P171" s="119">
        <f t="shared" ref="P171" si="58">P233</f>
        <v>0</v>
      </c>
      <c r="Q171" s="119">
        <f t="shared" si="57"/>
        <v>4412750.8184181657</v>
      </c>
      <c r="R171" s="119">
        <f t="shared" si="57"/>
        <v>6338723.037223178</v>
      </c>
      <c r="S171" s="119">
        <f t="shared" si="57"/>
        <v>652692.67668876238</v>
      </c>
      <c r="T171" s="119">
        <f t="shared" si="57"/>
        <v>0</v>
      </c>
      <c r="U171" s="119">
        <f t="shared" si="57"/>
        <v>396593.04840246902</v>
      </c>
      <c r="V171" s="119">
        <f t="shared" si="57"/>
        <v>15047745.634010116</v>
      </c>
      <c r="W171" s="122"/>
      <c r="X171" s="123"/>
      <c r="Z171" s="66">
        <f t="shared" ref="Z171:Z189" si="59">SUM(D171:V171)-C171</f>
        <v>0</v>
      </c>
    </row>
    <row r="172" spans="1:26" ht="19.5" x14ac:dyDescent="0.35">
      <c r="A172" s="10">
        <v>3</v>
      </c>
      <c r="B172" s="121" t="s">
        <v>34</v>
      </c>
      <c r="C172" s="119">
        <f t="shared" ref="C172:V172" si="60">-1*C22</f>
        <v>14495546.867221706</v>
      </c>
      <c r="D172" s="119">
        <f t="shared" si="60"/>
        <v>7249750.7416617628</v>
      </c>
      <c r="E172" s="119">
        <f t="shared" si="60"/>
        <v>15037.656885048627</v>
      </c>
      <c r="F172" s="119">
        <f t="shared" si="60"/>
        <v>83.564996870128667</v>
      </c>
      <c r="G172" s="119">
        <f t="shared" si="60"/>
        <v>226.15670156572986</v>
      </c>
      <c r="H172" s="119">
        <f t="shared" si="60"/>
        <v>442.45207768271058</v>
      </c>
      <c r="I172" s="119">
        <f t="shared" si="60"/>
        <v>589076.50284315669</v>
      </c>
      <c r="J172" s="119">
        <f t="shared" si="60"/>
        <v>1048136.6682616605</v>
      </c>
      <c r="K172" s="119">
        <f t="shared" si="60"/>
        <v>514439.75510889565</v>
      </c>
      <c r="L172" s="119">
        <f t="shared" si="60"/>
        <v>99818.783614614236</v>
      </c>
      <c r="M172" s="119">
        <f t="shared" si="60"/>
        <v>10687.347876960093</v>
      </c>
      <c r="N172" s="119">
        <f t="shared" si="60"/>
        <v>288237.94265886495</v>
      </c>
      <c r="O172" s="119">
        <f t="shared" si="60"/>
        <v>60916.790082940919</v>
      </c>
      <c r="P172" s="119">
        <f t="shared" ref="P172" si="61">-1*P22</f>
        <v>4528224.3575000996</v>
      </c>
      <c r="Q172" s="119">
        <f t="shared" si="60"/>
        <v>43430.783507828644</v>
      </c>
      <c r="R172" s="119">
        <f t="shared" si="60"/>
        <v>22584.007424070896</v>
      </c>
      <c r="S172" s="119">
        <f t="shared" si="60"/>
        <v>1737.2313403131461</v>
      </c>
      <c r="T172" s="119">
        <f t="shared" si="60"/>
        <v>0</v>
      </c>
      <c r="U172" s="119">
        <f t="shared" si="60"/>
        <v>9767.7303430658794</v>
      </c>
      <c r="V172" s="119">
        <f t="shared" si="60"/>
        <v>12948.394336301197</v>
      </c>
      <c r="W172" s="122"/>
      <c r="X172" s="123"/>
      <c r="Z172" s="66">
        <f t="shared" si="59"/>
        <v>0</v>
      </c>
    </row>
    <row r="173" spans="1:26" ht="19.5" x14ac:dyDescent="0.35">
      <c r="A173" s="10">
        <v>4</v>
      </c>
      <c r="B173" s="121" t="s">
        <v>35</v>
      </c>
      <c r="C173" s="119">
        <f t="shared" ref="C173:V173" si="62">C171+C172</f>
        <v>330679787.34743226</v>
      </c>
      <c r="D173" s="119">
        <f t="shared" si="62"/>
        <v>126777990.62693672</v>
      </c>
      <c r="E173" s="119">
        <f t="shared" si="62"/>
        <v>314549.13964586152</v>
      </c>
      <c r="F173" s="119">
        <f>F171+F172</f>
        <v>4534.9649968701287</v>
      </c>
      <c r="G173" s="119">
        <f>G171+G172</f>
        <v>8987.6567015657292</v>
      </c>
      <c r="H173" s="119">
        <f t="shared" si="62"/>
        <v>157647.96830268268</v>
      </c>
      <c r="I173" s="119">
        <f t="shared" si="62"/>
        <v>9292442.2861301973</v>
      </c>
      <c r="J173" s="119">
        <f t="shared" si="62"/>
        <v>43174326.724280968</v>
      </c>
      <c r="K173" s="119">
        <f t="shared" si="62"/>
        <v>52925803.847916074</v>
      </c>
      <c r="L173" s="119">
        <f t="shared" si="62"/>
        <v>26827350.863056138</v>
      </c>
      <c r="M173" s="119">
        <f t="shared" si="62"/>
        <v>15484181.378770119</v>
      </c>
      <c r="N173" s="119">
        <f t="shared" si="62"/>
        <v>22916142.245031744</v>
      </c>
      <c r="O173" s="119">
        <f t="shared" si="62"/>
        <v>1328631.9264689409</v>
      </c>
      <c r="P173" s="119">
        <f t="shared" ref="P173" si="63">P171+P172</f>
        <v>4528224.3575000996</v>
      </c>
      <c r="Q173" s="119">
        <f t="shared" si="62"/>
        <v>4456181.6019259943</v>
      </c>
      <c r="R173" s="119">
        <f t="shared" si="62"/>
        <v>6361307.0446472485</v>
      </c>
      <c r="S173" s="119">
        <f t="shared" si="62"/>
        <v>654429.90802907548</v>
      </c>
      <c r="T173" s="119">
        <f t="shared" si="62"/>
        <v>0</v>
      </c>
      <c r="U173" s="119">
        <f t="shared" si="62"/>
        <v>406360.77874553489</v>
      </c>
      <c r="V173" s="119">
        <f t="shared" si="62"/>
        <v>15060694.028346417</v>
      </c>
      <c r="W173" s="122"/>
      <c r="X173" s="123"/>
      <c r="Z173" s="66">
        <f t="shared" si="59"/>
        <v>0</v>
      </c>
    </row>
    <row r="174" spans="1:26" ht="19.5" x14ac:dyDescent="0.35">
      <c r="A174" s="10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29"/>
      <c r="X174" s="4"/>
      <c r="Z174" s="66">
        <f t="shared" si="59"/>
        <v>0</v>
      </c>
    </row>
    <row r="175" spans="1:26" ht="19.5" x14ac:dyDescent="0.35">
      <c r="A175" s="10">
        <v>5</v>
      </c>
      <c r="B175" s="121" t="s">
        <v>36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29"/>
      <c r="X175" s="4"/>
      <c r="Z175" s="66">
        <f t="shared" si="59"/>
        <v>0</v>
      </c>
    </row>
    <row r="176" spans="1:26" ht="19.5" x14ac:dyDescent="0.35">
      <c r="A176" s="10">
        <v>6</v>
      </c>
      <c r="B176" s="121" t="s">
        <v>37</v>
      </c>
      <c r="C176" s="119">
        <f t="shared" ref="C176:C181" si="64">SUM(D176:V176)</f>
        <v>0</v>
      </c>
      <c r="D176" s="119">
        <f t="shared" ref="D176:V176" si="65">D13</f>
        <v>0</v>
      </c>
      <c r="E176" s="119">
        <f t="shared" si="65"/>
        <v>0</v>
      </c>
      <c r="F176" s="119">
        <f t="shared" si="65"/>
        <v>0</v>
      </c>
      <c r="G176" s="119">
        <f t="shared" si="65"/>
        <v>0</v>
      </c>
      <c r="H176" s="119">
        <f t="shared" si="65"/>
        <v>0</v>
      </c>
      <c r="I176" s="119">
        <f t="shared" si="65"/>
        <v>0</v>
      </c>
      <c r="J176" s="119">
        <f t="shared" si="65"/>
        <v>0</v>
      </c>
      <c r="K176" s="119">
        <f t="shared" si="65"/>
        <v>0</v>
      </c>
      <c r="L176" s="119">
        <f t="shared" si="65"/>
        <v>0</v>
      </c>
      <c r="M176" s="119">
        <f t="shared" si="65"/>
        <v>0</v>
      </c>
      <c r="N176" s="119">
        <f t="shared" si="65"/>
        <v>0</v>
      </c>
      <c r="O176" s="119">
        <f t="shared" si="65"/>
        <v>0</v>
      </c>
      <c r="P176" s="119">
        <f t="shared" ref="P176" si="66">P13</f>
        <v>0</v>
      </c>
      <c r="Q176" s="119">
        <f t="shared" si="65"/>
        <v>0</v>
      </c>
      <c r="R176" s="119">
        <f t="shared" si="65"/>
        <v>0</v>
      </c>
      <c r="S176" s="119">
        <f t="shared" si="65"/>
        <v>0</v>
      </c>
      <c r="T176" s="119">
        <f t="shared" si="65"/>
        <v>0</v>
      </c>
      <c r="U176" s="119">
        <f t="shared" si="65"/>
        <v>0</v>
      </c>
      <c r="V176" s="119">
        <f t="shared" si="65"/>
        <v>0</v>
      </c>
      <c r="W176" s="122"/>
      <c r="X176" s="123"/>
      <c r="Z176" s="66">
        <f t="shared" si="59"/>
        <v>0</v>
      </c>
    </row>
    <row r="177" spans="1:26" ht="19.5" x14ac:dyDescent="0.35">
      <c r="A177" s="10">
        <v>7</v>
      </c>
      <c r="B177" s="121" t="s">
        <v>38</v>
      </c>
      <c r="C177" s="119">
        <f t="shared" si="64"/>
        <v>121397580.16913767</v>
      </c>
      <c r="D177" s="119">
        <f t="shared" ref="D177:V177" si="67">D14</f>
        <v>58951917.892739333</v>
      </c>
      <c r="E177" s="119">
        <f t="shared" si="67"/>
        <v>129546.27143738876</v>
      </c>
      <c r="F177" s="119">
        <f t="shared" si="67"/>
        <v>3807.1735341037656</v>
      </c>
      <c r="G177" s="119">
        <f t="shared" si="67"/>
        <v>3033.4373018988776</v>
      </c>
      <c r="H177" s="119">
        <f t="shared" si="67"/>
        <v>40174.650129491019</v>
      </c>
      <c r="I177" s="119">
        <f t="shared" si="67"/>
        <v>2897519.8574791579</v>
      </c>
      <c r="J177" s="119">
        <f t="shared" si="67"/>
        <v>11655534.904224336</v>
      </c>
      <c r="K177" s="119">
        <f t="shared" si="67"/>
        <v>14043236.933123549</v>
      </c>
      <c r="L177" s="119">
        <f t="shared" si="67"/>
        <v>7505733.0323742665</v>
      </c>
      <c r="M177" s="119">
        <f t="shared" si="67"/>
        <v>5318165.71172499</v>
      </c>
      <c r="N177" s="119">
        <f t="shared" si="67"/>
        <v>8065592.5538293784</v>
      </c>
      <c r="O177" s="119">
        <f t="shared" si="67"/>
        <v>296001.23504061333</v>
      </c>
      <c r="P177" s="119">
        <f t="shared" ref="P177" si="68">P14</f>
        <v>1113579.5868458769</v>
      </c>
      <c r="Q177" s="119">
        <f t="shared" si="67"/>
        <v>2606479.1264331513</v>
      </c>
      <c r="R177" s="119">
        <f t="shared" si="67"/>
        <v>4875571.6307093957</v>
      </c>
      <c r="S177" s="119">
        <f t="shared" si="67"/>
        <v>185678.06332217169</v>
      </c>
      <c r="T177" s="119">
        <f t="shared" si="67"/>
        <v>9.0201907401635392E-4</v>
      </c>
      <c r="U177" s="119">
        <f t="shared" si="67"/>
        <v>140616.76671722974</v>
      </c>
      <c r="V177" s="119">
        <f t="shared" si="67"/>
        <v>3565391.3412693408</v>
      </c>
      <c r="W177" s="122"/>
      <c r="X177" s="123"/>
      <c r="Z177" s="66">
        <f t="shared" si="59"/>
        <v>0</v>
      </c>
    </row>
    <row r="178" spans="1:26" ht="19.5" x14ac:dyDescent="0.35">
      <c r="A178" s="10">
        <v>8</v>
      </c>
      <c r="B178" s="121" t="s">
        <v>39</v>
      </c>
      <c r="C178" s="119">
        <f t="shared" si="64"/>
        <v>52929996.344444506</v>
      </c>
      <c r="D178" s="119">
        <f t="shared" ref="D178:V178" si="69">D15</f>
        <v>18157728.420787681</v>
      </c>
      <c r="E178" s="119">
        <f t="shared" si="69"/>
        <v>42597.544403368942</v>
      </c>
      <c r="F178" s="119">
        <f t="shared" si="69"/>
        <v>1559.7235232590231</v>
      </c>
      <c r="G178" s="119">
        <f t="shared" si="69"/>
        <v>1624.9554711323976</v>
      </c>
      <c r="H178" s="119">
        <f t="shared" si="69"/>
        <v>26541.755342663699</v>
      </c>
      <c r="I178" s="119">
        <f t="shared" si="69"/>
        <v>1088041.729630175</v>
      </c>
      <c r="J178" s="119">
        <f t="shared" si="69"/>
        <v>6046106.8388571981</v>
      </c>
      <c r="K178" s="119">
        <f t="shared" si="69"/>
        <v>8572172.1124024689</v>
      </c>
      <c r="L178" s="119">
        <f t="shared" si="69"/>
        <v>4852332.6847892767</v>
      </c>
      <c r="M178" s="119">
        <f t="shared" si="69"/>
        <v>3456006.4474212518</v>
      </c>
      <c r="N178" s="119">
        <f t="shared" si="69"/>
        <v>4653677.611081182</v>
      </c>
      <c r="O178" s="119">
        <f t="shared" si="69"/>
        <v>108456.73341091277</v>
      </c>
      <c r="P178" s="119">
        <f t="shared" ref="P178" si="70">P15</f>
        <v>1242940.289116937</v>
      </c>
      <c r="Q178" s="119">
        <f t="shared" si="69"/>
        <v>1442648.8791286999</v>
      </c>
      <c r="R178" s="119">
        <f t="shared" si="69"/>
        <v>1815550.1514043561</v>
      </c>
      <c r="S178" s="119">
        <f t="shared" si="69"/>
        <v>23142.823498438913</v>
      </c>
      <c r="T178" s="119">
        <f t="shared" si="69"/>
        <v>0</v>
      </c>
      <c r="U178" s="119">
        <f t="shared" si="69"/>
        <v>106607.65747834233</v>
      </c>
      <c r="V178" s="119">
        <f t="shared" si="69"/>
        <v>1292259.9866971639</v>
      </c>
      <c r="W178" s="122"/>
      <c r="X178" s="123"/>
      <c r="Z178" s="66">
        <f t="shared" si="59"/>
        <v>0</v>
      </c>
    </row>
    <row r="179" spans="1:26" ht="19.5" x14ac:dyDescent="0.35">
      <c r="A179" s="10">
        <v>9</v>
      </c>
      <c r="B179" s="121" t="s">
        <v>40</v>
      </c>
      <c r="C179" s="119">
        <f t="shared" si="64"/>
        <v>4685938.1753702555</v>
      </c>
      <c r="D179" s="119">
        <f t="shared" ref="D179:V179" si="71">D16</f>
        <v>624167.30956788885</v>
      </c>
      <c r="E179" s="119">
        <f t="shared" si="71"/>
        <v>1464.27978590155</v>
      </c>
      <c r="F179" s="119">
        <f t="shared" si="71"/>
        <v>157.12142494144143</v>
      </c>
      <c r="G179" s="119">
        <f t="shared" si="71"/>
        <v>157.12142494144143</v>
      </c>
      <c r="H179" s="119">
        <f t="shared" si="71"/>
        <v>2988.8780153633297</v>
      </c>
      <c r="I179" s="119">
        <f t="shared" si="71"/>
        <v>61179.70679762154</v>
      </c>
      <c r="J179" s="119">
        <f t="shared" si="71"/>
        <v>557872.83355194121</v>
      </c>
      <c r="K179" s="119">
        <f t="shared" si="71"/>
        <v>910205.0219610784</v>
      </c>
      <c r="L179" s="119">
        <f t="shared" si="71"/>
        <v>536880.05782834685</v>
      </c>
      <c r="M179" s="119">
        <f t="shared" si="71"/>
        <v>386995.70568273257</v>
      </c>
      <c r="N179" s="119">
        <f t="shared" si="71"/>
        <v>810061.58349222702</v>
      </c>
      <c r="O179" s="119">
        <f t="shared" si="71"/>
        <v>5391.761106420784</v>
      </c>
      <c r="P179" s="119">
        <f t="shared" ref="P179" si="72">P16</f>
        <v>0</v>
      </c>
      <c r="Q179" s="119">
        <f t="shared" si="71"/>
        <v>243606.26508660454</v>
      </c>
      <c r="R179" s="119">
        <f t="shared" si="71"/>
        <v>532974.5989983076</v>
      </c>
      <c r="S179" s="119">
        <f t="shared" si="71"/>
        <v>0</v>
      </c>
      <c r="T179" s="119">
        <f t="shared" si="71"/>
        <v>0</v>
      </c>
      <c r="U179" s="119">
        <f t="shared" si="71"/>
        <v>11835.930645937717</v>
      </c>
      <c r="V179" s="119">
        <f t="shared" si="71"/>
        <v>0</v>
      </c>
      <c r="W179" s="122"/>
      <c r="X179" s="123"/>
      <c r="Z179" s="66">
        <f t="shared" si="59"/>
        <v>0</v>
      </c>
    </row>
    <row r="180" spans="1:26" ht="19.5" x14ac:dyDescent="0.35">
      <c r="A180" s="10">
        <v>10</v>
      </c>
      <c r="B180" s="121" t="s">
        <v>41</v>
      </c>
      <c r="C180" s="119">
        <f t="shared" si="64"/>
        <v>19056381.744208295</v>
      </c>
      <c r="D180" s="119">
        <f t="shared" ref="D180:V180" si="73">D17</f>
        <v>7037330.2906189365</v>
      </c>
      <c r="E180" s="119">
        <f t="shared" si="73"/>
        <v>16509.388321538143</v>
      </c>
      <c r="F180" s="119">
        <f t="shared" si="73"/>
        <v>542.18657466734123</v>
      </c>
      <c r="G180" s="119">
        <f t="shared" si="73"/>
        <v>568.81817540180293</v>
      </c>
      <c r="H180" s="119">
        <f t="shared" si="73"/>
        <v>9036.6502099605786</v>
      </c>
      <c r="I180" s="119">
        <f t="shared" si="73"/>
        <v>407374.14371356077</v>
      </c>
      <c r="J180" s="119">
        <f t="shared" si="73"/>
        <v>2132547.5385688357</v>
      </c>
      <c r="K180" s="119">
        <f t="shared" si="73"/>
        <v>2951737.008193518</v>
      </c>
      <c r="L180" s="119">
        <f t="shared" si="73"/>
        <v>1657814.740865984</v>
      </c>
      <c r="M180" s="119">
        <f t="shared" si="73"/>
        <v>1177980.0759210275</v>
      </c>
      <c r="N180" s="119">
        <f t="shared" si="73"/>
        <v>1587265.8309862195</v>
      </c>
      <c r="O180" s="119">
        <f t="shared" si="73"/>
        <v>41032.743085647526</v>
      </c>
      <c r="P180" s="119">
        <f t="shared" ref="P180" si="74">P17</f>
        <v>423182.88596996007</v>
      </c>
      <c r="Q180" s="119">
        <f t="shared" si="73"/>
        <v>494329.87260958314</v>
      </c>
      <c r="R180" s="119">
        <f t="shared" si="73"/>
        <v>620265.88320168399</v>
      </c>
      <c r="S180" s="119">
        <f t="shared" si="73"/>
        <v>8323.4624650071109</v>
      </c>
      <c r="T180" s="119">
        <f t="shared" si="73"/>
        <v>0</v>
      </c>
      <c r="U180" s="119">
        <f t="shared" si="73"/>
        <v>36398.482370783735</v>
      </c>
      <c r="V180" s="119">
        <f t="shared" si="73"/>
        <v>454141.74235598196</v>
      </c>
      <c r="W180" s="122"/>
      <c r="X180" s="123"/>
      <c r="Z180" s="66">
        <f t="shared" si="59"/>
        <v>0</v>
      </c>
    </row>
    <row r="181" spans="1:26" ht="19.5" x14ac:dyDescent="0.35">
      <c r="A181" s="10">
        <v>11</v>
      </c>
      <c r="B181" s="121" t="s">
        <v>42</v>
      </c>
      <c r="C181" s="119">
        <f t="shared" si="64"/>
        <v>2474659.3806720991</v>
      </c>
      <c r="D181" s="119">
        <f t="shared" ref="D181:V181" si="75">D18</f>
        <v>962083.52748982713</v>
      </c>
      <c r="E181" s="119">
        <f t="shared" si="75"/>
        <v>2203.5131058514844</v>
      </c>
      <c r="F181" s="119">
        <f t="shared" si="75"/>
        <v>77.505322610666781</v>
      </c>
      <c r="G181" s="119">
        <f t="shared" si="75"/>
        <v>72.256745304948922</v>
      </c>
      <c r="H181" s="119">
        <f t="shared" si="75"/>
        <v>1134.0797374391036</v>
      </c>
      <c r="I181" s="119">
        <f t="shared" si="75"/>
        <v>51541.062433523701</v>
      </c>
      <c r="J181" s="119">
        <f t="shared" si="75"/>
        <v>269995.15878280124</v>
      </c>
      <c r="K181" s="119">
        <f t="shared" si="75"/>
        <v>371488.39051633893</v>
      </c>
      <c r="L181" s="119">
        <f t="shared" si="75"/>
        <v>208403.92860506478</v>
      </c>
      <c r="M181" s="119">
        <f t="shared" si="75"/>
        <v>148714.23264042375</v>
      </c>
      <c r="N181" s="119">
        <f t="shared" si="75"/>
        <v>207509.42200398416</v>
      </c>
      <c r="O181" s="119">
        <f t="shared" si="75"/>
        <v>5173.3336090274715</v>
      </c>
      <c r="P181" s="119">
        <f t="shared" ref="P181" si="76">P18</f>
        <v>10390.961762703202</v>
      </c>
      <c r="Q181" s="119">
        <f t="shared" si="75"/>
        <v>65479.175241051489</v>
      </c>
      <c r="R181" s="119">
        <f t="shared" si="75"/>
        <v>97019.560695774577</v>
      </c>
      <c r="S181" s="119">
        <f t="shared" si="75"/>
        <v>2148.0851722805769</v>
      </c>
      <c r="T181" s="119">
        <f t="shared" si="75"/>
        <v>7.1154624373289714E-6</v>
      </c>
      <c r="U181" s="119">
        <f t="shared" si="75"/>
        <v>4327.5832356561023</v>
      </c>
      <c r="V181" s="119">
        <f t="shared" si="75"/>
        <v>66897.603565321086</v>
      </c>
      <c r="W181" s="122"/>
      <c r="X181" s="123"/>
      <c r="Z181" s="66">
        <f t="shared" si="59"/>
        <v>0</v>
      </c>
    </row>
    <row r="182" spans="1:26" ht="19.5" x14ac:dyDescent="0.35">
      <c r="A182" s="10">
        <v>12</v>
      </c>
      <c r="B182" s="121" t="s">
        <v>109</v>
      </c>
      <c r="C182" s="119">
        <f t="shared" ref="C182:V182" si="77">SUM(C175:C181)</f>
        <v>200544555.81383282</v>
      </c>
      <c r="D182" s="119">
        <f t="shared" si="77"/>
        <v>85733227.441203669</v>
      </c>
      <c r="E182" s="119">
        <f t="shared" si="77"/>
        <v>192320.99705404884</v>
      </c>
      <c r="F182" s="119">
        <f>SUM(F175:F181)</f>
        <v>6143.7103795822377</v>
      </c>
      <c r="G182" s="119">
        <f>SUM(G175:G181)</f>
        <v>5456.5891186794688</v>
      </c>
      <c r="H182" s="119">
        <f t="shared" si="77"/>
        <v>79876.01343491771</v>
      </c>
      <c r="I182" s="119">
        <f t="shared" si="77"/>
        <v>4505656.5000540391</v>
      </c>
      <c r="J182" s="119">
        <f t="shared" si="77"/>
        <v>20662057.27398511</v>
      </c>
      <c r="K182" s="119">
        <f t="shared" si="77"/>
        <v>26848839.466196958</v>
      </c>
      <c r="L182" s="119">
        <f t="shared" si="77"/>
        <v>14761164.44446294</v>
      </c>
      <c r="M182" s="119">
        <f t="shared" si="77"/>
        <v>10487862.173390424</v>
      </c>
      <c r="N182" s="119">
        <f t="shared" si="77"/>
        <v>15324107.00139299</v>
      </c>
      <c r="O182" s="119">
        <f t="shared" si="77"/>
        <v>456055.80625262193</v>
      </c>
      <c r="P182" s="119">
        <f t="shared" ref="P182" si="78">SUM(P175:P181)</f>
        <v>2790093.723695477</v>
      </c>
      <c r="Q182" s="119">
        <f t="shared" si="77"/>
        <v>4852543.3184990892</v>
      </c>
      <c r="R182" s="119">
        <f t="shared" si="77"/>
        <v>7941381.8250095174</v>
      </c>
      <c r="S182" s="119">
        <f t="shared" si="77"/>
        <v>219292.43445789831</v>
      </c>
      <c r="T182" s="119">
        <f t="shared" si="77"/>
        <v>9.0913453645368294E-4</v>
      </c>
      <c r="U182" s="119">
        <f t="shared" si="77"/>
        <v>299786.42044794961</v>
      </c>
      <c r="V182" s="119">
        <f t="shared" si="77"/>
        <v>5378690.6738878079</v>
      </c>
      <c r="W182" s="122"/>
      <c r="X182" s="123"/>
      <c r="Z182" s="66">
        <f t="shared" si="59"/>
        <v>0</v>
      </c>
    </row>
    <row r="183" spans="1:26" ht="19.5" x14ac:dyDescent="0.35">
      <c r="A183" s="10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29"/>
      <c r="X183" s="4"/>
      <c r="Z183" s="66">
        <f t="shared" si="59"/>
        <v>0</v>
      </c>
    </row>
    <row r="184" spans="1:26" ht="19.5" x14ac:dyDescent="0.35">
      <c r="A184" s="10">
        <v>13</v>
      </c>
      <c r="B184" s="121" t="s">
        <v>49</v>
      </c>
      <c r="C184" s="119">
        <f t="shared" ref="C184:V184" si="79">C173-C182</f>
        <v>130135231.53359944</v>
      </c>
      <c r="D184" s="119">
        <f t="shared" si="79"/>
        <v>41044763.18573305</v>
      </c>
      <c r="E184" s="119">
        <f t="shared" si="79"/>
        <v>122228.14259181268</v>
      </c>
      <c r="F184" s="119">
        <f>F173-F182</f>
        <v>-1608.7453827121089</v>
      </c>
      <c r="G184" s="119">
        <f>G173-G182</f>
        <v>3531.0675828862604</v>
      </c>
      <c r="H184" s="119">
        <f t="shared" si="79"/>
        <v>77771.954867764973</v>
      </c>
      <c r="I184" s="119">
        <f t="shared" si="79"/>
        <v>4786785.7860761583</v>
      </c>
      <c r="J184" s="119">
        <f t="shared" si="79"/>
        <v>22512269.450295858</v>
      </c>
      <c r="K184" s="119">
        <f t="shared" si="79"/>
        <v>26076964.381719116</v>
      </c>
      <c r="L184" s="119">
        <f t="shared" si="79"/>
        <v>12066186.418593198</v>
      </c>
      <c r="M184" s="119">
        <f t="shared" si="79"/>
        <v>4996319.2053796947</v>
      </c>
      <c r="N184" s="119">
        <f t="shared" si="79"/>
        <v>7592035.2436387539</v>
      </c>
      <c r="O184" s="119">
        <f t="shared" si="79"/>
        <v>872576.12021631899</v>
      </c>
      <c r="P184" s="119">
        <f t="shared" ref="P184" si="80">P173-P182</f>
        <v>1738130.6338046226</v>
      </c>
      <c r="Q184" s="119">
        <f t="shared" si="79"/>
        <v>-396361.71657309495</v>
      </c>
      <c r="R184" s="119">
        <f t="shared" si="79"/>
        <v>-1580074.7803622689</v>
      </c>
      <c r="S184" s="119">
        <f t="shared" si="79"/>
        <v>435137.47357117716</v>
      </c>
      <c r="T184" s="119">
        <f t="shared" si="79"/>
        <v>-9.0913453645368294E-4</v>
      </c>
      <c r="U184" s="119">
        <f t="shared" si="79"/>
        <v>106574.35829758528</v>
      </c>
      <c r="V184" s="119">
        <f t="shared" si="79"/>
        <v>9682003.3544586096</v>
      </c>
      <c r="W184" s="122"/>
      <c r="X184" s="123"/>
      <c r="Z184" s="66">
        <f t="shared" si="59"/>
        <v>0</v>
      </c>
    </row>
    <row r="185" spans="1:26" ht="19.5" x14ac:dyDescent="0.35">
      <c r="A185" s="10">
        <v>14</v>
      </c>
      <c r="B185" s="121" t="s">
        <v>43</v>
      </c>
      <c r="C185" s="119">
        <f>SUM(D185:V185)</f>
        <v>25497142.344745819</v>
      </c>
      <c r="D185" s="119">
        <f t="shared" ref="D185:V185" si="81">D21</f>
        <v>8707195.7936019637</v>
      </c>
      <c r="E185" s="119">
        <f t="shared" si="81"/>
        <v>20426.848053425019</v>
      </c>
      <c r="F185" s="119">
        <f t="shared" si="81"/>
        <v>752.87634265096881</v>
      </c>
      <c r="G185" s="119">
        <f t="shared" si="81"/>
        <v>784.05006451146255</v>
      </c>
      <c r="H185" s="119">
        <f t="shared" si="81"/>
        <v>12826.709950196666</v>
      </c>
      <c r="I185" s="119">
        <f t="shared" si="81"/>
        <v>522884.82129533507</v>
      </c>
      <c r="J185" s="119">
        <f t="shared" si="81"/>
        <v>2916003.8246755479</v>
      </c>
      <c r="K185" s="119">
        <f t="shared" si="81"/>
        <v>4140003.0676723025</v>
      </c>
      <c r="L185" s="119">
        <f t="shared" si="81"/>
        <v>2344508.623334649</v>
      </c>
      <c r="M185" s="119">
        <f t="shared" si="81"/>
        <v>1670063.7025390018</v>
      </c>
      <c r="N185" s="119">
        <f t="shared" si="81"/>
        <v>2248736.475504925</v>
      </c>
      <c r="O185" s="119">
        <f t="shared" si="81"/>
        <v>52087.781962452238</v>
      </c>
      <c r="P185" s="119">
        <f t="shared" ref="P185" si="82">P21</f>
        <v>600669.93942520954</v>
      </c>
      <c r="Q185" s="119">
        <f t="shared" si="81"/>
        <v>696932.23494068894</v>
      </c>
      <c r="R185" s="119">
        <f t="shared" si="81"/>
        <v>877223.78810198128</v>
      </c>
      <c r="S185" s="119">
        <f t="shared" si="81"/>
        <v>11148.917261534476</v>
      </c>
      <c r="T185" s="119">
        <f t="shared" si="81"/>
        <v>0</v>
      </c>
      <c r="U185" s="119">
        <f t="shared" si="81"/>
        <v>51511.707921142719</v>
      </c>
      <c r="V185" s="119">
        <f t="shared" si="81"/>
        <v>623381.18209829764</v>
      </c>
      <c r="W185" s="122"/>
      <c r="X185" s="123"/>
      <c r="Z185" s="66">
        <f t="shared" si="59"/>
        <v>0</v>
      </c>
    </row>
    <row r="186" spans="1:26" ht="19.5" x14ac:dyDescent="0.35">
      <c r="A186" s="10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29"/>
      <c r="X186" s="4"/>
      <c r="Z186" s="66">
        <f t="shared" si="59"/>
        <v>0</v>
      </c>
    </row>
    <row r="187" spans="1:26" s="65" customFormat="1" ht="27.6" customHeight="1" thickBot="1" x14ac:dyDescent="0.4">
      <c r="A187" s="10">
        <v>15</v>
      </c>
      <c r="B187" s="243" t="s">
        <v>44</v>
      </c>
      <c r="C187" s="138">
        <f t="shared" ref="C187:V187" si="83">C173-C182-C185</f>
        <v>104638089.18885362</v>
      </c>
      <c r="D187" s="138">
        <f t="shared" si="83"/>
        <v>32337567.392131086</v>
      </c>
      <c r="E187" s="138">
        <f t="shared" si="83"/>
        <v>101801.29453838765</v>
      </c>
      <c r="F187" s="138">
        <f>F173-F182-F185</f>
        <v>-2361.6217253630775</v>
      </c>
      <c r="G187" s="138">
        <f>G173-G182-G185</f>
        <v>2747.0175183747979</v>
      </c>
      <c r="H187" s="138">
        <f t="shared" si="83"/>
        <v>64945.244917568307</v>
      </c>
      <c r="I187" s="138">
        <f t="shared" si="83"/>
        <v>4263900.9647808233</v>
      </c>
      <c r="J187" s="138">
        <f t="shared" si="83"/>
        <v>19596265.625620309</v>
      </c>
      <c r="K187" s="138">
        <f t="shared" si="83"/>
        <v>21936961.314046815</v>
      </c>
      <c r="L187" s="138">
        <f t="shared" si="83"/>
        <v>9721677.7952585481</v>
      </c>
      <c r="M187" s="138">
        <f t="shared" si="83"/>
        <v>3326255.5028406931</v>
      </c>
      <c r="N187" s="138">
        <f t="shared" si="83"/>
        <v>5343298.7681338284</v>
      </c>
      <c r="O187" s="138">
        <f t="shared" si="83"/>
        <v>820488.33825386676</v>
      </c>
      <c r="P187" s="138">
        <f t="shared" ref="P187" si="84">P173-P182-P185</f>
        <v>1137460.694379413</v>
      </c>
      <c r="Q187" s="138">
        <f t="shared" si="83"/>
        <v>-1093293.951513784</v>
      </c>
      <c r="R187" s="138">
        <f t="shared" si="83"/>
        <v>-2457298.5684642503</v>
      </c>
      <c r="S187" s="138">
        <f t="shared" si="83"/>
        <v>423988.55630964268</v>
      </c>
      <c r="T187" s="138">
        <f t="shared" si="83"/>
        <v>-9.0913453645368294E-4</v>
      </c>
      <c r="U187" s="138">
        <f t="shared" si="83"/>
        <v>55062.650376442558</v>
      </c>
      <c r="V187" s="138">
        <f t="shared" si="83"/>
        <v>9058622.1723603122</v>
      </c>
      <c r="W187" s="139"/>
      <c r="X187" s="140"/>
      <c r="Z187" s="65">
        <f t="shared" si="59"/>
        <v>0</v>
      </c>
    </row>
    <row r="188" spans="1:26" ht="18.75" thickTop="1" x14ac:dyDescent="0.25">
      <c r="A188" s="10"/>
      <c r="B188" s="121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5"/>
      <c r="V188" s="5"/>
      <c r="W188" s="28"/>
      <c r="X188" s="107"/>
      <c r="Z188" s="66">
        <f t="shared" si="59"/>
        <v>0</v>
      </c>
    </row>
    <row r="189" spans="1:26" s="65" customFormat="1" ht="19.5" x14ac:dyDescent="0.35">
      <c r="A189" s="10">
        <v>16</v>
      </c>
      <c r="B189" s="143" t="s">
        <v>45</v>
      </c>
      <c r="C189" s="144">
        <f>SUM(D189:V189)</f>
        <v>1578725509.1567197</v>
      </c>
      <c r="D189" s="144">
        <f t="shared" ref="D189:V189" si="85">D12</f>
        <v>539129912.15716386</v>
      </c>
      <c r="E189" s="144">
        <f t="shared" si="85"/>
        <v>1264784.3298508227</v>
      </c>
      <c r="F189" s="144">
        <f t="shared" si="85"/>
        <v>46616.403960604286</v>
      </c>
      <c r="G189" s="144">
        <f t="shared" si="85"/>
        <v>48546.610461830482</v>
      </c>
      <c r="H189" s="144">
        <f t="shared" si="85"/>
        <v>794200.93134879007</v>
      </c>
      <c r="I189" s="144">
        <f t="shared" si="85"/>
        <v>32375848.029099114</v>
      </c>
      <c r="J189" s="144">
        <f t="shared" si="85"/>
        <v>180552375.65720782</v>
      </c>
      <c r="K189" s="144">
        <f t="shared" si="85"/>
        <v>256339646.32386321</v>
      </c>
      <c r="L189" s="144">
        <f t="shared" si="85"/>
        <v>145166682.60508212</v>
      </c>
      <c r="M189" s="144">
        <f t="shared" si="85"/>
        <v>103406575.27287014</v>
      </c>
      <c r="N189" s="144">
        <f t="shared" si="85"/>
        <v>139236687.36086327</v>
      </c>
      <c r="O189" s="144">
        <f t="shared" si="85"/>
        <v>3225157.9015270392</v>
      </c>
      <c r="P189" s="144">
        <f t="shared" ref="P189" si="86">P12</f>
        <v>37192126.989462979</v>
      </c>
      <c r="Q189" s="144">
        <f t="shared" si="85"/>
        <v>43152471.07216315</v>
      </c>
      <c r="R189" s="144">
        <f t="shared" si="85"/>
        <v>54315717.141574964</v>
      </c>
      <c r="S189" s="144">
        <f t="shared" si="85"/>
        <v>690315.79469882068</v>
      </c>
      <c r="T189" s="144">
        <f t="shared" si="85"/>
        <v>0</v>
      </c>
      <c r="U189" s="144">
        <f t="shared" si="85"/>
        <v>3189488.6970380996</v>
      </c>
      <c r="V189" s="144">
        <f t="shared" si="85"/>
        <v>38598355.878483608</v>
      </c>
      <c r="W189" s="139"/>
      <c r="X189" s="140"/>
      <c r="Z189" s="65">
        <f t="shared" si="59"/>
        <v>0</v>
      </c>
    </row>
    <row r="190" spans="1:26" s="65" customFormat="1" ht="32.450000000000003" customHeight="1" x14ac:dyDescent="0.35">
      <c r="A190" s="10">
        <v>17</v>
      </c>
      <c r="B190" s="143" t="s">
        <v>46</v>
      </c>
      <c r="C190" s="148">
        <f>C187/C189</f>
        <v>6.6280102894357068E-2</v>
      </c>
      <c r="D190" s="148">
        <f>IF(D187=0,0,D187/D189)</f>
        <v>5.9981029920492035E-2</v>
      </c>
      <c r="E190" s="148">
        <f t="shared" ref="E190:V190" si="87">IF(E187=0,0,E187/E189)</f>
        <v>8.048905424879417E-2</v>
      </c>
      <c r="F190" s="148">
        <f>IF(F187=0,0,F187/F189)</f>
        <v>-5.0660744388582479E-2</v>
      </c>
      <c r="G190" s="148">
        <f>IF(G187=0,0,G187/G189)</f>
        <v>5.658515583770006E-2</v>
      </c>
      <c r="H190" s="148">
        <f t="shared" si="87"/>
        <v>8.1774324801246343E-2</v>
      </c>
      <c r="I190" s="148">
        <f t="shared" si="87"/>
        <v>0.1317000549591309</v>
      </c>
      <c r="J190" s="148">
        <f t="shared" si="87"/>
        <v>0.10853507495700464</v>
      </c>
      <c r="K190" s="148">
        <f t="shared" si="87"/>
        <v>8.5577715459322051E-2</v>
      </c>
      <c r="L190" s="148">
        <f t="shared" si="87"/>
        <v>6.6969070456103424E-2</v>
      </c>
      <c r="M190" s="148">
        <f t="shared" si="87"/>
        <v>3.2166769802242673E-2</v>
      </c>
      <c r="N190" s="148">
        <f t="shared" si="87"/>
        <v>3.8375652778103411E-2</v>
      </c>
      <c r="O190" s="148">
        <f t="shared" si="87"/>
        <v>0.25440253262185525</v>
      </c>
      <c r="P190" s="148">
        <f t="shared" ref="P190" si="88">IF(P187=0,0,P187/P189)</f>
        <v>3.0583373053702217E-2</v>
      </c>
      <c r="Q190" s="148">
        <f t="shared" si="87"/>
        <v>-2.5335604760280982E-2</v>
      </c>
      <c r="R190" s="148">
        <f t="shared" si="87"/>
        <v>-4.5241022263578963E-2</v>
      </c>
      <c r="S190" s="148">
        <f t="shared" si="87"/>
        <v>0.61419506777275101</v>
      </c>
      <c r="T190" s="148">
        <f>IF(T189=0,0,T187/T189)</f>
        <v>0</v>
      </c>
      <c r="U190" s="148">
        <f t="shared" si="87"/>
        <v>1.7263786019237556E-2</v>
      </c>
      <c r="V190" s="148">
        <f t="shared" si="87"/>
        <v>0.23468932720551394</v>
      </c>
      <c r="W190" s="149"/>
      <c r="X190" s="150"/>
    </row>
    <row r="191" spans="1:26" ht="18" x14ac:dyDescent="0.25">
      <c r="A191" s="5"/>
      <c r="B191" s="121"/>
      <c r="C191" s="118"/>
      <c r="D191" s="118"/>
      <c r="E191" s="118"/>
      <c r="F191" s="118"/>
      <c r="G191" s="118"/>
      <c r="H191" s="118"/>
      <c r="I191" s="118"/>
      <c r="J191" s="7"/>
      <c r="K191" s="7"/>
      <c r="L191" s="7"/>
      <c r="M191" s="7"/>
      <c r="N191" s="5"/>
      <c r="O191" s="5"/>
      <c r="P191" s="5"/>
      <c r="Q191" s="5"/>
      <c r="R191" s="5"/>
      <c r="S191" s="5"/>
      <c r="T191" s="5"/>
      <c r="U191" s="5"/>
      <c r="V191" s="5"/>
      <c r="W191" s="28"/>
      <c r="X191" s="107"/>
    </row>
    <row r="192" spans="1:26" ht="18" x14ac:dyDescent="0.25">
      <c r="A192" s="5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5"/>
      <c r="O192" s="5"/>
      <c r="P192" s="5"/>
      <c r="Q192" s="5"/>
      <c r="R192" s="5"/>
      <c r="S192" s="5"/>
      <c r="T192" s="5"/>
      <c r="U192" s="5"/>
      <c r="V192" s="5"/>
      <c r="W192" s="28"/>
      <c r="X192" s="107"/>
    </row>
    <row r="193" spans="1:24" ht="18" x14ac:dyDescent="0.25">
      <c r="A193" s="5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5"/>
      <c r="O193" s="5"/>
      <c r="P193" s="5"/>
      <c r="Q193" s="5"/>
      <c r="R193" s="5"/>
      <c r="S193" s="5"/>
      <c r="T193" s="5"/>
      <c r="U193" s="5"/>
      <c r="V193" s="5"/>
      <c r="W193" s="28"/>
      <c r="X193" s="107"/>
    </row>
    <row r="194" spans="1:24" ht="18" x14ac:dyDescent="0.25">
      <c r="A194" s="5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5"/>
      <c r="O194" s="5"/>
      <c r="P194" s="5"/>
      <c r="Q194" s="5"/>
      <c r="R194" s="5"/>
      <c r="S194" s="5"/>
      <c r="T194" s="5"/>
      <c r="U194" s="5"/>
      <c r="V194" s="5"/>
      <c r="W194" s="28"/>
      <c r="X194" s="107"/>
    </row>
    <row r="195" spans="1:24" ht="18" x14ac:dyDescent="0.25">
      <c r="A195" s="5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5"/>
      <c r="O195" s="5"/>
      <c r="P195" s="5"/>
      <c r="Q195" s="5"/>
      <c r="R195" s="5"/>
      <c r="S195" s="5"/>
      <c r="T195" s="5"/>
      <c r="U195" s="5"/>
      <c r="V195" s="5"/>
      <c r="W195" s="28"/>
      <c r="X195" s="107"/>
    </row>
    <row r="196" spans="1:24" ht="18" x14ac:dyDescent="0.25">
      <c r="A196" s="5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5"/>
      <c r="O196" s="5"/>
      <c r="P196" s="5"/>
      <c r="Q196" s="5"/>
      <c r="R196" s="5"/>
      <c r="S196" s="5"/>
      <c r="T196" s="5"/>
      <c r="U196" s="5"/>
      <c r="V196" s="5"/>
      <c r="W196" s="28"/>
      <c r="X196" s="107"/>
    </row>
    <row r="197" spans="1:24" ht="18" x14ac:dyDescent="0.25">
      <c r="A197" s="5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5"/>
      <c r="O197" s="5"/>
      <c r="P197" s="5"/>
      <c r="Q197" s="5"/>
      <c r="R197" s="5"/>
      <c r="S197" s="5"/>
      <c r="T197" s="5"/>
      <c r="U197" s="5"/>
      <c r="V197" s="5"/>
      <c r="W197" s="28"/>
      <c r="X197" s="107"/>
    </row>
    <row r="198" spans="1:24" ht="18" x14ac:dyDescent="0.25">
      <c r="A198" s="5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5"/>
      <c r="O198" s="5"/>
      <c r="P198" s="5"/>
      <c r="Q198" s="5"/>
      <c r="R198" s="5"/>
      <c r="S198" s="5"/>
      <c r="T198" s="5"/>
      <c r="U198" s="5"/>
      <c r="V198" s="5"/>
      <c r="W198" s="28"/>
      <c r="X198" s="107"/>
    </row>
    <row r="199" spans="1:24" ht="18" x14ac:dyDescent="0.25">
      <c r="A199" s="5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5"/>
      <c r="O199" s="5"/>
      <c r="P199" s="5"/>
      <c r="Q199" s="5"/>
      <c r="R199" s="5"/>
      <c r="S199" s="5"/>
      <c r="T199" s="5"/>
      <c r="U199" s="5"/>
      <c r="V199" s="5"/>
      <c r="W199" s="28"/>
      <c r="X199" s="107"/>
    </row>
    <row r="200" spans="1:24" ht="18" x14ac:dyDescent="0.25">
      <c r="A200" s="5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5"/>
      <c r="O200" s="5"/>
      <c r="P200" s="5"/>
      <c r="Q200" s="5"/>
      <c r="R200" s="5"/>
      <c r="S200" s="5"/>
      <c r="T200" s="5"/>
      <c r="U200" s="5"/>
      <c r="V200" s="5"/>
      <c r="W200" s="28"/>
      <c r="X200" s="107"/>
    </row>
    <row r="201" spans="1:24" ht="18" x14ac:dyDescent="0.25">
      <c r="A201" s="5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5"/>
      <c r="O201" s="5"/>
      <c r="P201" s="5"/>
      <c r="Q201" s="5"/>
      <c r="R201" s="5"/>
      <c r="S201" s="5"/>
      <c r="T201" s="5"/>
      <c r="U201" s="5"/>
      <c r="V201" s="5"/>
      <c r="W201" s="28"/>
      <c r="X201" s="107"/>
    </row>
    <row r="202" spans="1:24" ht="18" x14ac:dyDescent="0.25">
      <c r="A202" s="5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5"/>
      <c r="O202" s="5"/>
      <c r="P202" s="5"/>
      <c r="Q202" s="5"/>
      <c r="R202" s="5"/>
      <c r="S202" s="5"/>
      <c r="T202" s="5"/>
      <c r="U202" s="5"/>
      <c r="V202" s="5"/>
      <c r="W202" s="28"/>
      <c r="X202" s="107"/>
    </row>
    <row r="203" spans="1:24" ht="18" x14ac:dyDescent="0.25">
      <c r="A203" s="5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5"/>
      <c r="O203" s="5"/>
      <c r="P203" s="5"/>
      <c r="Q203" s="5"/>
      <c r="R203" s="5"/>
      <c r="S203" s="5"/>
      <c r="T203" s="5"/>
      <c r="U203" s="5"/>
      <c r="V203" s="5"/>
      <c r="W203" s="28"/>
      <c r="X203" s="107"/>
    </row>
    <row r="204" spans="1:24" ht="18" x14ac:dyDescent="0.25">
      <c r="A204" s="5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5"/>
      <c r="O204" s="5"/>
      <c r="P204" s="5"/>
      <c r="Q204" s="5"/>
      <c r="R204" s="5"/>
      <c r="S204" s="5"/>
      <c r="T204" s="5"/>
      <c r="U204" s="5"/>
      <c r="V204" s="5"/>
      <c r="W204" s="28"/>
      <c r="X204" s="107"/>
    </row>
    <row r="205" spans="1:24" ht="18" x14ac:dyDescent="0.25">
      <c r="A205" s="5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5"/>
      <c r="O205" s="5"/>
      <c r="P205" s="5"/>
      <c r="Q205" s="5"/>
      <c r="R205" s="5"/>
      <c r="S205" s="5"/>
      <c r="T205" s="5"/>
      <c r="U205" s="5"/>
      <c r="V205" s="5"/>
      <c r="W205" s="28"/>
      <c r="X205" s="107"/>
    </row>
    <row r="206" spans="1:24" ht="18" x14ac:dyDescent="0.25">
      <c r="A206" s="5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5"/>
      <c r="O206" s="5"/>
      <c r="P206" s="5"/>
      <c r="Q206" s="5"/>
      <c r="R206" s="5"/>
      <c r="S206" s="5"/>
      <c r="T206" s="5"/>
      <c r="U206" s="5"/>
      <c r="V206" s="5"/>
      <c r="W206" s="28"/>
      <c r="X206" s="107"/>
    </row>
    <row r="207" spans="1:24" ht="18" x14ac:dyDescent="0.25">
      <c r="A207" s="15"/>
      <c r="B207" s="13"/>
      <c r="C207" s="14"/>
      <c r="D207" s="14"/>
      <c r="E207" s="14"/>
      <c r="F207" s="14"/>
      <c r="G207" s="14"/>
      <c r="H207" s="14"/>
      <c r="I207" s="14"/>
      <c r="J207" s="13"/>
      <c r="K207" s="14"/>
      <c r="L207" s="14"/>
      <c r="M207" s="14"/>
      <c r="N207" s="15"/>
      <c r="O207" s="15"/>
      <c r="P207" s="15"/>
      <c r="Q207" s="15"/>
      <c r="R207" s="15"/>
      <c r="S207" s="15"/>
      <c r="T207" s="15"/>
      <c r="U207" s="15"/>
      <c r="V207" s="15"/>
      <c r="W207" s="28"/>
      <c r="X207" s="107"/>
    </row>
    <row r="208" spans="1:24" ht="18" x14ac:dyDescent="0.25">
      <c r="A208" s="23" t="s">
        <v>65</v>
      </c>
      <c r="B208" s="23"/>
      <c r="C208" s="24"/>
      <c r="D208" s="24"/>
      <c r="E208" s="24"/>
      <c r="F208" s="24"/>
      <c r="G208" s="24"/>
      <c r="H208" s="24"/>
      <c r="I208" s="24"/>
      <c r="J208" s="24"/>
      <c r="K208" s="22" t="s">
        <v>279</v>
      </c>
      <c r="L208" s="22"/>
      <c r="M208" s="24"/>
      <c r="N208" s="22"/>
      <c r="O208" s="22"/>
      <c r="P208" s="22"/>
      <c r="Q208" s="22"/>
      <c r="R208" s="22"/>
      <c r="S208" s="22"/>
      <c r="T208" s="22"/>
      <c r="U208" s="22" t="s">
        <v>279</v>
      </c>
      <c r="V208" s="22"/>
      <c r="W208" s="28"/>
      <c r="X208" s="107"/>
    </row>
    <row r="209" spans="1:24" ht="18" hidden="1" x14ac:dyDescent="0.25">
      <c r="A209" s="5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5"/>
      <c r="O209" s="5"/>
      <c r="P209" s="5"/>
      <c r="Q209" s="5"/>
      <c r="R209" s="5"/>
      <c r="S209" s="5"/>
      <c r="T209" s="5"/>
      <c r="U209" s="5"/>
      <c r="V209" s="5"/>
      <c r="W209" s="28"/>
      <c r="X209" s="107"/>
    </row>
    <row r="210" spans="1:24" hidden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28"/>
      <c r="X210" s="107"/>
    </row>
    <row r="211" spans="1:24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28"/>
      <c r="X211" s="107"/>
    </row>
    <row r="212" spans="1:24" s="107" customFormat="1" ht="18" x14ac:dyDescent="0.25">
      <c r="A212" s="99" t="s">
        <v>0</v>
      </c>
      <c r="B212" s="99"/>
      <c r="C212" s="29"/>
      <c r="D212" s="28"/>
      <c r="E212" s="28"/>
      <c r="F212" s="28"/>
      <c r="G212" s="28"/>
      <c r="H212" s="29"/>
      <c r="I212" s="29"/>
      <c r="J212" s="106" t="s">
        <v>266</v>
      </c>
      <c r="K212" s="28"/>
      <c r="L212" s="28"/>
      <c r="M212" s="29"/>
      <c r="N212" s="28"/>
      <c r="O212" s="28"/>
      <c r="P212" s="28"/>
      <c r="R212" s="28"/>
      <c r="S212" s="31"/>
      <c r="T212" s="106" t="s">
        <v>267</v>
      </c>
      <c r="U212" s="28"/>
      <c r="W212" s="28"/>
    </row>
    <row r="213" spans="1:24" ht="18" x14ac:dyDescent="0.25">
      <c r="A213" s="13"/>
      <c r="B213" s="13"/>
      <c r="C213" s="14"/>
      <c r="D213" s="15"/>
      <c r="E213" s="15"/>
      <c r="F213" s="26" t="s">
        <v>104</v>
      </c>
      <c r="G213" s="15"/>
      <c r="H213" s="14"/>
      <c r="I213" s="14"/>
      <c r="J213" s="100"/>
      <c r="K213" s="26"/>
      <c r="L213" s="108"/>
      <c r="M213" s="14"/>
      <c r="N213" s="26"/>
      <c r="O213" s="15"/>
      <c r="P213" s="26" t="s">
        <v>104</v>
      </c>
      <c r="Q213" s="108"/>
      <c r="R213" s="15"/>
      <c r="S213" s="14"/>
      <c r="T213" s="100"/>
      <c r="U213" s="15"/>
      <c r="V213" s="108"/>
      <c r="W213" s="28"/>
      <c r="X213" s="107"/>
    </row>
    <row r="214" spans="1:24" ht="18" x14ac:dyDescent="0.25">
      <c r="A214" s="6" t="s">
        <v>1</v>
      </c>
      <c r="B214" s="6"/>
      <c r="C214" s="7"/>
      <c r="D214" s="5"/>
      <c r="E214" s="5"/>
      <c r="F214" s="10"/>
      <c r="G214" s="5"/>
      <c r="H214" s="7"/>
      <c r="I214" s="7"/>
      <c r="J214" s="101" t="s">
        <v>2</v>
      </c>
      <c r="K214" s="10"/>
      <c r="M214" s="7"/>
      <c r="N214" s="10"/>
      <c r="O214" s="5"/>
      <c r="P214" s="10"/>
      <c r="R214" s="5"/>
      <c r="S214" s="6"/>
      <c r="T214" s="101" t="s">
        <v>2</v>
      </c>
      <c r="U214" s="5"/>
      <c r="W214" s="28"/>
      <c r="X214" s="107"/>
    </row>
    <row r="215" spans="1:24" ht="18" x14ac:dyDescent="0.25">
      <c r="A215" s="9" t="s">
        <v>71</v>
      </c>
      <c r="B215" s="9"/>
      <c r="C215" s="7"/>
      <c r="D215" s="5"/>
      <c r="E215" s="5"/>
      <c r="F215" s="8" t="s">
        <v>254</v>
      </c>
      <c r="G215" s="5"/>
      <c r="H215" s="7"/>
      <c r="I215" s="7"/>
      <c r="J215" s="102" t="str">
        <f>+J$4</f>
        <v>PROJECTED TEST YEAR:      12/31/21</v>
      </c>
      <c r="K215" s="8"/>
      <c r="M215" s="7"/>
      <c r="N215" s="8"/>
      <c r="O215" s="5"/>
      <c r="P215" s="8" t="s">
        <v>254</v>
      </c>
      <c r="R215" s="5"/>
      <c r="S215" s="9"/>
      <c r="T215" s="102" t="str">
        <f>+T$4</f>
        <v>PROJECTED TEST YEAR:      12/31/21</v>
      </c>
      <c r="U215" s="5"/>
      <c r="W215" s="28"/>
      <c r="X215" s="107"/>
    </row>
    <row r="216" spans="1:24" ht="18" x14ac:dyDescent="0.25">
      <c r="A216" s="21" t="s">
        <v>249</v>
      </c>
      <c r="B216" s="21"/>
      <c r="C216" s="14"/>
      <c r="D216" s="15"/>
      <c r="E216" s="15"/>
      <c r="F216" s="25" t="s">
        <v>255</v>
      </c>
      <c r="G216" s="15"/>
      <c r="H216" s="14"/>
      <c r="I216" s="14"/>
      <c r="J216" s="103" t="str">
        <f>+J$5</f>
        <v>WITNESS:  D. YARDLEY</v>
      </c>
      <c r="K216" s="25"/>
      <c r="L216" s="108"/>
      <c r="M216" s="14"/>
      <c r="N216" s="25"/>
      <c r="O216" s="15"/>
      <c r="P216" s="25" t="s">
        <v>255</v>
      </c>
      <c r="Q216" s="108"/>
      <c r="R216" s="15"/>
      <c r="S216" s="21"/>
      <c r="T216" s="103" t="str">
        <f>+T$5</f>
        <v>WITNESS:  D. YARDLEY</v>
      </c>
      <c r="U216" s="15"/>
      <c r="V216" s="108"/>
      <c r="W216" s="28"/>
      <c r="X216" s="107"/>
    </row>
    <row r="217" spans="1:24" ht="18" x14ac:dyDescent="0.25">
      <c r="A217" s="5"/>
      <c r="B217" s="7"/>
      <c r="C217" s="7"/>
      <c r="D217" s="5"/>
      <c r="E217" s="5"/>
      <c r="F217" s="8"/>
      <c r="G217" s="5"/>
      <c r="H217" s="7"/>
      <c r="I217" s="7"/>
      <c r="J217" s="8"/>
      <c r="K217" s="8"/>
      <c r="M217" s="7"/>
      <c r="N217" s="8"/>
      <c r="O217" s="5"/>
      <c r="P217" s="8"/>
      <c r="Q217" s="5"/>
      <c r="R217" s="5"/>
      <c r="S217" s="5"/>
      <c r="T217" s="5"/>
      <c r="U217" s="5"/>
      <c r="V217" s="5"/>
      <c r="W217" s="28"/>
      <c r="X217" s="107"/>
    </row>
    <row r="218" spans="1:24" ht="18" x14ac:dyDescent="0.25">
      <c r="A218" s="5"/>
      <c r="B218" s="5"/>
      <c r="C218" s="7"/>
      <c r="D218" s="5"/>
      <c r="E218" s="5"/>
      <c r="F218" s="8" t="s">
        <v>3</v>
      </c>
      <c r="G218" s="5"/>
      <c r="H218" s="7"/>
      <c r="I218" s="7"/>
      <c r="J218" s="8"/>
      <c r="K218" s="8"/>
      <c r="M218" s="7"/>
      <c r="N218" s="8"/>
      <c r="O218" s="5"/>
      <c r="P218" s="8" t="s">
        <v>3</v>
      </c>
      <c r="Q218" s="5"/>
      <c r="R218" s="5"/>
      <c r="S218" s="5"/>
      <c r="T218" s="5"/>
      <c r="U218" s="5"/>
      <c r="V218" s="5"/>
      <c r="W218" s="28"/>
      <c r="X218" s="107"/>
    </row>
    <row r="219" spans="1:24" ht="18" x14ac:dyDescent="0.25">
      <c r="A219" s="5"/>
      <c r="B219" s="5"/>
      <c r="C219" s="7"/>
      <c r="D219" s="5"/>
      <c r="E219" s="5"/>
      <c r="F219" s="5"/>
      <c r="G219" s="5"/>
      <c r="H219" s="7"/>
      <c r="I219" s="7"/>
      <c r="J219" s="7"/>
      <c r="K219" s="8"/>
      <c r="M219" s="7"/>
      <c r="N219" s="8"/>
      <c r="O219" s="5"/>
      <c r="P219" s="5"/>
      <c r="Q219" s="5"/>
      <c r="R219" s="5"/>
      <c r="S219" s="5"/>
      <c r="T219" s="5"/>
      <c r="U219" s="5"/>
      <c r="V219" s="5"/>
      <c r="W219" s="28"/>
      <c r="X219" s="107"/>
    </row>
    <row r="220" spans="1:24" ht="18" x14ac:dyDescent="0.25">
      <c r="A220" s="5"/>
      <c r="B220" s="7"/>
      <c r="C220" s="7"/>
      <c r="D220" s="5"/>
      <c r="E220" s="5"/>
      <c r="F220" s="5"/>
      <c r="G220" s="5"/>
      <c r="H220" s="7"/>
      <c r="I220" s="7"/>
      <c r="J220" s="7"/>
      <c r="K220" s="5"/>
      <c r="L220" s="5"/>
      <c r="M220" s="7"/>
      <c r="N220" s="5"/>
      <c r="O220" s="5"/>
      <c r="P220" s="5"/>
      <c r="Q220" s="5"/>
      <c r="R220" s="5"/>
      <c r="S220" s="5"/>
      <c r="T220" s="5"/>
      <c r="U220" s="5"/>
      <c r="V220" s="5"/>
      <c r="W220" s="28"/>
      <c r="X220" s="107"/>
    </row>
    <row r="221" spans="1:24" ht="18" x14ac:dyDescent="0.25">
      <c r="A221" s="5"/>
      <c r="B221" s="6"/>
      <c r="C221" s="11"/>
      <c r="D221" s="61"/>
      <c r="E221" s="61"/>
      <c r="F221" s="61" t="s">
        <v>72</v>
      </c>
      <c r="G221" s="61" t="s">
        <v>73</v>
      </c>
      <c r="H221" s="61" t="s">
        <v>73</v>
      </c>
      <c r="I221" s="110"/>
      <c r="J221" s="110"/>
      <c r="K221" s="110"/>
      <c r="L221" s="110"/>
      <c r="M221" s="110"/>
      <c r="N221" s="110"/>
      <c r="O221" s="61"/>
      <c r="P221" s="61"/>
      <c r="Q221" s="61"/>
      <c r="R221" s="61"/>
      <c r="S221" s="61"/>
      <c r="T221" s="61" t="s">
        <v>252</v>
      </c>
      <c r="U221" s="61"/>
      <c r="V221" s="61"/>
      <c r="W221" s="111"/>
      <c r="X221" s="109"/>
    </row>
    <row r="222" spans="1:24" ht="18" x14ac:dyDescent="0.25">
      <c r="A222" s="5"/>
      <c r="B222" s="7"/>
      <c r="C222" s="11"/>
      <c r="D222" s="61" t="s">
        <v>72</v>
      </c>
      <c r="E222" s="61" t="s">
        <v>72</v>
      </c>
      <c r="F222" s="61" t="s">
        <v>175</v>
      </c>
      <c r="G222" s="61" t="s">
        <v>175</v>
      </c>
      <c r="H222" s="61" t="s">
        <v>74</v>
      </c>
      <c r="I222" s="61" t="s">
        <v>75</v>
      </c>
      <c r="J222" s="61" t="s">
        <v>76</v>
      </c>
      <c r="K222" s="61" t="s">
        <v>76</v>
      </c>
      <c r="L222" s="61" t="s">
        <v>76</v>
      </c>
      <c r="M222" s="61" t="s">
        <v>76</v>
      </c>
      <c r="N222" s="61" t="s">
        <v>76</v>
      </c>
      <c r="O222" s="61" t="s">
        <v>73</v>
      </c>
      <c r="P222" s="61"/>
      <c r="Q222" s="61" t="s">
        <v>171</v>
      </c>
      <c r="R222" s="110" t="s">
        <v>83</v>
      </c>
      <c r="S222" s="110" t="s">
        <v>83</v>
      </c>
      <c r="T222" s="110" t="s">
        <v>84</v>
      </c>
      <c r="U222" s="61" t="s">
        <v>85</v>
      </c>
      <c r="V222" s="69" t="s">
        <v>190</v>
      </c>
      <c r="W222" s="111"/>
      <c r="X222" s="151"/>
    </row>
    <row r="223" spans="1:24" s="108" customFormat="1" ht="18" x14ac:dyDescent="0.25">
      <c r="A223" s="25" t="s">
        <v>70</v>
      </c>
      <c r="B223" s="14"/>
      <c r="C223" s="237" t="s">
        <v>19</v>
      </c>
      <c r="D223" s="238" t="s">
        <v>182</v>
      </c>
      <c r="E223" s="238" t="s">
        <v>172</v>
      </c>
      <c r="F223" s="239" t="s">
        <v>176</v>
      </c>
      <c r="G223" s="239" t="s">
        <v>176</v>
      </c>
      <c r="H223" s="240" t="s">
        <v>77</v>
      </c>
      <c r="I223" s="240" t="s">
        <v>78</v>
      </c>
      <c r="J223" s="240" t="s">
        <v>79</v>
      </c>
      <c r="K223" s="240" t="s">
        <v>80</v>
      </c>
      <c r="L223" s="240" t="s">
        <v>81</v>
      </c>
      <c r="M223" s="240" t="s">
        <v>82</v>
      </c>
      <c r="N223" s="240" t="s">
        <v>86</v>
      </c>
      <c r="O223" s="240" t="s">
        <v>172</v>
      </c>
      <c r="P223" s="240" t="s">
        <v>247</v>
      </c>
      <c r="Q223" s="240" t="s">
        <v>89</v>
      </c>
      <c r="R223" s="240" t="s">
        <v>78</v>
      </c>
      <c r="S223" s="240" t="s">
        <v>87</v>
      </c>
      <c r="T223" s="240" t="s">
        <v>88</v>
      </c>
      <c r="U223" s="240"/>
      <c r="V223" s="241" t="s">
        <v>191</v>
      </c>
      <c r="W223" s="242"/>
      <c r="X223" s="240"/>
    </row>
    <row r="224" spans="1:24" ht="18" x14ac:dyDescent="0.25">
      <c r="A224" s="10">
        <v>1</v>
      </c>
      <c r="B224" s="143" t="s">
        <v>115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5"/>
      <c r="O224" s="5"/>
      <c r="P224" s="5"/>
      <c r="Q224" s="5"/>
      <c r="R224" s="5"/>
      <c r="S224" s="5"/>
      <c r="T224" s="5"/>
      <c r="U224" s="5"/>
      <c r="V224" s="5"/>
      <c r="W224" s="28"/>
      <c r="X224" s="107"/>
    </row>
    <row r="225" spans="1:26" ht="19.5" x14ac:dyDescent="0.35">
      <c r="A225" s="10">
        <v>2</v>
      </c>
      <c r="B225" s="121" t="s">
        <v>53</v>
      </c>
      <c r="C225" s="119">
        <f>SUM(D225:V225)</f>
        <v>232214876.24195573</v>
      </c>
      <c r="D225" s="119">
        <f t="shared" ref="D225:V225" si="89">D116</f>
        <v>87366797.485980779</v>
      </c>
      <c r="E225" s="119">
        <f t="shared" si="89"/>
        <v>205252.82218035532</v>
      </c>
      <c r="F225" s="119">
        <f t="shared" si="89"/>
        <v>4020</v>
      </c>
      <c r="G225" s="119">
        <f t="shared" si="89"/>
        <v>7877.1000000000013</v>
      </c>
      <c r="H225" s="119">
        <f t="shared" si="89"/>
        <v>93394.678349999973</v>
      </c>
      <c r="I225" s="119">
        <f t="shared" si="89"/>
        <v>6398018.4546671966</v>
      </c>
      <c r="J225" s="119">
        <f t="shared" si="89"/>
        <v>30802595.188261107</v>
      </c>
      <c r="K225" s="119">
        <f t="shared" si="89"/>
        <v>37233460.658242516</v>
      </c>
      <c r="L225" s="119">
        <f t="shared" si="89"/>
        <v>18486939.627837822</v>
      </c>
      <c r="M225" s="119">
        <f t="shared" si="89"/>
        <v>10837267.328584038</v>
      </c>
      <c r="N225" s="119">
        <f t="shared" si="89"/>
        <v>16740343.900626309</v>
      </c>
      <c r="O225" s="119">
        <f t="shared" si="89"/>
        <v>821262.76946800004</v>
      </c>
      <c r="P225" s="119">
        <f t="shared" ref="P225" si="90">P116</f>
        <v>0</v>
      </c>
      <c r="Q225" s="119">
        <f t="shared" si="89"/>
        <v>3024774.7001132974</v>
      </c>
      <c r="R225" s="119">
        <f t="shared" si="89"/>
        <v>4344775.3728302084</v>
      </c>
      <c r="S225" s="119">
        <f t="shared" si="89"/>
        <v>521743.68679779151</v>
      </c>
      <c r="T225" s="119">
        <f t="shared" si="89"/>
        <v>10209.130518000002</v>
      </c>
      <c r="U225" s="119">
        <f t="shared" si="89"/>
        <v>268397.70348817908</v>
      </c>
      <c r="V225" s="119">
        <f t="shared" si="89"/>
        <v>15047745.634010116</v>
      </c>
      <c r="W225" s="122"/>
      <c r="X225" s="123"/>
      <c r="Z225" s="66">
        <f>SUM(D225:V225)-C225</f>
        <v>0</v>
      </c>
    </row>
    <row r="226" spans="1:26" ht="19.5" x14ac:dyDescent="0.35">
      <c r="A226" s="10">
        <v>3</v>
      </c>
      <c r="B226" s="121" t="s">
        <v>50</v>
      </c>
      <c r="C226" s="119">
        <f>SUM(D226:V226)</f>
        <v>13140188.929664597</v>
      </c>
      <c r="D226" s="119">
        <f t="shared" ref="D226:V226" si="91">D117</f>
        <v>6024586.3105177088</v>
      </c>
      <c r="E226" s="119">
        <f t="shared" si="91"/>
        <v>12163.453953511271</v>
      </c>
      <c r="F226" s="119">
        <f t="shared" si="91"/>
        <v>67.592910207023706</v>
      </c>
      <c r="G226" s="119">
        <f t="shared" si="91"/>
        <v>210.65510991621636</v>
      </c>
      <c r="H226" s="119">
        <f t="shared" si="91"/>
        <v>442.45207768271058</v>
      </c>
      <c r="I226" s="119">
        <f t="shared" si="91"/>
        <v>552311.40175559511</v>
      </c>
      <c r="J226" s="119">
        <f t="shared" si="91"/>
        <v>990734.0918953931</v>
      </c>
      <c r="K226" s="119">
        <f t="shared" si="91"/>
        <v>488716.40401155385</v>
      </c>
      <c r="L226" s="119">
        <f t="shared" si="91"/>
        <v>96849.236937687048</v>
      </c>
      <c r="M226" s="119">
        <f t="shared" si="91"/>
        <v>10166.49439753644</v>
      </c>
      <c r="N226" s="119">
        <f t="shared" si="91"/>
        <v>287726.39013443107</v>
      </c>
      <c r="O226" s="119">
        <f t="shared" si="91"/>
        <v>57732.763158130852</v>
      </c>
      <c r="P226" s="119">
        <f t="shared" ref="P226" si="92">P117</f>
        <v>4528224.3575000996</v>
      </c>
      <c r="Q226" s="119">
        <f t="shared" si="91"/>
        <v>43353.275549581078</v>
      </c>
      <c r="R226" s="119">
        <f t="shared" si="91"/>
        <v>22543.703285782161</v>
      </c>
      <c r="S226" s="119">
        <f t="shared" si="91"/>
        <v>1734.1310219832433</v>
      </c>
      <c r="T226" s="119">
        <f t="shared" si="91"/>
        <v>0</v>
      </c>
      <c r="U226" s="119">
        <f t="shared" si="91"/>
        <v>9727.4262047771444</v>
      </c>
      <c r="V226" s="119">
        <f t="shared" si="91"/>
        <v>12898.789243022751</v>
      </c>
      <c r="W226" s="122"/>
      <c r="X226" s="123"/>
      <c r="Z226" s="66">
        <f>SUM(D226:V226)-C226</f>
        <v>0</v>
      </c>
    </row>
    <row r="227" spans="1:26" ht="19.5" x14ac:dyDescent="0.35">
      <c r="A227" s="10">
        <v>4</v>
      </c>
      <c r="B227" s="121" t="s">
        <v>24</v>
      </c>
      <c r="C227" s="119">
        <f t="shared" ref="C227:V227" si="93">C225+C226</f>
        <v>245355065.17162031</v>
      </c>
      <c r="D227" s="119">
        <f t="shared" si="93"/>
        <v>93391383.796498492</v>
      </c>
      <c r="E227" s="119">
        <f t="shared" si="93"/>
        <v>217416.27613386657</v>
      </c>
      <c r="F227" s="119">
        <f>F225+F226</f>
        <v>4087.5929102070236</v>
      </c>
      <c r="G227" s="119">
        <f>G225+G226</f>
        <v>8087.7551099162174</v>
      </c>
      <c r="H227" s="119">
        <f t="shared" si="93"/>
        <v>93837.130427682685</v>
      </c>
      <c r="I227" s="119">
        <f t="shared" si="93"/>
        <v>6950329.8564227913</v>
      </c>
      <c r="J227" s="119">
        <f t="shared" si="93"/>
        <v>31793329.280156501</v>
      </c>
      <c r="K227" s="119">
        <f t="shared" si="93"/>
        <v>37722177.062254071</v>
      </c>
      <c r="L227" s="119">
        <f t="shared" si="93"/>
        <v>18583788.864775509</v>
      </c>
      <c r="M227" s="119">
        <f t="shared" si="93"/>
        <v>10847433.822981574</v>
      </c>
      <c r="N227" s="119">
        <f t="shared" si="93"/>
        <v>17028070.290760741</v>
      </c>
      <c r="O227" s="119">
        <f t="shared" si="93"/>
        <v>878995.53262613085</v>
      </c>
      <c r="P227" s="119">
        <f t="shared" ref="P227" si="94">P225+P226</f>
        <v>4528224.3575000996</v>
      </c>
      <c r="Q227" s="119">
        <f t="shared" si="93"/>
        <v>3068127.9756628787</v>
      </c>
      <c r="R227" s="119">
        <f t="shared" si="93"/>
        <v>4367319.076115991</v>
      </c>
      <c r="S227" s="119">
        <f t="shared" si="93"/>
        <v>523477.81781977473</v>
      </c>
      <c r="T227" s="119">
        <f t="shared" si="93"/>
        <v>10209.130518000002</v>
      </c>
      <c r="U227" s="119">
        <f t="shared" si="93"/>
        <v>278125.12969295622</v>
      </c>
      <c r="V227" s="119">
        <f t="shared" si="93"/>
        <v>15060644.423253138</v>
      </c>
      <c r="W227" s="122"/>
      <c r="X227" s="123"/>
      <c r="Z227" s="66">
        <f>SUM(D227:V227)-C227</f>
        <v>0</v>
      </c>
    </row>
    <row r="228" spans="1:26" ht="19.5" x14ac:dyDescent="0.35">
      <c r="A228" s="10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29"/>
      <c r="X228" s="4"/>
      <c r="Z228" s="66">
        <f>SUM(D228:V228)-C228</f>
        <v>0</v>
      </c>
    </row>
    <row r="229" spans="1:26" ht="19.5" x14ac:dyDescent="0.35">
      <c r="A229" s="10">
        <v>5</v>
      </c>
      <c r="B229" s="152" t="s">
        <v>51</v>
      </c>
      <c r="C229" s="153">
        <f t="shared" ref="C229:V229" si="95">C138</f>
        <v>2.5375119221605544E-2</v>
      </c>
      <c r="D229" s="153">
        <f t="shared" si="95"/>
        <v>1.1195800326730792E-2</v>
      </c>
      <c r="E229" s="153">
        <f t="shared" si="95"/>
        <v>1.683268977508345E-2</v>
      </c>
      <c r="F229" s="153">
        <f>F138</f>
        <v>-4.7116024329130923E-2</v>
      </c>
      <c r="G229" s="153">
        <f>G138</f>
        <v>5.1189899685745111E-2</v>
      </c>
      <c r="H229" s="153">
        <f t="shared" si="95"/>
        <v>1.4569963941529028E-2</v>
      </c>
      <c r="I229" s="153">
        <f t="shared" si="95"/>
        <v>7.2500309963733134E-2</v>
      </c>
      <c r="J229" s="153">
        <f t="shared" si="95"/>
        <v>5.864234937003536E-2</v>
      </c>
      <c r="K229" s="153">
        <f t="shared" si="95"/>
        <v>3.9408839286429083E-2</v>
      </c>
      <c r="L229" s="153">
        <f t="shared" si="95"/>
        <v>2.3323798425003952E-2</v>
      </c>
      <c r="M229" s="153">
        <f t="shared" si="95"/>
        <v>4.6840268746039371E-4</v>
      </c>
      <c r="N229" s="153">
        <f t="shared" si="95"/>
        <v>9.2290318873777047E-3</v>
      </c>
      <c r="O229" s="153">
        <f t="shared" si="95"/>
        <v>0.12812882217987875</v>
      </c>
      <c r="P229" s="153">
        <f t="shared" ref="P229" si="96">P138</f>
        <v>4.3724974224815263E-2</v>
      </c>
      <c r="Q229" s="153">
        <f t="shared" si="95"/>
        <v>-4.4360264101616836E-2</v>
      </c>
      <c r="R229" s="153">
        <f t="shared" si="95"/>
        <v>-6.8810488780919499E-2</v>
      </c>
      <c r="S229" s="153">
        <f t="shared" si="95"/>
        <v>0.43763785107684122</v>
      </c>
      <c r="T229" s="153">
        <f t="shared" si="95"/>
        <v>0</v>
      </c>
      <c r="U229" s="153">
        <f t="shared" si="95"/>
        <v>-9.8003201293410929E-3</v>
      </c>
      <c r="V229" s="153">
        <f t="shared" si="95"/>
        <v>0.24782964321584355</v>
      </c>
      <c r="W229" s="154"/>
      <c r="X229" s="155"/>
    </row>
    <row r="230" spans="1:26" ht="19.5" x14ac:dyDescent="0.35">
      <c r="A230" s="10">
        <v>6</v>
      </c>
      <c r="B230" s="152" t="s">
        <v>52</v>
      </c>
      <c r="C230" s="156">
        <f>C229/C229</f>
        <v>1</v>
      </c>
      <c r="D230" s="156">
        <f t="shared" ref="D230:V230" si="97">(D229/$C$229)</f>
        <v>0.44121173299545219</v>
      </c>
      <c r="E230" s="156">
        <f t="shared" si="97"/>
        <v>0.66335411582032389</v>
      </c>
      <c r="F230" s="156">
        <f>(F229/$C$229)</f>
        <v>-1.8567804122478435</v>
      </c>
      <c r="G230" s="156">
        <f>(G229/$C$229)</f>
        <v>2.0173264700234266</v>
      </c>
      <c r="H230" s="156">
        <f t="shared" si="97"/>
        <v>0.57418307335965102</v>
      </c>
      <c r="I230" s="156">
        <f t="shared" si="97"/>
        <v>2.8571416485012229</v>
      </c>
      <c r="J230" s="156">
        <f t="shared" si="97"/>
        <v>2.3110176885436884</v>
      </c>
      <c r="K230" s="156">
        <f t="shared" si="97"/>
        <v>1.5530504090351065</v>
      </c>
      <c r="L230" s="156">
        <f t="shared" si="97"/>
        <v>0.91916015137950546</v>
      </c>
      <c r="M230" s="156">
        <f t="shared" si="97"/>
        <v>1.845913248208797E-2</v>
      </c>
      <c r="N230" s="156">
        <f t="shared" si="97"/>
        <v>0.36370398132039838</v>
      </c>
      <c r="O230" s="156">
        <f t="shared" si="97"/>
        <v>5.049387987536389</v>
      </c>
      <c r="P230" s="156">
        <f t="shared" ref="P230" si="98">(P229/$C$229)</f>
        <v>1.7231435975908955</v>
      </c>
      <c r="Q230" s="156">
        <f t="shared" si="97"/>
        <v>-1.7481795342205315</v>
      </c>
      <c r="R230" s="156">
        <f t="shared" si="97"/>
        <v>-2.7117306594694175</v>
      </c>
      <c r="S230" s="156">
        <f t="shared" si="97"/>
        <v>17.246730833257178</v>
      </c>
      <c r="T230" s="156">
        <f t="shared" si="97"/>
        <v>0</v>
      </c>
      <c r="U230" s="156">
        <f t="shared" si="97"/>
        <v>-0.38621769788559845</v>
      </c>
      <c r="V230" s="156">
        <f t="shared" si="97"/>
        <v>9.7666395594638225</v>
      </c>
      <c r="W230" s="157"/>
      <c r="X230" s="158"/>
    </row>
    <row r="231" spans="1:26" ht="18" x14ac:dyDescent="0.25">
      <c r="A231" s="10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28"/>
      <c r="X231" s="107"/>
    </row>
    <row r="232" spans="1:26" ht="18" x14ac:dyDescent="0.25">
      <c r="A232" s="10">
        <v>7</v>
      </c>
      <c r="B232" s="143" t="s">
        <v>114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28"/>
      <c r="X232" s="107"/>
    </row>
    <row r="233" spans="1:26" ht="19.5" x14ac:dyDescent="0.35">
      <c r="A233" s="10">
        <v>8</v>
      </c>
      <c r="B233" s="121" t="s">
        <v>53</v>
      </c>
      <c r="C233" s="119">
        <f>SUM(D233:V233)</f>
        <v>316184240.48021054</v>
      </c>
      <c r="D233" s="119">
        <f>+D292+D304</f>
        <v>119528239.88527496</v>
      </c>
      <c r="E233" s="119">
        <f t="shared" ref="E233:V233" si="99">+E292+E304</f>
        <v>299511.48276081291</v>
      </c>
      <c r="F233" s="119">
        <f t="shared" si="99"/>
        <v>4451.3999999999996</v>
      </c>
      <c r="G233" s="119">
        <f t="shared" si="99"/>
        <v>8761.5</v>
      </c>
      <c r="H233" s="119">
        <f t="shared" si="99"/>
        <v>157205.51622499997</v>
      </c>
      <c r="I233" s="119">
        <f t="shared" si="99"/>
        <v>8703365.7832870409</v>
      </c>
      <c r="J233" s="119">
        <f t="shared" si="99"/>
        <v>42126190.056019306</v>
      </c>
      <c r="K233" s="119">
        <f t="shared" si="99"/>
        <v>52411364.092807181</v>
      </c>
      <c r="L233" s="119">
        <f t="shared" si="99"/>
        <v>26727532.079441525</v>
      </c>
      <c r="M233" s="119">
        <f t="shared" si="99"/>
        <v>15473494.030893158</v>
      </c>
      <c r="N233" s="119">
        <f t="shared" si="99"/>
        <v>22627904.30237288</v>
      </c>
      <c r="O233" s="119">
        <f t="shared" si="99"/>
        <v>1267715.1363860001</v>
      </c>
      <c r="P233" s="119">
        <f t="shared" si="99"/>
        <v>0</v>
      </c>
      <c r="Q233" s="119">
        <f t="shared" si="99"/>
        <v>4412750.8184181657</v>
      </c>
      <c r="R233" s="119">
        <f t="shared" si="99"/>
        <v>6338723.037223178</v>
      </c>
      <c r="S233" s="119">
        <f t="shared" si="99"/>
        <v>652692.67668876238</v>
      </c>
      <c r="T233" s="119">
        <f t="shared" si="99"/>
        <v>0</v>
      </c>
      <c r="U233" s="119">
        <f t="shared" si="99"/>
        <v>396593.04840246902</v>
      </c>
      <c r="V233" s="119">
        <f t="shared" si="99"/>
        <v>15047745.634010116</v>
      </c>
      <c r="W233" s="122"/>
      <c r="X233" s="123"/>
      <c r="Z233" s="66">
        <f>SUM(D233:V233)-C233</f>
        <v>0</v>
      </c>
    </row>
    <row r="234" spans="1:26" ht="19.5" x14ac:dyDescent="0.35">
      <c r="A234" s="10">
        <v>9</v>
      </c>
      <c r="B234" s="121" t="s">
        <v>50</v>
      </c>
      <c r="C234" s="119">
        <f>SUM(D234:V234)</f>
        <v>14495546.867221706</v>
      </c>
      <c r="D234" s="119">
        <f t="shared" ref="D234:V234" si="100">D172</f>
        <v>7249750.7416617628</v>
      </c>
      <c r="E234" s="119">
        <f t="shared" si="100"/>
        <v>15037.656885048627</v>
      </c>
      <c r="F234" s="119">
        <f>F172</f>
        <v>83.564996870128667</v>
      </c>
      <c r="G234" s="119">
        <f>G172</f>
        <v>226.15670156572986</v>
      </c>
      <c r="H234" s="119">
        <f t="shared" si="100"/>
        <v>442.45207768271058</v>
      </c>
      <c r="I234" s="119">
        <f t="shared" si="100"/>
        <v>589076.50284315669</v>
      </c>
      <c r="J234" s="119">
        <f t="shared" si="100"/>
        <v>1048136.6682616605</v>
      </c>
      <c r="K234" s="119">
        <f t="shared" si="100"/>
        <v>514439.75510889565</v>
      </c>
      <c r="L234" s="119">
        <f t="shared" si="100"/>
        <v>99818.783614614236</v>
      </c>
      <c r="M234" s="119">
        <f t="shared" si="100"/>
        <v>10687.347876960093</v>
      </c>
      <c r="N234" s="119">
        <f t="shared" si="100"/>
        <v>288237.94265886495</v>
      </c>
      <c r="O234" s="119">
        <f t="shared" si="100"/>
        <v>60916.790082940919</v>
      </c>
      <c r="P234" s="119">
        <f t="shared" ref="P234" si="101">P172</f>
        <v>4528224.3575000996</v>
      </c>
      <c r="Q234" s="119">
        <f t="shared" si="100"/>
        <v>43430.783507828644</v>
      </c>
      <c r="R234" s="119">
        <f t="shared" si="100"/>
        <v>22584.007424070896</v>
      </c>
      <c r="S234" s="119">
        <f t="shared" si="100"/>
        <v>1737.2313403131461</v>
      </c>
      <c r="T234" s="119">
        <f t="shared" si="100"/>
        <v>0</v>
      </c>
      <c r="U234" s="119">
        <f t="shared" si="100"/>
        <v>9767.7303430658794</v>
      </c>
      <c r="V234" s="119">
        <f t="shared" si="100"/>
        <v>12948.394336301197</v>
      </c>
      <c r="W234" s="122"/>
      <c r="X234" s="123"/>
      <c r="Z234" s="66">
        <f>SUM(D234:V234)-C234</f>
        <v>0</v>
      </c>
    </row>
    <row r="235" spans="1:26" ht="19.5" x14ac:dyDescent="0.35">
      <c r="A235" s="10">
        <v>10</v>
      </c>
      <c r="B235" s="121" t="s">
        <v>24</v>
      </c>
      <c r="C235" s="119">
        <f t="shared" ref="C235:V235" si="102">C233+C234</f>
        <v>330679787.34743226</v>
      </c>
      <c r="D235" s="119">
        <f t="shared" si="102"/>
        <v>126777990.62693672</v>
      </c>
      <c r="E235" s="119">
        <f t="shared" si="102"/>
        <v>314549.13964586152</v>
      </c>
      <c r="F235" s="119">
        <f>F233+F234</f>
        <v>4534.9649968701287</v>
      </c>
      <c r="G235" s="119">
        <f>G233+G234</f>
        <v>8987.6567015657292</v>
      </c>
      <c r="H235" s="119">
        <f t="shared" si="102"/>
        <v>157647.96830268268</v>
      </c>
      <c r="I235" s="119">
        <f t="shared" si="102"/>
        <v>9292442.2861301973</v>
      </c>
      <c r="J235" s="119">
        <f t="shared" si="102"/>
        <v>43174326.724280968</v>
      </c>
      <c r="K235" s="119">
        <f t="shared" si="102"/>
        <v>52925803.847916074</v>
      </c>
      <c r="L235" s="119">
        <f t="shared" si="102"/>
        <v>26827350.863056138</v>
      </c>
      <c r="M235" s="119">
        <f t="shared" si="102"/>
        <v>15484181.378770119</v>
      </c>
      <c r="N235" s="119">
        <f t="shared" si="102"/>
        <v>22916142.245031744</v>
      </c>
      <c r="O235" s="119">
        <f t="shared" si="102"/>
        <v>1328631.9264689409</v>
      </c>
      <c r="P235" s="119">
        <f t="shared" ref="P235" si="103">P233+P234</f>
        <v>4528224.3575000996</v>
      </c>
      <c r="Q235" s="119">
        <f t="shared" si="102"/>
        <v>4456181.6019259943</v>
      </c>
      <c r="R235" s="119">
        <f t="shared" si="102"/>
        <v>6361307.0446472485</v>
      </c>
      <c r="S235" s="119">
        <f t="shared" si="102"/>
        <v>654429.90802907548</v>
      </c>
      <c r="T235" s="119">
        <f t="shared" si="102"/>
        <v>0</v>
      </c>
      <c r="U235" s="119">
        <f t="shared" si="102"/>
        <v>406360.77874553489</v>
      </c>
      <c r="V235" s="119">
        <f t="shared" si="102"/>
        <v>15060694.028346417</v>
      </c>
      <c r="W235" s="122"/>
      <c r="X235" s="123"/>
      <c r="Z235" s="66">
        <f>SUM(D235:V235)-C235</f>
        <v>0</v>
      </c>
    </row>
    <row r="236" spans="1:26" ht="18" x14ac:dyDescent="0.25">
      <c r="A236" s="10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28"/>
      <c r="X236" s="107"/>
      <c r="Z236" s="66">
        <f>SUM(D236:V236)-C236</f>
        <v>0</v>
      </c>
    </row>
    <row r="237" spans="1:26" s="65" customFormat="1" ht="19.5" x14ac:dyDescent="0.35">
      <c r="A237" s="10">
        <v>11</v>
      </c>
      <c r="B237" s="159" t="s">
        <v>54</v>
      </c>
      <c r="C237" s="144">
        <f t="shared" ref="C237:V237" si="104">C235-C227</f>
        <v>85324722.175811946</v>
      </c>
      <c r="D237" s="144">
        <f t="shared" si="104"/>
        <v>33386606.830438226</v>
      </c>
      <c r="E237" s="144">
        <f t="shared" si="104"/>
        <v>97132.863511994947</v>
      </c>
      <c r="F237" s="144">
        <f>F235-F227</f>
        <v>447.37208666310516</v>
      </c>
      <c r="G237" s="144">
        <f>G235-G227</f>
        <v>899.90159164951183</v>
      </c>
      <c r="H237" s="144">
        <f t="shared" si="104"/>
        <v>63810.837874999997</v>
      </c>
      <c r="I237" s="144">
        <f t="shared" si="104"/>
        <v>2342112.4297074061</v>
      </c>
      <c r="J237" s="144">
        <f t="shared" si="104"/>
        <v>11380997.444124468</v>
      </c>
      <c r="K237" s="144">
        <f t="shared" si="104"/>
        <v>15203626.785662003</v>
      </c>
      <c r="L237" s="144">
        <f t="shared" si="104"/>
        <v>8243561.9982806295</v>
      </c>
      <c r="M237" s="144">
        <f t="shared" si="104"/>
        <v>4636747.5557885449</v>
      </c>
      <c r="N237" s="144">
        <f t="shared" si="104"/>
        <v>5888071.9542710036</v>
      </c>
      <c r="O237" s="144">
        <f t="shared" si="104"/>
        <v>449636.39384281007</v>
      </c>
      <c r="P237" s="144">
        <f t="shared" ref="P237" si="105">P235-P227</f>
        <v>0</v>
      </c>
      <c r="Q237" s="144">
        <f t="shared" si="104"/>
        <v>1388053.6262631156</v>
      </c>
      <c r="R237" s="144">
        <f t="shared" si="104"/>
        <v>1993987.9685312575</v>
      </c>
      <c r="S237" s="144">
        <f t="shared" si="104"/>
        <v>130952.09020930075</v>
      </c>
      <c r="T237" s="144">
        <f t="shared" si="104"/>
        <v>-10209.130518000002</v>
      </c>
      <c r="U237" s="144">
        <f t="shared" si="104"/>
        <v>128235.64905257866</v>
      </c>
      <c r="V237" s="144">
        <f t="shared" si="104"/>
        <v>49.605093279853463</v>
      </c>
      <c r="W237" s="139"/>
      <c r="X237" s="140"/>
      <c r="Z237" s="65">
        <f>SUM(D237:V237)-C237</f>
        <v>0</v>
      </c>
    </row>
    <row r="238" spans="1:26" ht="19.5" x14ac:dyDescent="0.35">
      <c r="A238" s="10">
        <v>12</v>
      </c>
      <c r="B238" s="152" t="s">
        <v>55</v>
      </c>
      <c r="C238" s="153">
        <f t="shared" ref="C238:V238" si="106">C237/C227</f>
        <v>0.34776018223275412</v>
      </c>
      <c r="D238" s="153">
        <f t="shared" si="106"/>
        <v>0.3574912960192157</v>
      </c>
      <c r="E238" s="153">
        <f t="shared" si="106"/>
        <v>0.44675985275448621</v>
      </c>
      <c r="F238" s="153">
        <f>IF(F227=0,0,(F237/F227))</f>
        <v>0.1094463407904402</v>
      </c>
      <c r="G238" s="153">
        <f>IF(G227=0,0,(G237/G227))</f>
        <v>0.1112671661566709</v>
      </c>
      <c r="H238" s="153">
        <f t="shared" si="106"/>
        <v>0.68001693555811571</v>
      </c>
      <c r="I238" s="153">
        <f t="shared" si="106"/>
        <v>0.33697860074123864</v>
      </c>
      <c r="J238" s="153">
        <f t="shared" si="106"/>
        <v>0.35796809273534647</v>
      </c>
      <c r="K238" s="153">
        <f t="shared" si="106"/>
        <v>0.40304213514959619</v>
      </c>
      <c r="L238" s="153">
        <f t="shared" si="106"/>
        <v>0.44358887513545864</v>
      </c>
      <c r="M238" s="153">
        <f t="shared" si="106"/>
        <v>0.42745110331671682</v>
      </c>
      <c r="N238" s="153">
        <f t="shared" si="106"/>
        <v>0.34578621380637664</v>
      </c>
      <c r="O238" s="153">
        <f t="shared" si="106"/>
        <v>0.51153433339923127</v>
      </c>
      <c r="P238" s="153">
        <f t="shared" ref="P238" si="107">P237/P227</f>
        <v>0</v>
      </c>
      <c r="Q238" s="153">
        <f t="shared" si="106"/>
        <v>0.45241060258029886</v>
      </c>
      <c r="R238" s="153">
        <f t="shared" si="106"/>
        <v>0.45657025140113655</v>
      </c>
      <c r="S238" s="153">
        <f t="shared" si="106"/>
        <v>0.25015785913279237</v>
      </c>
      <c r="T238" s="153">
        <f t="shared" si="106"/>
        <v>-1</v>
      </c>
      <c r="U238" s="153">
        <f t="shared" si="106"/>
        <v>0.46107178159035067</v>
      </c>
      <c r="V238" s="153">
        <f t="shared" si="106"/>
        <v>3.2936899568032319E-6</v>
      </c>
      <c r="W238" s="154"/>
      <c r="X238" s="155"/>
    </row>
    <row r="239" spans="1:26" ht="19.5" x14ac:dyDescent="0.35">
      <c r="A239" s="10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29"/>
      <c r="X239" s="4"/>
    </row>
    <row r="240" spans="1:26" s="65" customFormat="1" ht="19.5" x14ac:dyDescent="0.35">
      <c r="A240" s="10">
        <v>13</v>
      </c>
      <c r="B240" s="160" t="s">
        <v>51</v>
      </c>
      <c r="C240" s="145">
        <f t="shared" ref="C240:V240" si="108">C190</f>
        <v>6.6280102894357068E-2</v>
      </c>
      <c r="D240" s="145">
        <f t="shared" si="108"/>
        <v>5.9981029920492035E-2</v>
      </c>
      <c r="E240" s="145">
        <f t="shared" si="108"/>
        <v>8.048905424879417E-2</v>
      </c>
      <c r="F240" s="145">
        <f>F190</f>
        <v>-5.0660744388582479E-2</v>
      </c>
      <c r="G240" s="145">
        <f>G190</f>
        <v>5.658515583770006E-2</v>
      </c>
      <c r="H240" s="145">
        <f t="shared" si="108"/>
        <v>8.1774324801246343E-2</v>
      </c>
      <c r="I240" s="145">
        <f t="shared" si="108"/>
        <v>0.1317000549591309</v>
      </c>
      <c r="J240" s="145">
        <f t="shared" si="108"/>
        <v>0.10853507495700464</v>
      </c>
      <c r="K240" s="145">
        <f t="shared" si="108"/>
        <v>8.5577715459322051E-2</v>
      </c>
      <c r="L240" s="145">
        <f t="shared" si="108"/>
        <v>6.6969070456103424E-2</v>
      </c>
      <c r="M240" s="145">
        <f t="shared" si="108"/>
        <v>3.2166769802242673E-2</v>
      </c>
      <c r="N240" s="145">
        <f t="shared" si="108"/>
        <v>3.8375652778103411E-2</v>
      </c>
      <c r="O240" s="145">
        <f t="shared" si="108"/>
        <v>0.25440253262185525</v>
      </c>
      <c r="P240" s="145">
        <f t="shared" ref="P240" si="109">P190</f>
        <v>3.0583373053702217E-2</v>
      </c>
      <c r="Q240" s="145">
        <f t="shared" si="108"/>
        <v>-2.5335604760280982E-2</v>
      </c>
      <c r="R240" s="145">
        <f t="shared" si="108"/>
        <v>-4.5241022263578963E-2</v>
      </c>
      <c r="S240" s="145">
        <f t="shared" si="108"/>
        <v>0.61419506777275101</v>
      </c>
      <c r="T240" s="145">
        <f t="shared" si="108"/>
        <v>0</v>
      </c>
      <c r="U240" s="145">
        <f t="shared" si="108"/>
        <v>1.7263786019237556E-2</v>
      </c>
      <c r="V240" s="145">
        <f t="shared" si="108"/>
        <v>0.23468932720551394</v>
      </c>
      <c r="W240" s="146"/>
      <c r="X240" s="147"/>
    </row>
    <row r="241" spans="1:24" ht="19.5" x14ac:dyDescent="0.35">
      <c r="A241" s="10">
        <v>14</v>
      </c>
      <c r="B241" s="161" t="s">
        <v>52</v>
      </c>
      <c r="C241" s="153">
        <f t="shared" ref="C241:V241" si="110">C240/$C$240</f>
        <v>1</v>
      </c>
      <c r="D241" s="153">
        <f t="shared" si="110"/>
        <v>0.90496283652569098</v>
      </c>
      <c r="E241" s="153">
        <f t="shared" si="110"/>
        <v>1.2143773279453798</v>
      </c>
      <c r="F241" s="153">
        <f>F240/$C$240</f>
        <v>-0.76434317655375295</v>
      </c>
      <c r="G241" s="153">
        <f>G240/$C$240</f>
        <v>0.8537276402224413</v>
      </c>
      <c r="H241" s="153">
        <f t="shared" si="110"/>
        <v>1.2337688269975273</v>
      </c>
      <c r="I241" s="153">
        <f t="shared" si="110"/>
        <v>1.987022488016438</v>
      </c>
      <c r="J241" s="153">
        <f t="shared" si="110"/>
        <v>1.6375212200559974</v>
      </c>
      <c r="K241" s="153">
        <f t="shared" si="110"/>
        <v>1.29115242315968</v>
      </c>
      <c r="L241" s="153">
        <f t="shared" si="110"/>
        <v>1.0103947871481807</v>
      </c>
      <c r="M241" s="153">
        <f t="shared" si="110"/>
        <v>0.48531562863613592</v>
      </c>
      <c r="N241" s="153">
        <f t="shared" si="110"/>
        <v>0.57899205194762338</v>
      </c>
      <c r="O241" s="153">
        <f t="shared" si="110"/>
        <v>3.8382941714400158</v>
      </c>
      <c r="P241" s="153">
        <f t="shared" ref="P241" si="111">P240/$C$240</f>
        <v>0.46142615533425813</v>
      </c>
      <c r="Q241" s="153">
        <f t="shared" si="110"/>
        <v>-0.38225053453316221</v>
      </c>
      <c r="R241" s="153">
        <f t="shared" si="110"/>
        <v>-0.68257320504900243</v>
      </c>
      <c r="S241" s="153">
        <f t="shared" si="110"/>
        <v>9.2666583326176788</v>
      </c>
      <c r="T241" s="153">
        <f t="shared" si="110"/>
        <v>0</v>
      </c>
      <c r="U241" s="153">
        <f t="shared" si="110"/>
        <v>0.26046709744482538</v>
      </c>
      <c r="V241" s="153">
        <f t="shared" si="110"/>
        <v>3.5408714977341238</v>
      </c>
      <c r="W241" s="154"/>
      <c r="X241" s="155"/>
    </row>
    <row r="242" spans="1:24" ht="18" x14ac:dyDescent="0.25">
      <c r="A242" s="5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5"/>
      <c r="O242" s="5"/>
      <c r="P242" s="5"/>
      <c r="Q242" s="5"/>
      <c r="R242" s="5"/>
      <c r="S242" s="5"/>
      <c r="T242" s="5"/>
      <c r="U242" s="5"/>
      <c r="V242" s="5"/>
      <c r="W242" s="28"/>
      <c r="X242" s="107"/>
    </row>
    <row r="243" spans="1:24" ht="18" x14ac:dyDescent="0.25">
      <c r="A243" s="5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5"/>
      <c r="O243" s="5"/>
      <c r="P243" s="5"/>
      <c r="Q243" s="5"/>
      <c r="R243" s="5"/>
      <c r="S243" s="5"/>
      <c r="T243" s="5"/>
      <c r="U243" s="5"/>
      <c r="V243" s="5"/>
      <c r="W243" s="28"/>
      <c r="X243" s="107"/>
    </row>
    <row r="244" spans="1:24" ht="18" x14ac:dyDescent="0.25">
      <c r="A244" s="5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5"/>
      <c r="O244" s="5"/>
      <c r="P244" s="5"/>
      <c r="Q244" s="5"/>
      <c r="R244" s="5"/>
      <c r="S244" s="5"/>
      <c r="T244" s="5"/>
      <c r="U244" s="5"/>
      <c r="V244" s="5"/>
      <c r="W244" s="28"/>
      <c r="X244" s="107"/>
    </row>
    <row r="245" spans="1:24" ht="18" x14ac:dyDescent="0.25">
      <c r="A245" s="5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5"/>
      <c r="O245" s="5"/>
      <c r="P245" s="5"/>
      <c r="Q245" s="5"/>
      <c r="R245" s="5"/>
      <c r="S245" s="5"/>
      <c r="T245" s="5"/>
      <c r="U245" s="5"/>
      <c r="V245" s="5"/>
      <c r="W245" s="28"/>
      <c r="X245" s="107"/>
    </row>
    <row r="246" spans="1:24" ht="18" x14ac:dyDescent="0.25">
      <c r="A246" s="5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5"/>
      <c r="O246" s="5"/>
      <c r="P246" s="5"/>
      <c r="Q246" s="5"/>
      <c r="R246" s="5"/>
      <c r="S246" s="5"/>
      <c r="T246" s="5"/>
      <c r="U246" s="5"/>
      <c r="V246" s="5"/>
      <c r="W246" s="28"/>
      <c r="X246" s="107"/>
    </row>
    <row r="247" spans="1:24" ht="18" x14ac:dyDescent="0.25">
      <c r="A247" s="5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5"/>
      <c r="O247" s="5"/>
      <c r="P247" s="5"/>
      <c r="Q247" s="5"/>
      <c r="R247" s="5"/>
      <c r="S247" s="5"/>
      <c r="T247" s="5"/>
      <c r="U247" s="5"/>
      <c r="V247" s="5"/>
      <c r="W247" s="28"/>
      <c r="X247" s="107"/>
    </row>
    <row r="248" spans="1:24" ht="18" x14ac:dyDescent="0.25">
      <c r="A248" s="5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5"/>
      <c r="O248" s="5"/>
      <c r="P248" s="5"/>
      <c r="Q248" s="5"/>
      <c r="R248" s="5"/>
      <c r="S248" s="5"/>
      <c r="T248" s="5"/>
      <c r="U248" s="5"/>
      <c r="V248" s="5"/>
      <c r="W248" s="28"/>
      <c r="X248" s="107"/>
    </row>
    <row r="249" spans="1:24" ht="18" x14ac:dyDescent="0.25">
      <c r="A249" s="5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5"/>
      <c r="O249" s="5"/>
      <c r="P249" s="5"/>
      <c r="Q249" s="5"/>
      <c r="R249" s="5"/>
      <c r="S249" s="5"/>
      <c r="T249" s="5"/>
      <c r="U249" s="5"/>
      <c r="V249" s="5"/>
      <c r="W249" s="28"/>
      <c r="X249" s="107"/>
    </row>
    <row r="250" spans="1:24" ht="18" x14ac:dyDescent="0.25">
      <c r="A250" s="5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5"/>
      <c r="O250" s="5"/>
      <c r="P250" s="5"/>
      <c r="Q250" s="5"/>
      <c r="R250" s="5"/>
      <c r="S250" s="5"/>
      <c r="T250" s="5"/>
      <c r="U250" s="5"/>
      <c r="V250" s="5"/>
      <c r="W250" s="28"/>
      <c r="X250" s="107"/>
    </row>
    <row r="251" spans="1:24" ht="18" x14ac:dyDescent="0.25">
      <c r="A251" s="5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5"/>
      <c r="O251" s="5"/>
      <c r="P251" s="5"/>
      <c r="Q251" s="5"/>
      <c r="R251" s="5"/>
      <c r="S251" s="5"/>
      <c r="T251" s="5"/>
      <c r="U251" s="5"/>
      <c r="V251" s="5"/>
      <c r="W251" s="28"/>
      <c r="X251" s="107"/>
    </row>
    <row r="252" spans="1:24" ht="18" x14ac:dyDescent="0.25">
      <c r="A252" s="5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5"/>
      <c r="O252" s="5"/>
      <c r="P252" s="5"/>
      <c r="Q252" s="5"/>
      <c r="R252" s="5"/>
      <c r="S252" s="5"/>
      <c r="T252" s="5"/>
      <c r="U252" s="5"/>
      <c r="V252" s="5"/>
      <c r="W252" s="28"/>
      <c r="X252" s="107"/>
    </row>
    <row r="253" spans="1:24" ht="18" x14ac:dyDescent="0.25">
      <c r="A253" s="5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5"/>
      <c r="O253" s="5"/>
      <c r="P253" s="5"/>
      <c r="Q253" s="5"/>
      <c r="R253" s="5"/>
      <c r="S253" s="5"/>
      <c r="T253" s="5"/>
      <c r="U253" s="5"/>
      <c r="V253" s="5"/>
      <c r="W253" s="28"/>
      <c r="X253" s="107"/>
    </row>
    <row r="254" spans="1:24" ht="18" x14ac:dyDescent="0.25">
      <c r="A254" s="5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5"/>
      <c r="O254" s="5"/>
      <c r="P254" s="5"/>
      <c r="Q254" s="5"/>
      <c r="R254" s="5"/>
      <c r="S254" s="5"/>
      <c r="T254" s="5"/>
      <c r="U254" s="5"/>
      <c r="V254" s="5"/>
      <c r="W254" s="28"/>
      <c r="X254" s="107"/>
    </row>
    <row r="255" spans="1:24" ht="18" x14ac:dyDescent="0.25">
      <c r="A255" s="5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5"/>
      <c r="O255" s="5"/>
      <c r="P255" s="5"/>
      <c r="Q255" s="5"/>
      <c r="R255" s="5"/>
      <c r="S255" s="5"/>
      <c r="T255" s="5"/>
      <c r="U255" s="5"/>
      <c r="V255" s="5"/>
      <c r="W255" s="28"/>
      <c r="X255" s="107"/>
    </row>
    <row r="256" spans="1:24" ht="18" x14ac:dyDescent="0.25">
      <c r="A256" s="5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5"/>
      <c r="O256" s="5"/>
      <c r="P256" s="5"/>
      <c r="Q256" s="5"/>
      <c r="R256" s="5"/>
      <c r="S256" s="5"/>
      <c r="T256" s="5"/>
      <c r="U256" s="5"/>
      <c r="V256" s="5"/>
      <c r="W256" s="28"/>
      <c r="X256" s="107"/>
    </row>
    <row r="257" spans="1:24" ht="18" x14ac:dyDescent="0.25">
      <c r="A257" s="15"/>
      <c r="B257" s="13"/>
      <c r="C257" s="14"/>
      <c r="D257" s="14"/>
      <c r="E257" s="14"/>
      <c r="F257" s="14"/>
      <c r="G257" s="14"/>
      <c r="H257" s="14"/>
      <c r="I257" s="14"/>
      <c r="J257" s="13"/>
      <c r="K257" s="14"/>
      <c r="L257" s="14"/>
      <c r="M257" s="14"/>
      <c r="N257" s="15"/>
      <c r="O257" s="15"/>
      <c r="P257" s="15"/>
      <c r="Q257" s="15"/>
      <c r="R257" s="15"/>
      <c r="S257" s="15"/>
      <c r="T257" s="15"/>
      <c r="U257" s="15"/>
      <c r="V257" s="15"/>
      <c r="W257" s="28"/>
      <c r="X257" s="107"/>
    </row>
    <row r="258" spans="1:24" ht="18" x14ac:dyDescent="0.25">
      <c r="A258" s="23" t="s">
        <v>65</v>
      </c>
      <c r="B258" s="23"/>
      <c r="C258" s="24"/>
      <c r="D258" s="24"/>
      <c r="E258" s="24"/>
      <c r="F258" s="24"/>
      <c r="G258" s="24"/>
      <c r="H258" s="24"/>
      <c r="I258" s="24"/>
      <c r="J258" s="24"/>
      <c r="K258" s="22" t="s">
        <v>279</v>
      </c>
      <c r="L258" s="22"/>
      <c r="M258" s="24"/>
      <c r="N258" s="22"/>
      <c r="O258" s="22"/>
      <c r="P258" s="22"/>
      <c r="Q258" s="22"/>
      <c r="R258" s="22"/>
      <c r="S258" s="22"/>
      <c r="T258" s="22"/>
      <c r="U258" s="22" t="s">
        <v>279</v>
      </c>
      <c r="V258" s="22"/>
      <c r="W258" s="28"/>
      <c r="X258" s="107"/>
    </row>
    <row r="259" spans="1:24" ht="18" hidden="1" x14ac:dyDescent="0.25">
      <c r="A259" s="5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5"/>
      <c r="O259" s="5"/>
      <c r="P259" s="5"/>
      <c r="Q259" s="5"/>
      <c r="R259" s="5"/>
      <c r="S259" s="5"/>
      <c r="T259" s="5"/>
      <c r="U259" s="5"/>
      <c r="V259" s="5"/>
      <c r="W259" s="28"/>
      <c r="X259" s="107"/>
    </row>
    <row r="260" spans="1:24" hidden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28"/>
      <c r="X260" s="107"/>
    </row>
    <row r="261" spans="1:24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28"/>
      <c r="X261" s="107"/>
    </row>
    <row r="262" spans="1:24" s="108" customFormat="1" ht="18" x14ac:dyDescent="0.25">
      <c r="A262" s="13" t="s">
        <v>0</v>
      </c>
      <c r="B262" s="13"/>
      <c r="C262" s="14"/>
      <c r="D262" s="15"/>
      <c r="E262" s="15"/>
      <c r="F262" s="15"/>
      <c r="G262" s="15"/>
      <c r="H262" s="14"/>
      <c r="I262" s="14"/>
      <c r="J262" s="103" t="s">
        <v>265</v>
      </c>
      <c r="K262" s="15"/>
      <c r="L262" s="15"/>
      <c r="M262" s="14"/>
      <c r="N262" s="15"/>
      <c r="Q262" s="15"/>
      <c r="R262" s="15"/>
      <c r="S262" s="21"/>
      <c r="T262" s="103" t="s">
        <v>264</v>
      </c>
      <c r="V262" s="15"/>
      <c r="W262" s="15"/>
    </row>
    <row r="263" spans="1:24" ht="18" x14ac:dyDescent="0.25">
      <c r="A263" s="99"/>
      <c r="B263" s="99"/>
      <c r="C263" s="29"/>
      <c r="D263" s="28"/>
      <c r="E263" s="28"/>
      <c r="F263" s="28"/>
      <c r="G263" s="28"/>
      <c r="H263" s="29"/>
      <c r="I263" s="29"/>
      <c r="J263" s="236"/>
      <c r="K263" s="28"/>
      <c r="L263" s="28"/>
      <c r="M263" s="29"/>
      <c r="N263" s="28"/>
      <c r="O263" s="107"/>
      <c r="P263" s="107"/>
      <c r="Q263" s="28"/>
      <c r="R263" s="28"/>
      <c r="S263" s="29"/>
      <c r="T263" s="236"/>
      <c r="U263" s="107"/>
      <c r="V263" s="28"/>
      <c r="W263" s="28"/>
      <c r="X263" s="107"/>
    </row>
    <row r="264" spans="1:24" s="107" customFormat="1" ht="18" x14ac:dyDescent="0.25">
      <c r="A264" s="99" t="s">
        <v>1</v>
      </c>
      <c r="B264" s="99"/>
      <c r="C264" s="29"/>
      <c r="D264" s="28"/>
      <c r="E264" s="28"/>
      <c r="F264" s="30" t="s">
        <v>254</v>
      </c>
      <c r="G264" s="28"/>
      <c r="H264" s="29"/>
      <c r="I264" s="29"/>
      <c r="J264" s="105" t="s">
        <v>2</v>
      </c>
      <c r="K264" s="30"/>
      <c r="M264" s="29"/>
      <c r="N264" s="30"/>
      <c r="P264" s="30" t="s">
        <v>254</v>
      </c>
      <c r="Q264" s="28"/>
      <c r="R264" s="28"/>
      <c r="S264" s="99"/>
      <c r="T264" s="105" t="s">
        <v>2</v>
      </c>
      <c r="V264" s="28"/>
      <c r="W264" s="28"/>
    </row>
    <row r="265" spans="1:24" ht="18" x14ac:dyDescent="0.25">
      <c r="A265" s="9" t="s">
        <v>71</v>
      </c>
      <c r="B265" s="9"/>
      <c r="C265" s="7"/>
      <c r="D265" s="5"/>
      <c r="E265" s="5"/>
      <c r="F265" s="10" t="s">
        <v>255</v>
      </c>
      <c r="G265" s="5"/>
      <c r="H265" s="7"/>
      <c r="I265" s="7"/>
      <c r="J265" s="102" t="str">
        <f>+J$4</f>
        <v>PROJECTED TEST YEAR:      12/31/21</v>
      </c>
      <c r="K265" s="16"/>
      <c r="M265" s="7"/>
      <c r="N265" s="16"/>
      <c r="P265" s="10" t="s">
        <v>255</v>
      </c>
      <c r="Q265" s="5"/>
      <c r="R265" s="5"/>
      <c r="S265" s="9"/>
      <c r="T265" s="102" t="str">
        <f>+T$4</f>
        <v>PROJECTED TEST YEAR:      12/31/21</v>
      </c>
      <c r="V265" s="5"/>
      <c r="W265" s="28"/>
      <c r="X265" s="107"/>
    </row>
    <row r="266" spans="1:24" ht="18" x14ac:dyDescent="0.25">
      <c r="A266" s="21" t="s">
        <v>249</v>
      </c>
      <c r="B266" s="21"/>
      <c r="C266" s="14"/>
      <c r="D266" s="14"/>
      <c r="E266" s="14"/>
      <c r="F266" s="27"/>
      <c r="G266" s="14"/>
      <c r="H266" s="14"/>
      <c r="I266" s="14"/>
      <c r="J266" s="103" t="str">
        <f>+J$5</f>
        <v>WITNESS:  D. YARDLEY</v>
      </c>
      <c r="K266" s="27"/>
      <c r="L266" s="108"/>
      <c r="M266" s="14"/>
      <c r="N266" s="27"/>
      <c r="O266" s="108"/>
      <c r="P266" s="27"/>
      <c r="Q266" s="15"/>
      <c r="R266" s="15"/>
      <c r="S266" s="21"/>
      <c r="T266" s="103" t="str">
        <f>+T$5</f>
        <v>WITNESS:  D. YARDLEY</v>
      </c>
      <c r="U266" s="108"/>
      <c r="V266" s="15"/>
      <c r="W266" s="28"/>
      <c r="X266" s="107"/>
    </row>
    <row r="267" spans="1:24" ht="18" x14ac:dyDescent="0.25">
      <c r="A267" s="5"/>
      <c r="B267" s="7"/>
      <c r="C267" s="7"/>
      <c r="D267" s="7"/>
      <c r="E267" s="7"/>
      <c r="F267" s="10"/>
      <c r="G267" s="7"/>
      <c r="H267" s="7"/>
      <c r="I267" s="7"/>
      <c r="J267" s="10"/>
      <c r="K267" s="10"/>
      <c r="M267" s="7"/>
      <c r="N267" s="10"/>
      <c r="O267" s="5"/>
      <c r="P267" s="10"/>
      <c r="Q267" s="5"/>
      <c r="R267" s="5"/>
      <c r="S267" s="5"/>
      <c r="T267" s="5"/>
      <c r="U267" s="5"/>
      <c r="V267" s="5"/>
      <c r="W267" s="28"/>
      <c r="X267" s="107"/>
    </row>
    <row r="268" spans="1:24" ht="18" x14ac:dyDescent="0.25">
      <c r="A268" s="5"/>
      <c r="B268" s="5"/>
      <c r="C268" s="7"/>
      <c r="D268" s="7"/>
      <c r="E268" s="7"/>
      <c r="F268" s="8" t="s">
        <v>261</v>
      </c>
      <c r="G268" s="5"/>
      <c r="H268" s="7"/>
      <c r="I268" s="7"/>
      <c r="J268" s="8"/>
      <c r="K268" s="8"/>
      <c r="M268" s="7"/>
      <c r="N268" s="8"/>
      <c r="O268" s="5"/>
      <c r="P268" s="8" t="s">
        <v>261</v>
      </c>
      <c r="Q268" s="5"/>
      <c r="R268" s="5"/>
      <c r="S268" s="5"/>
      <c r="T268" s="5"/>
      <c r="U268" s="5"/>
      <c r="V268" s="5"/>
      <c r="W268" s="28"/>
      <c r="X268" s="107"/>
    </row>
    <row r="269" spans="1:24" ht="18" x14ac:dyDescent="0.25">
      <c r="A269" s="5"/>
      <c r="B269" s="5"/>
      <c r="C269" s="7"/>
      <c r="D269" s="7"/>
      <c r="E269" s="7"/>
      <c r="F269" s="5"/>
      <c r="G269" s="5"/>
      <c r="H269" s="7"/>
      <c r="I269" s="7"/>
      <c r="J269" s="7"/>
      <c r="K269" s="8"/>
      <c r="M269" s="7"/>
      <c r="N269" s="8"/>
      <c r="O269" s="5"/>
      <c r="P269" s="5"/>
      <c r="Q269" s="5"/>
      <c r="R269" s="5"/>
      <c r="S269" s="5"/>
      <c r="T269" s="5"/>
      <c r="U269" s="5"/>
      <c r="V269" s="5"/>
      <c r="W269" s="28"/>
      <c r="X269" s="107"/>
    </row>
    <row r="270" spans="1:24" ht="18" x14ac:dyDescent="0.25">
      <c r="A270" s="5"/>
      <c r="B270" s="7"/>
      <c r="C270" s="7"/>
      <c r="D270" s="7"/>
      <c r="E270" s="7"/>
      <c r="F270" s="5"/>
      <c r="G270" s="5"/>
      <c r="H270" s="7"/>
      <c r="I270" s="7"/>
      <c r="J270" s="7"/>
      <c r="K270" s="5"/>
      <c r="L270" s="5"/>
      <c r="M270" s="7"/>
      <c r="N270" s="5"/>
      <c r="O270" s="5"/>
      <c r="P270" s="5"/>
      <c r="Q270" s="5"/>
      <c r="R270" s="5"/>
      <c r="S270" s="5"/>
      <c r="T270" s="5"/>
      <c r="U270" s="5"/>
      <c r="V270" s="5"/>
      <c r="W270" s="28"/>
      <c r="X270" s="107"/>
    </row>
    <row r="271" spans="1:24" ht="18" x14ac:dyDescent="0.25">
      <c r="A271" s="5"/>
      <c r="B271" s="6"/>
      <c r="C271" s="11"/>
      <c r="D271" s="61"/>
      <c r="E271" s="61"/>
      <c r="F271" s="61" t="s">
        <v>72</v>
      </c>
      <c r="G271" s="61" t="s">
        <v>73</v>
      </c>
      <c r="H271" s="61" t="s">
        <v>73</v>
      </c>
      <c r="I271" s="110"/>
      <c r="J271" s="110"/>
      <c r="K271" s="110"/>
      <c r="L271" s="110"/>
      <c r="M271" s="110"/>
      <c r="N271" s="110"/>
      <c r="O271" s="61"/>
      <c r="P271" s="61"/>
      <c r="Q271" s="61" t="s">
        <v>171</v>
      </c>
      <c r="R271" s="61"/>
      <c r="S271" s="61"/>
      <c r="T271" s="61" t="s">
        <v>252</v>
      </c>
      <c r="U271" s="61"/>
      <c r="V271" s="61"/>
      <c r="W271" s="111"/>
      <c r="X271" s="109"/>
    </row>
    <row r="272" spans="1:24" ht="18" x14ac:dyDescent="0.25">
      <c r="A272" s="5"/>
      <c r="B272" s="7"/>
      <c r="C272" s="11"/>
      <c r="D272" s="61" t="s">
        <v>72</v>
      </c>
      <c r="E272" s="61" t="s">
        <v>72</v>
      </c>
      <c r="F272" s="61" t="s">
        <v>175</v>
      </c>
      <c r="G272" s="61" t="s">
        <v>175</v>
      </c>
      <c r="H272" s="61" t="s">
        <v>74</v>
      </c>
      <c r="I272" s="61" t="s">
        <v>75</v>
      </c>
      <c r="J272" s="61" t="s">
        <v>76</v>
      </c>
      <c r="K272" s="61" t="s">
        <v>76</v>
      </c>
      <c r="L272" s="61" t="s">
        <v>76</v>
      </c>
      <c r="M272" s="61" t="s">
        <v>76</v>
      </c>
      <c r="N272" s="61" t="s">
        <v>76</v>
      </c>
      <c r="O272" s="61" t="s">
        <v>73</v>
      </c>
      <c r="P272" s="61"/>
      <c r="Q272" s="61" t="s">
        <v>83</v>
      </c>
      <c r="R272" s="110" t="s">
        <v>83</v>
      </c>
      <c r="S272" s="110" t="s">
        <v>83</v>
      </c>
      <c r="T272" s="110" t="s">
        <v>84</v>
      </c>
      <c r="U272" s="61" t="s">
        <v>85</v>
      </c>
      <c r="V272" s="69" t="s">
        <v>190</v>
      </c>
      <c r="W272" s="111"/>
      <c r="X272" s="109"/>
    </row>
    <row r="273" spans="1:25" s="108" customFormat="1" ht="18" x14ac:dyDescent="0.25">
      <c r="A273" s="25" t="s">
        <v>70</v>
      </c>
      <c r="B273" s="14"/>
      <c r="C273" s="237" t="s">
        <v>19</v>
      </c>
      <c r="D273" s="238" t="s">
        <v>182</v>
      </c>
      <c r="E273" s="238" t="s">
        <v>172</v>
      </c>
      <c r="F273" s="239" t="s">
        <v>176</v>
      </c>
      <c r="G273" s="239" t="s">
        <v>176</v>
      </c>
      <c r="H273" s="240" t="s">
        <v>77</v>
      </c>
      <c r="I273" s="240" t="s">
        <v>78</v>
      </c>
      <c r="J273" s="240" t="s">
        <v>79</v>
      </c>
      <c r="K273" s="240" t="s">
        <v>80</v>
      </c>
      <c r="L273" s="240" t="s">
        <v>81</v>
      </c>
      <c r="M273" s="240" t="s">
        <v>82</v>
      </c>
      <c r="N273" s="240" t="s">
        <v>86</v>
      </c>
      <c r="O273" s="240" t="s">
        <v>172</v>
      </c>
      <c r="P273" s="240" t="s">
        <v>247</v>
      </c>
      <c r="Q273" s="240" t="s">
        <v>78</v>
      </c>
      <c r="R273" s="240" t="s">
        <v>78</v>
      </c>
      <c r="S273" s="240" t="s">
        <v>87</v>
      </c>
      <c r="T273" s="240" t="s">
        <v>88</v>
      </c>
      <c r="U273" s="240"/>
      <c r="V273" s="241" t="s">
        <v>191</v>
      </c>
      <c r="W273" s="242"/>
      <c r="X273" s="240"/>
    </row>
    <row r="274" spans="1:25" s="65" customFormat="1" ht="19.5" x14ac:dyDescent="0.35">
      <c r="A274" s="10">
        <v>1</v>
      </c>
      <c r="B274" s="143" t="s">
        <v>56</v>
      </c>
      <c r="C274" s="144">
        <f>SUM(D274:V274)</f>
        <v>330679959.15857863</v>
      </c>
      <c r="D274" s="144">
        <v>126778150.54398577</v>
      </c>
      <c r="E274" s="144">
        <v>314482.77639452287</v>
      </c>
      <c r="F274" s="144">
        <v>4534.9649968701287</v>
      </c>
      <c r="G274" s="144">
        <v>8987.6567015657292</v>
      </c>
      <c r="H274" s="144">
        <v>157645.80780093413</v>
      </c>
      <c r="I274" s="144">
        <v>9292485.7533416264</v>
      </c>
      <c r="J274" s="144">
        <v>43174708.694608279</v>
      </c>
      <c r="K274" s="144">
        <v>52925993.205818668</v>
      </c>
      <c r="L274" s="144">
        <v>26827559.504849676</v>
      </c>
      <c r="M274" s="144">
        <v>15483917.089868121</v>
      </c>
      <c r="N274" s="144">
        <v>22915793.114413418</v>
      </c>
      <c r="O274" s="144">
        <v>1328627.1479778886</v>
      </c>
      <c r="P274" s="144">
        <v>4528224.3575000996</v>
      </c>
      <c r="Q274" s="144">
        <v>4456300.7842368623</v>
      </c>
      <c r="R274" s="144">
        <v>6361214.4191207085</v>
      </c>
      <c r="S274" s="144">
        <v>654275.60156598687</v>
      </c>
      <c r="T274" s="144">
        <v>-6.5578554702925007E-2</v>
      </c>
      <c r="U274" s="144">
        <v>406363.77262983931</v>
      </c>
      <c r="V274" s="144">
        <v>15060694.028346417</v>
      </c>
      <c r="W274" s="139"/>
      <c r="X274" s="140"/>
      <c r="Y274" s="93">
        <f>SUM(D274:V274)-C274</f>
        <v>0</v>
      </c>
    </row>
    <row r="275" spans="1:25" s="57" customFormat="1" ht="25.5" customHeight="1" x14ac:dyDescent="0.3">
      <c r="A275" s="94"/>
      <c r="B275" s="162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95"/>
      <c r="X275" s="96"/>
      <c r="Y275" s="57">
        <f>SUM(D275:V275)</f>
        <v>0</v>
      </c>
    </row>
    <row r="276" spans="1:25" ht="18" x14ac:dyDescent="0.25">
      <c r="A276" s="10">
        <f>+A274+1</f>
        <v>2</v>
      </c>
      <c r="B276" s="164" t="s">
        <v>102</v>
      </c>
      <c r="C276" s="119">
        <f t="shared" ref="C276" si="112">C234</f>
        <v>14495546.867221706</v>
      </c>
      <c r="D276" s="119">
        <f>+D234</f>
        <v>7249750.7416617628</v>
      </c>
      <c r="E276" s="119">
        <f t="shared" ref="E276:V276" si="113">+E234</f>
        <v>15037.656885048627</v>
      </c>
      <c r="F276" s="119">
        <f t="shared" si="113"/>
        <v>83.564996870128667</v>
      </c>
      <c r="G276" s="119">
        <f t="shared" si="113"/>
        <v>226.15670156572986</v>
      </c>
      <c r="H276" s="119">
        <f t="shared" si="113"/>
        <v>442.45207768271058</v>
      </c>
      <c r="I276" s="119">
        <f t="shared" si="113"/>
        <v>589076.50284315669</v>
      </c>
      <c r="J276" s="119">
        <f t="shared" si="113"/>
        <v>1048136.6682616605</v>
      </c>
      <c r="K276" s="119">
        <f t="shared" si="113"/>
        <v>514439.75510889565</v>
      </c>
      <c r="L276" s="119">
        <f t="shared" si="113"/>
        <v>99818.783614614236</v>
      </c>
      <c r="M276" s="119">
        <f t="shared" si="113"/>
        <v>10687.347876960093</v>
      </c>
      <c r="N276" s="119">
        <f t="shared" si="113"/>
        <v>288237.94265886495</v>
      </c>
      <c r="O276" s="119">
        <f t="shared" si="113"/>
        <v>60916.790082940919</v>
      </c>
      <c r="P276" s="119">
        <f t="shared" si="113"/>
        <v>4528224.3575000996</v>
      </c>
      <c r="Q276" s="119">
        <f t="shared" si="113"/>
        <v>43430.783507828644</v>
      </c>
      <c r="R276" s="119">
        <f t="shared" si="113"/>
        <v>22584.007424070896</v>
      </c>
      <c r="S276" s="119">
        <f t="shared" si="113"/>
        <v>1737.2313403131461</v>
      </c>
      <c r="T276" s="119">
        <f t="shared" si="113"/>
        <v>0</v>
      </c>
      <c r="U276" s="119">
        <f t="shared" si="113"/>
        <v>9767.7303430658794</v>
      </c>
      <c r="V276" s="119">
        <f t="shared" si="113"/>
        <v>12948.394336301197</v>
      </c>
      <c r="W276" s="122"/>
      <c r="X276" s="107"/>
      <c r="Y276" s="66">
        <f>SUM(D276:V276)-C276</f>
        <v>0</v>
      </c>
    </row>
    <row r="277" spans="1:25" ht="18" x14ac:dyDescent="0.25">
      <c r="A277" s="10"/>
      <c r="B277" s="7"/>
      <c r="C277" s="7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28"/>
      <c r="X277" s="107"/>
    </row>
    <row r="278" spans="1:25" ht="18" x14ac:dyDescent="0.25">
      <c r="A278" s="10">
        <f>+A276+1</f>
        <v>3</v>
      </c>
      <c r="B278" s="121" t="s">
        <v>57</v>
      </c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5"/>
      <c r="O278" s="5"/>
      <c r="P278" s="5"/>
      <c r="Q278" s="5"/>
      <c r="R278" s="5"/>
      <c r="S278" s="5"/>
      <c r="T278" s="5"/>
      <c r="U278" s="5"/>
      <c r="V278" s="5"/>
      <c r="W278" s="28"/>
      <c r="X278" s="107"/>
    </row>
    <row r="279" spans="1:25" s="113" customFormat="1" ht="19.5" x14ac:dyDescent="0.35">
      <c r="A279" s="74">
        <f>+A278+1</f>
        <v>4</v>
      </c>
      <c r="B279" s="165" t="s">
        <v>58</v>
      </c>
      <c r="C279" s="11"/>
      <c r="D279" s="166" t="s">
        <v>192</v>
      </c>
      <c r="E279" s="167">
        <v>27.74</v>
      </c>
      <c r="F279" s="167">
        <v>26.2</v>
      </c>
      <c r="G279" s="167">
        <v>48</v>
      </c>
      <c r="H279" s="167">
        <v>0</v>
      </c>
      <c r="I279" s="167">
        <v>32.5</v>
      </c>
      <c r="J279" s="167">
        <v>48</v>
      </c>
      <c r="K279" s="167">
        <v>92</v>
      </c>
      <c r="L279" s="167">
        <v>495</v>
      </c>
      <c r="M279" s="167">
        <v>795</v>
      </c>
      <c r="N279" s="167">
        <v>1695</v>
      </c>
      <c r="O279" s="167">
        <v>48</v>
      </c>
      <c r="P279" s="167">
        <v>0</v>
      </c>
      <c r="Q279" s="167">
        <v>1695</v>
      </c>
      <c r="R279" s="167">
        <v>1895</v>
      </c>
      <c r="S279" s="167">
        <v>2095</v>
      </c>
      <c r="T279" s="167">
        <v>62</v>
      </c>
      <c r="U279" s="167">
        <v>495</v>
      </c>
      <c r="V279" s="167">
        <v>0</v>
      </c>
      <c r="W279" s="168"/>
      <c r="X279" s="169"/>
    </row>
    <row r="280" spans="1:25" s="113" customFormat="1" ht="19.5" x14ac:dyDescent="0.35">
      <c r="A280" s="74">
        <f>+A279+1</f>
        <v>5</v>
      </c>
      <c r="B280" s="76" t="s">
        <v>69</v>
      </c>
      <c r="C280" s="75">
        <f>SUM(D280:V280)</f>
        <v>5105989.4699999988</v>
      </c>
      <c r="D280" s="75">
        <v>4602395.8809620542</v>
      </c>
      <c r="E280" s="75">
        <v>10797.097431896646</v>
      </c>
      <c r="F280" s="75">
        <v>60</v>
      </c>
      <c r="G280" s="75">
        <v>60</v>
      </c>
      <c r="H280" s="75">
        <v>0</v>
      </c>
      <c r="I280" s="75">
        <v>142301.90777363992</v>
      </c>
      <c r="J280" s="75">
        <v>222180.70633308997</v>
      </c>
      <c r="K280" s="75">
        <v>99564.038373371979</v>
      </c>
      <c r="L280" s="75">
        <v>11493.839125947003</v>
      </c>
      <c r="M280" s="75">
        <v>2016</v>
      </c>
      <c r="N280" s="75">
        <v>1980</v>
      </c>
      <c r="O280" s="75">
        <v>12324</v>
      </c>
      <c r="P280" s="75">
        <v>0</v>
      </c>
      <c r="Q280" s="75">
        <v>300</v>
      </c>
      <c r="R280" s="75">
        <v>156</v>
      </c>
      <c r="S280" s="75">
        <v>12</v>
      </c>
      <c r="T280" s="75">
        <v>0</v>
      </c>
      <c r="U280" s="75">
        <v>156</v>
      </c>
      <c r="V280" s="75">
        <v>192</v>
      </c>
      <c r="W280" s="170"/>
      <c r="X280" s="171"/>
      <c r="Y280" s="113">
        <f>SUM(D280:V280)-C280</f>
        <v>0</v>
      </c>
    </row>
    <row r="281" spans="1:25" s="113" customFormat="1" ht="19.5" x14ac:dyDescent="0.35">
      <c r="A281" s="74"/>
      <c r="B281" s="76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170"/>
      <c r="X281" s="171"/>
    </row>
    <row r="282" spans="1:25" s="113" customFormat="1" ht="19.5" x14ac:dyDescent="0.35">
      <c r="A282" s="74">
        <f>+A280+1</f>
        <v>6</v>
      </c>
      <c r="B282" s="76" t="s">
        <v>183</v>
      </c>
      <c r="C282" s="75"/>
      <c r="D282" s="75">
        <v>1250868.7249912592</v>
      </c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170"/>
      <c r="X282" s="171"/>
    </row>
    <row r="283" spans="1:25" s="113" customFormat="1" ht="19.5" x14ac:dyDescent="0.35">
      <c r="A283" s="74">
        <f>+A282+1</f>
        <v>7</v>
      </c>
      <c r="B283" s="76" t="s">
        <v>184</v>
      </c>
      <c r="C283" s="75"/>
      <c r="D283" s="167">
        <v>16.2</v>
      </c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170"/>
      <c r="X283" s="171"/>
    </row>
    <row r="284" spans="1:25" s="113" customFormat="1" ht="19.5" x14ac:dyDescent="0.35">
      <c r="A284" s="70"/>
      <c r="B284" s="73"/>
      <c r="C284" s="71"/>
      <c r="D284" s="72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170"/>
      <c r="X284" s="171"/>
    </row>
    <row r="285" spans="1:25" s="113" customFormat="1" ht="19.5" x14ac:dyDescent="0.35">
      <c r="A285" s="74">
        <f>+A283+1</f>
        <v>8</v>
      </c>
      <c r="B285" s="76" t="s">
        <v>185</v>
      </c>
      <c r="C285" s="75"/>
      <c r="D285" s="75">
        <v>2247340.4154445892</v>
      </c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170"/>
      <c r="X285" s="171"/>
    </row>
    <row r="286" spans="1:25" s="113" customFormat="1" ht="19.5" x14ac:dyDescent="0.35">
      <c r="A286" s="74">
        <f>+A285+1</f>
        <v>9</v>
      </c>
      <c r="B286" s="76" t="s">
        <v>186</v>
      </c>
      <c r="C286" s="75"/>
      <c r="D286" s="167">
        <v>19.2</v>
      </c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170"/>
      <c r="X286" s="171"/>
    </row>
    <row r="287" spans="1:25" s="113" customFormat="1" ht="19.5" x14ac:dyDescent="0.35">
      <c r="A287" s="70"/>
      <c r="B287" s="73"/>
      <c r="C287" s="71"/>
      <c r="D287" s="72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170"/>
      <c r="X287" s="171"/>
    </row>
    <row r="288" spans="1:25" s="113" customFormat="1" ht="19.5" x14ac:dyDescent="0.35">
      <c r="A288" s="74">
        <f>+A286+1</f>
        <v>10</v>
      </c>
      <c r="B288" s="76" t="s">
        <v>187</v>
      </c>
      <c r="C288" s="75"/>
      <c r="D288" s="75">
        <v>1104186.7405262059</v>
      </c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170"/>
      <c r="X288" s="171"/>
    </row>
    <row r="289" spans="1:25" s="113" customFormat="1" ht="19.5" x14ac:dyDescent="0.35">
      <c r="A289" s="74">
        <f>+A288+1</f>
        <v>11</v>
      </c>
      <c r="B289" s="76" t="s">
        <v>188</v>
      </c>
      <c r="C289" s="75"/>
      <c r="D289" s="167">
        <v>26.2</v>
      </c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170"/>
      <c r="X289" s="171"/>
    </row>
    <row r="290" spans="1:25" s="113" customFormat="1" ht="19.5" x14ac:dyDescent="0.35">
      <c r="A290" s="74"/>
      <c r="B290" s="76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170"/>
      <c r="X290" s="171"/>
    </row>
    <row r="291" spans="1:25" s="113" customFormat="1" ht="19.5" x14ac:dyDescent="0.35">
      <c r="A291" s="74">
        <f>+A289+1</f>
        <v>12</v>
      </c>
      <c r="B291" s="76" t="s">
        <v>189</v>
      </c>
      <c r="C291" s="75"/>
      <c r="D291" s="77">
        <v>0</v>
      </c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170"/>
      <c r="X291" s="171"/>
    </row>
    <row r="292" spans="1:25" s="67" customFormat="1" ht="19.5" x14ac:dyDescent="0.35">
      <c r="A292" s="74">
        <f>+A291+1</f>
        <v>13</v>
      </c>
      <c r="B292" s="172" t="s">
        <v>116</v>
      </c>
      <c r="C292" s="97">
        <f>SUM(D292:V292)</f>
        <v>129242345.21026751</v>
      </c>
      <c r="D292" s="97">
        <f>(D282*D283)+(D285*D286)+(D288*D289)</f>
        <v>92342701.923181087</v>
      </c>
      <c r="E292" s="97">
        <f t="shared" ref="E292:V292" si="114">E279*E280</f>
        <v>299511.48276081291</v>
      </c>
      <c r="F292" s="97">
        <f t="shared" si="114"/>
        <v>1572</v>
      </c>
      <c r="G292" s="97">
        <f t="shared" si="114"/>
        <v>2880</v>
      </c>
      <c r="H292" s="97">
        <f t="shared" si="114"/>
        <v>0</v>
      </c>
      <c r="I292" s="97">
        <f t="shared" si="114"/>
        <v>4624812.0026432974</v>
      </c>
      <c r="J292" s="97">
        <f t="shared" si="114"/>
        <v>10664673.903988319</v>
      </c>
      <c r="K292" s="97">
        <f t="shared" si="114"/>
        <v>9159891.5303502213</v>
      </c>
      <c r="L292" s="97">
        <f t="shared" si="114"/>
        <v>5689450.3673437666</v>
      </c>
      <c r="M292" s="97">
        <f t="shared" si="114"/>
        <v>1602720</v>
      </c>
      <c r="N292" s="97">
        <f t="shared" si="114"/>
        <v>3356100</v>
      </c>
      <c r="O292" s="97">
        <f t="shared" si="114"/>
        <v>591552</v>
      </c>
      <c r="P292" s="97">
        <f t="shared" si="114"/>
        <v>0</v>
      </c>
      <c r="Q292" s="97">
        <f t="shared" si="114"/>
        <v>508500</v>
      </c>
      <c r="R292" s="97">
        <f t="shared" si="114"/>
        <v>295620</v>
      </c>
      <c r="S292" s="97">
        <f t="shared" si="114"/>
        <v>25140</v>
      </c>
      <c r="T292" s="97">
        <f t="shared" si="114"/>
        <v>0</v>
      </c>
      <c r="U292" s="97">
        <f t="shared" si="114"/>
        <v>77220</v>
      </c>
      <c r="V292" s="97">
        <f t="shared" si="114"/>
        <v>0</v>
      </c>
      <c r="W292" s="173"/>
      <c r="X292" s="174"/>
      <c r="Y292" s="67">
        <f>SUM(D292:V292)-C292</f>
        <v>0</v>
      </c>
    </row>
    <row r="293" spans="1:25" s="113" customFormat="1" ht="19.5" x14ac:dyDescent="0.35">
      <c r="A293" s="74"/>
      <c r="B293" s="76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115"/>
      <c r="X293" s="124"/>
    </row>
    <row r="294" spans="1:25" s="113" customFormat="1" ht="18" x14ac:dyDescent="0.25">
      <c r="A294" s="74">
        <f>+A292+1</f>
        <v>14</v>
      </c>
      <c r="B294" s="76" t="s">
        <v>117</v>
      </c>
      <c r="C294" s="11">
        <f>SUM(D294:V294)</f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62"/>
      <c r="X294" s="114"/>
    </row>
    <row r="295" spans="1:25" s="113" customFormat="1" ht="18" x14ac:dyDescent="0.25">
      <c r="A295" s="74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2"/>
      <c r="O295" s="12"/>
      <c r="P295" s="12"/>
      <c r="Q295" s="12"/>
      <c r="R295" s="12"/>
      <c r="S295" s="12"/>
      <c r="T295" s="12"/>
      <c r="U295" s="12"/>
      <c r="V295" s="12"/>
      <c r="W295" s="62"/>
      <c r="X295" s="114"/>
    </row>
    <row r="296" spans="1:25" ht="19.5" x14ac:dyDescent="0.35">
      <c r="A296" s="10">
        <f>+A294+1</f>
        <v>15</v>
      </c>
      <c r="B296" s="121" t="s">
        <v>118</v>
      </c>
      <c r="C296" s="119">
        <f t="shared" ref="C296:U296" si="115">C$274-C$276-C$292-C$294</f>
        <v>186942067.08108941</v>
      </c>
      <c r="D296" s="119">
        <f t="shared" si="115"/>
        <v>27185697.879142925</v>
      </c>
      <c r="E296" s="119">
        <f t="shared" si="115"/>
        <v>-66.363251338654663</v>
      </c>
      <c r="F296" s="119">
        <f t="shared" si="115"/>
        <v>2879.3999999999996</v>
      </c>
      <c r="G296" s="119">
        <f t="shared" si="115"/>
        <v>5881.5</v>
      </c>
      <c r="H296" s="119">
        <f t="shared" si="115"/>
        <v>157203.35572325141</v>
      </c>
      <c r="I296" s="119">
        <f t="shared" si="115"/>
        <v>4078597.2478551725</v>
      </c>
      <c r="J296" s="119">
        <f t="shared" si="115"/>
        <v>31461898.1223583</v>
      </c>
      <c r="K296" s="119">
        <f t="shared" si="115"/>
        <v>43251661.920359552</v>
      </c>
      <c r="L296" s="119">
        <f t="shared" si="115"/>
        <v>21038290.353891298</v>
      </c>
      <c r="M296" s="119">
        <f t="shared" si="115"/>
        <v>13870509.74199116</v>
      </c>
      <c r="N296" s="119">
        <f t="shared" si="115"/>
        <v>19271455.171754554</v>
      </c>
      <c r="O296" s="119">
        <f t="shared" si="115"/>
        <v>676158.35789494775</v>
      </c>
      <c r="P296" s="119">
        <v>0</v>
      </c>
      <c r="Q296" s="119">
        <f t="shared" si="115"/>
        <v>3904370.0007290337</v>
      </c>
      <c r="R296" s="119">
        <f t="shared" si="115"/>
        <v>6043010.411696638</v>
      </c>
      <c r="S296" s="119">
        <f t="shared" si="115"/>
        <v>627398.37022567377</v>
      </c>
      <c r="T296" s="119">
        <f t="shared" si="115"/>
        <v>-6.5578554702925007E-2</v>
      </c>
      <c r="U296" s="119">
        <f t="shared" si="115"/>
        <v>319376.04228677345</v>
      </c>
      <c r="V296" s="119">
        <f>V$274-V$276-V$292-V$294</f>
        <v>15047745.634010116</v>
      </c>
      <c r="W296" s="122"/>
      <c r="X296" s="123"/>
      <c r="Y296" s="66">
        <f>SUM(D296:V296)-C296</f>
        <v>0</v>
      </c>
    </row>
    <row r="297" spans="1:25" ht="19.5" x14ac:dyDescent="0.35">
      <c r="A297" s="10"/>
      <c r="B297" s="7"/>
      <c r="C297" s="19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29"/>
      <c r="X297" s="4"/>
    </row>
    <row r="298" spans="1:25" ht="19.5" x14ac:dyDescent="0.35">
      <c r="A298" s="10">
        <f>+A296+1</f>
        <v>16</v>
      </c>
      <c r="B298" s="121" t="s">
        <v>59</v>
      </c>
      <c r="C298" s="119">
        <f t="shared" ref="C298:V298" si="116">C29</f>
        <v>2096125688.3775043</v>
      </c>
      <c r="D298" s="119">
        <f t="shared" si="116"/>
        <v>78899285.935958534</v>
      </c>
      <c r="E298" s="119">
        <f t="shared" si="116"/>
        <v>0</v>
      </c>
      <c r="F298" s="119">
        <f t="shared" si="116"/>
        <v>30000</v>
      </c>
      <c r="G298" s="119">
        <f t="shared" si="116"/>
        <v>30000</v>
      </c>
      <c r="H298" s="119">
        <f t="shared" si="116"/>
        <v>521117.49999999994</v>
      </c>
      <c r="I298" s="119">
        <f t="shared" si="116"/>
        <v>9367587.1761954669</v>
      </c>
      <c r="J298" s="119">
        <f t="shared" si="116"/>
        <v>91955094.850151956</v>
      </c>
      <c r="K298" s="119">
        <f t="shared" si="116"/>
        <v>150398054.67159384</v>
      </c>
      <c r="L298" s="119">
        <f t="shared" si="116"/>
        <v>90137453.779339164</v>
      </c>
      <c r="M298" s="119">
        <f t="shared" si="116"/>
        <v>71639159.337326512</v>
      </c>
      <c r="N298" s="119">
        <f t="shared" si="116"/>
        <v>150361272.54718637</v>
      </c>
      <c r="O298" s="119">
        <f t="shared" si="116"/>
        <v>1277297.8</v>
      </c>
      <c r="P298" s="119">
        <f t="shared" ref="P298" si="117">P29</f>
        <v>0</v>
      </c>
      <c r="Q298" s="119">
        <f t="shared" si="116"/>
        <v>43370926.66538731</v>
      </c>
      <c r="R298" s="119">
        <f t="shared" si="116"/>
        <v>128823343.36438239</v>
      </c>
      <c r="S298" s="119">
        <f t="shared" si="116"/>
        <v>54522387.201456338</v>
      </c>
      <c r="T298" s="119">
        <f t="shared" si="116"/>
        <v>0</v>
      </c>
      <c r="U298" s="119">
        <f t="shared" si="116"/>
        <v>1734497.6288625919</v>
      </c>
      <c r="V298" s="119">
        <f t="shared" si="116"/>
        <v>1223058209.9196639</v>
      </c>
      <c r="W298" s="122"/>
      <c r="X298" s="123"/>
      <c r="Y298" s="66">
        <f>SUM(D298:V298)-C298</f>
        <v>0</v>
      </c>
    </row>
    <row r="299" spans="1:25" ht="18" x14ac:dyDescent="0.25">
      <c r="A299" s="10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5"/>
      <c r="O299" s="5"/>
      <c r="P299" s="5"/>
      <c r="Q299" s="5"/>
      <c r="R299" s="5"/>
      <c r="S299" s="5"/>
      <c r="T299" s="5"/>
      <c r="U299" s="5"/>
      <c r="V299" s="5"/>
      <c r="W299" s="28"/>
      <c r="X299" s="107"/>
    </row>
    <row r="300" spans="1:25" ht="19.5" x14ac:dyDescent="0.35">
      <c r="A300" s="10">
        <f>+A298+1</f>
        <v>17</v>
      </c>
      <c r="B300" s="164" t="s">
        <v>119</v>
      </c>
      <c r="C300" s="20"/>
      <c r="D300" s="68">
        <f>IF(D296=0,0,D296/D298)</f>
        <v>0.34456202685039738</v>
      </c>
      <c r="E300" s="68">
        <f t="shared" ref="E300:U300" si="118">IF(E298=0,0,E296/E298)</f>
        <v>0</v>
      </c>
      <c r="F300" s="68">
        <f>IF(F298=0,0,F296/F298)</f>
        <v>9.5979999999999982E-2</v>
      </c>
      <c r="G300" s="68">
        <f>IF(G298=0,0,G296/G298)</f>
        <v>0.19605</v>
      </c>
      <c r="H300" s="68">
        <f t="shared" si="118"/>
        <v>0.30166585409864655</v>
      </c>
      <c r="I300" s="68">
        <f t="shared" si="118"/>
        <v>0.43539464017154156</v>
      </c>
      <c r="J300" s="68">
        <f t="shared" si="118"/>
        <v>0.3421441538788898</v>
      </c>
      <c r="K300" s="68">
        <f t="shared" si="118"/>
        <v>0.28758125904489262</v>
      </c>
      <c r="L300" s="68">
        <f t="shared" si="118"/>
        <v>0.23340231470698128</v>
      </c>
      <c r="M300" s="68">
        <f t="shared" si="118"/>
        <v>0.19361631083189076</v>
      </c>
      <c r="N300" s="68">
        <f t="shared" si="118"/>
        <v>0.12816767805491128</v>
      </c>
      <c r="O300" s="68">
        <f t="shared" si="118"/>
        <v>0.52936625890606537</v>
      </c>
      <c r="P300" s="68">
        <f t="shared" ref="P300" si="119">IF(P298=0,0,P296/P298)</f>
        <v>0</v>
      </c>
      <c r="Q300" s="68">
        <f t="shared" si="118"/>
        <v>9.0022747977044335E-2</v>
      </c>
      <c r="R300" s="68">
        <f t="shared" si="118"/>
        <v>4.6909280988024993E-2</v>
      </c>
      <c r="S300" s="68">
        <f t="shared" si="118"/>
        <v>1.1507169851303126E-2</v>
      </c>
      <c r="T300" s="68">
        <f t="shared" si="118"/>
        <v>0</v>
      </c>
      <c r="U300" s="68">
        <f t="shared" si="118"/>
        <v>0.18413172608152042</v>
      </c>
      <c r="V300" s="175" t="s">
        <v>250</v>
      </c>
      <c r="W300" s="176"/>
      <c r="X300" s="177"/>
    </row>
    <row r="301" spans="1:25" ht="19.5" x14ac:dyDescent="0.35">
      <c r="A301" s="10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10"/>
      <c r="W301" s="29"/>
      <c r="X301" s="4"/>
    </row>
    <row r="302" spans="1:25" s="67" customFormat="1" ht="19.5" x14ac:dyDescent="0.35">
      <c r="A302" s="10">
        <f>+A300+1</f>
        <v>18</v>
      </c>
      <c r="B302" s="178" t="s">
        <v>120</v>
      </c>
      <c r="C302" s="179"/>
      <c r="D302" s="180">
        <f t="shared" ref="D302:U302" si="120">ROUND(D300,5)</f>
        <v>0.34455999999999998</v>
      </c>
      <c r="E302" s="180">
        <f>+D302</f>
        <v>0.34455999999999998</v>
      </c>
      <c r="F302" s="180">
        <f>ROUND(F300,5)</f>
        <v>9.5979999999999996E-2</v>
      </c>
      <c r="G302" s="180">
        <f>ROUND(G300,5)</f>
        <v>0.19605</v>
      </c>
      <c r="H302" s="180">
        <f t="shared" si="120"/>
        <v>0.30166999999999999</v>
      </c>
      <c r="I302" s="180">
        <f t="shared" si="120"/>
        <v>0.43539</v>
      </c>
      <c r="J302" s="180">
        <f t="shared" si="120"/>
        <v>0.34214</v>
      </c>
      <c r="K302" s="180">
        <f t="shared" si="120"/>
        <v>0.28758</v>
      </c>
      <c r="L302" s="180">
        <f t="shared" si="120"/>
        <v>0.2334</v>
      </c>
      <c r="M302" s="180">
        <f t="shared" si="120"/>
        <v>0.19361999999999999</v>
      </c>
      <c r="N302" s="180">
        <f t="shared" si="120"/>
        <v>0.12817000000000001</v>
      </c>
      <c r="O302" s="180">
        <f t="shared" si="120"/>
        <v>0.52937000000000001</v>
      </c>
      <c r="P302" s="180">
        <f t="shared" ref="P302" si="121">ROUND(P300,5)</f>
        <v>0</v>
      </c>
      <c r="Q302" s="180">
        <f t="shared" si="120"/>
        <v>9.0020000000000003E-2</v>
      </c>
      <c r="R302" s="180">
        <f t="shared" si="120"/>
        <v>4.691E-2</v>
      </c>
      <c r="S302" s="180">
        <f t="shared" si="120"/>
        <v>1.1509999999999999E-2</v>
      </c>
      <c r="T302" s="180">
        <f t="shared" si="120"/>
        <v>0</v>
      </c>
      <c r="U302" s="180">
        <f t="shared" si="120"/>
        <v>0.18412999999999999</v>
      </c>
      <c r="V302" s="181" t="str">
        <f>+V300</f>
        <v>Negotiated</v>
      </c>
      <c r="W302" s="182"/>
      <c r="X302" s="183"/>
    </row>
    <row r="303" spans="1:25" ht="18" x14ac:dyDescent="0.25">
      <c r="A303" s="10"/>
      <c r="B303" s="7"/>
      <c r="C303" s="7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6"/>
      <c r="U303" s="35"/>
      <c r="V303" s="35"/>
      <c r="W303" s="63"/>
      <c r="X303" s="107"/>
    </row>
    <row r="304" spans="1:25" ht="19.5" x14ac:dyDescent="0.35">
      <c r="A304" s="10">
        <f>+A302+1</f>
        <v>19</v>
      </c>
      <c r="B304" s="121" t="s">
        <v>121</v>
      </c>
      <c r="C304" s="184">
        <f>SUM(D304:V304)</f>
        <v>186941895.26994306</v>
      </c>
      <c r="D304" s="119">
        <f t="shared" ref="D304:U304" si="122">D302*D298</f>
        <v>27185537.962093871</v>
      </c>
      <c r="E304" s="119">
        <f t="shared" si="122"/>
        <v>0</v>
      </c>
      <c r="F304" s="119">
        <f>F302*F298</f>
        <v>2879.4</v>
      </c>
      <c r="G304" s="119">
        <f>G302*G298</f>
        <v>5881.5</v>
      </c>
      <c r="H304" s="119">
        <f t="shared" si="122"/>
        <v>157205.51622499997</v>
      </c>
      <c r="I304" s="119">
        <f t="shared" si="122"/>
        <v>4078553.7806437444</v>
      </c>
      <c r="J304" s="119">
        <f t="shared" si="122"/>
        <v>31461516.15203099</v>
      </c>
      <c r="K304" s="119">
        <f t="shared" si="122"/>
        <v>43251472.562456958</v>
      </c>
      <c r="L304" s="119">
        <f t="shared" si="122"/>
        <v>21038081.71209776</v>
      </c>
      <c r="M304" s="119">
        <f t="shared" si="122"/>
        <v>13870774.030893158</v>
      </c>
      <c r="N304" s="119">
        <f t="shared" si="122"/>
        <v>19271804.30237288</v>
      </c>
      <c r="O304" s="119">
        <f t="shared" si="122"/>
        <v>676163.13638600009</v>
      </c>
      <c r="P304" s="119">
        <f t="shared" ref="P304" si="123">P302*P298</f>
        <v>0</v>
      </c>
      <c r="Q304" s="119">
        <f t="shared" si="122"/>
        <v>3904250.8184181657</v>
      </c>
      <c r="R304" s="119">
        <f t="shared" si="122"/>
        <v>6043103.037223178</v>
      </c>
      <c r="S304" s="119">
        <f t="shared" si="122"/>
        <v>627552.67668876238</v>
      </c>
      <c r="T304" s="119">
        <f t="shared" si="122"/>
        <v>0</v>
      </c>
      <c r="U304" s="119">
        <f t="shared" si="122"/>
        <v>319373.04840246902</v>
      </c>
      <c r="V304" s="119">
        <f>+V296</f>
        <v>15047745.634010116</v>
      </c>
      <c r="W304" s="122"/>
      <c r="X304" s="123"/>
      <c r="Y304" s="66">
        <f>SUM(D304:V304)-C304</f>
        <v>0</v>
      </c>
    </row>
    <row r="305" spans="1:68" ht="18" x14ac:dyDescent="0.25">
      <c r="A305" s="10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5"/>
      <c r="O305" s="5"/>
      <c r="P305" s="5"/>
      <c r="Q305" s="5"/>
      <c r="R305" s="5"/>
      <c r="S305" s="5"/>
      <c r="T305" s="5"/>
      <c r="U305" s="5"/>
      <c r="V305" s="5"/>
      <c r="W305" s="28"/>
      <c r="X305" s="107"/>
    </row>
    <row r="306" spans="1:68" ht="18" x14ac:dyDescent="0.25">
      <c r="A306" s="10">
        <f>+A304+1</f>
        <v>20</v>
      </c>
      <c r="B306" s="121" t="s">
        <v>276</v>
      </c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5"/>
      <c r="O306" s="5"/>
      <c r="P306" s="5"/>
      <c r="Q306" s="5"/>
      <c r="R306" s="5"/>
      <c r="S306" s="5"/>
      <c r="T306" s="5"/>
      <c r="U306" s="5"/>
      <c r="V306" s="5"/>
      <c r="W306" s="28"/>
      <c r="X306" s="107"/>
    </row>
    <row r="307" spans="1:68" ht="19.5" x14ac:dyDescent="0.35">
      <c r="A307" s="10">
        <f>+A306+1</f>
        <v>21</v>
      </c>
      <c r="B307" s="121" t="s">
        <v>60</v>
      </c>
      <c r="C307" s="7"/>
      <c r="D307" s="5" t="str">
        <f>TEXT(D$283,"$0.00")&amp;", "&amp;TEXT(D$286,"$0.00")&amp;", "&amp;TEXT(D$289,"$0.00")</f>
        <v>$16.20, $19.20, $26.20</v>
      </c>
      <c r="E307" s="185">
        <f t="shared" ref="E307:V307" si="124">E279</f>
        <v>27.74</v>
      </c>
      <c r="F307" s="185">
        <f t="shared" si="124"/>
        <v>26.2</v>
      </c>
      <c r="G307" s="185">
        <f t="shared" si="124"/>
        <v>48</v>
      </c>
      <c r="H307" s="185">
        <f t="shared" si="124"/>
        <v>0</v>
      </c>
      <c r="I307" s="185">
        <f t="shared" si="124"/>
        <v>32.5</v>
      </c>
      <c r="J307" s="185">
        <f t="shared" si="124"/>
        <v>48</v>
      </c>
      <c r="K307" s="185">
        <f t="shared" si="124"/>
        <v>92</v>
      </c>
      <c r="L307" s="185">
        <f t="shared" si="124"/>
        <v>495</v>
      </c>
      <c r="M307" s="185">
        <f t="shared" si="124"/>
        <v>795</v>
      </c>
      <c r="N307" s="185">
        <f t="shared" si="124"/>
        <v>1695</v>
      </c>
      <c r="O307" s="185">
        <f t="shared" si="124"/>
        <v>48</v>
      </c>
      <c r="P307" s="185">
        <f t="shared" ref="P307" si="125">P279</f>
        <v>0</v>
      </c>
      <c r="Q307" s="185">
        <f t="shared" si="124"/>
        <v>1695</v>
      </c>
      <c r="R307" s="185">
        <f t="shared" si="124"/>
        <v>1895</v>
      </c>
      <c r="S307" s="185">
        <f t="shared" si="124"/>
        <v>2095</v>
      </c>
      <c r="T307" s="185">
        <f t="shared" si="124"/>
        <v>62</v>
      </c>
      <c r="U307" s="185">
        <f t="shared" si="124"/>
        <v>495</v>
      </c>
      <c r="V307" s="185">
        <f t="shared" si="124"/>
        <v>0</v>
      </c>
      <c r="W307" s="186"/>
      <c r="X307" s="187"/>
    </row>
    <row r="308" spans="1:68" ht="19.5" x14ac:dyDescent="0.35">
      <c r="A308" s="10">
        <f t="shared" ref="A308:A309" si="126">+A307+1</f>
        <v>22</v>
      </c>
      <c r="B308" s="121" t="s">
        <v>61</v>
      </c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29"/>
      <c r="X308" s="4"/>
    </row>
    <row r="309" spans="1:68" ht="19.5" x14ac:dyDescent="0.35">
      <c r="A309" s="10">
        <f t="shared" si="126"/>
        <v>23</v>
      </c>
      <c r="B309" s="188" t="s">
        <v>62</v>
      </c>
      <c r="C309" s="7"/>
      <c r="D309" s="59">
        <f t="shared" ref="D309:V309" si="127">100*D302</f>
        <v>34.455999999999996</v>
      </c>
      <c r="E309" s="59">
        <f t="shared" si="127"/>
        <v>34.455999999999996</v>
      </c>
      <c r="F309" s="59">
        <f>100*F302</f>
        <v>9.597999999999999</v>
      </c>
      <c r="G309" s="59">
        <f>100*G302</f>
        <v>19.605</v>
      </c>
      <c r="H309" s="59">
        <f t="shared" si="127"/>
        <v>30.166999999999998</v>
      </c>
      <c r="I309" s="59">
        <f t="shared" si="127"/>
        <v>43.539000000000001</v>
      </c>
      <c r="J309" s="59">
        <f t="shared" si="127"/>
        <v>34.213999999999999</v>
      </c>
      <c r="K309" s="59">
        <f t="shared" si="127"/>
        <v>28.757999999999999</v>
      </c>
      <c r="L309" s="59">
        <f t="shared" si="127"/>
        <v>23.34</v>
      </c>
      <c r="M309" s="59">
        <f t="shared" si="127"/>
        <v>19.361999999999998</v>
      </c>
      <c r="N309" s="59">
        <f t="shared" si="127"/>
        <v>12.817</v>
      </c>
      <c r="O309" s="59">
        <f t="shared" si="127"/>
        <v>52.936999999999998</v>
      </c>
      <c r="P309" s="59">
        <f t="shared" ref="P309" si="128">100*P302</f>
        <v>0</v>
      </c>
      <c r="Q309" s="59">
        <f t="shared" si="127"/>
        <v>9.0020000000000007</v>
      </c>
      <c r="R309" s="59">
        <f t="shared" si="127"/>
        <v>4.6909999999999998</v>
      </c>
      <c r="S309" s="59">
        <f t="shared" si="127"/>
        <v>1.151</v>
      </c>
      <c r="T309" s="59">
        <f t="shared" si="127"/>
        <v>0</v>
      </c>
      <c r="U309" s="59">
        <f t="shared" si="127"/>
        <v>18.413</v>
      </c>
      <c r="V309" s="59">
        <f t="shared" si="127"/>
        <v>0</v>
      </c>
      <c r="W309" s="133"/>
      <c r="X309" s="134"/>
    </row>
    <row r="310" spans="1:68" ht="19.5" x14ac:dyDescent="0.35">
      <c r="A310" s="10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29"/>
      <c r="X310" s="4"/>
    </row>
    <row r="311" spans="1:68" ht="19.5" x14ac:dyDescent="0.35">
      <c r="A311" s="10">
        <f>+A309+1</f>
        <v>24</v>
      </c>
      <c r="B311" s="188" t="s">
        <v>63</v>
      </c>
      <c r="C311" s="189"/>
      <c r="D311" s="59">
        <f>0.90287*100</f>
        <v>90.286999999999992</v>
      </c>
      <c r="E311" s="59">
        <f>+$D311</f>
        <v>90.286999999999992</v>
      </c>
      <c r="F311" s="59">
        <f t="shared" ref="F311:O311" si="129">+$D311</f>
        <v>90.286999999999992</v>
      </c>
      <c r="G311" s="59">
        <f t="shared" si="129"/>
        <v>90.286999999999992</v>
      </c>
      <c r="H311" s="59">
        <f t="shared" si="129"/>
        <v>90.286999999999992</v>
      </c>
      <c r="I311" s="59">
        <f t="shared" si="129"/>
        <v>90.286999999999992</v>
      </c>
      <c r="J311" s="59">
        <f t="shared" si="129"/>
        <v>90.286999999999992</v>
      </c>
      <c r="K311" s="59">
        <f t="shared" si="129"/>
        <v>90.286999999999992</v>
      </c>
      <c r="L311" s="59">
        <f t="shared" si="129"/>
        <v>90.286999999999992</v>
      </c>
      <c r="M311" s="59">
        <f t="shared" si="129"/>
        <v>90.286999999999992</v>
      </c>
      <c r="N311" s="59">
        <f t="shared" si="129"/>
        <v>90.286999999999992</v>
      </c>
      <c r="O311" s="59">
        <f t="shared" si="129"/>
        <v>90.286999999999992</v>
      </c>
      <c r="P311" s="59">
        <v>0</v>
      </c>
      <c r="Q311" s="64" t="s">
        <v>113</v>
      </c>
      <c r="R311" s="64" t="s">
        <v>113</v>
      </c>
      <c r="S311" s="64" t="s">
        <v>113</v>
      </c>
      <c r="T311" s="64" t="s">
        <v>113</v>
      </c>
      <c r="U311" s="59">
        <f>D311*0.99497</f>
        <v>89.832856389999989</v>
      </c>
      <c r="V311" s="64" t="s">
        <v>113</v>
      </c>
      <c r="W311" s="190"/>
      <c r="X311" s="134"/>
    </row>
    <row r="312" spans="1:68" ht="19.5" x14ac:dyDescent="0.35">
      <c r="A312" s="10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29"/>
      <c r="X312" s="4"/>
    </row>
    <row r="313" spans="1:68" ht="19.5" x14ac:dyDescent="0.35">
      <c r="A313" s="10">
        <f>+A311+1</f>
        <v>25</v>
      </c>
      <c r="B313" s="188" t="s">
        <v>64</v>
      </c>
      <c r="C313" s="7"/>
      <c r="D313" s="59">
        <f t="shared" ref="D313:V313" si="130">SUM(D309:D312)</f>
        <v>124.74299999999999</v>
      </c>
      <c r="E313" s="59">
        <f t="shared" si="130"/>
        <v>124.74299999999999</v>
      </c>
      <c r="F313" s="59">
        <f>SUM(F309:F312)</f>
        <v>99.884999999999991</v>
      </c>
      <c r="G313" s="59">
        <f>SUM(G309:G312)</f>
        <v>109.892</v>
      </c>
      <c r="H313" s="59">
        <f t="shared" si="130"/>
        <v>120.45399999999999</v>
      </c>
      <c r="I313" s="59">
        <f t="shared" si="130"/>
        <v>133.82599999999999</v>
      </c>
      <c r="J313" s="59">
        <f t="shared" si="130"/>
        <v>124.50099999999999</v>
      </c>
      <c r="K313" s="59">
        <f t="shared" si="130"/>
        <v>119.04499999999999</v>
      </c>
      <c r="L313" s="59">
        <f t="shared" si="130"/>
        <v>113.627</v>
      </c>
      <c r="M313" s="59">
        <f t="shared" si="130"/>
        <v>109.64899999999999</v>
      </c>
      <c r="N313" s="59">
        <f t="shared" si="130"/>
        <v>103.10399999999998</v>
      </c>
      <c r="O313" s="59">
        <f t="shared" si="130"/>
        <v>143.22399999999999</v>
      </c>
      <c r="P313" s="59">
        <f t="shared" ref="P313" si="131">SUM(P309:P312)</f>
        <v>0</v>
      </c>
      <c r="Q313" s="59">
        <f t="shared" si="130"/>
        <v>9.0020000000000007</v>
      </c>
      <c r="R313" s="59">
        <f t="shared" si="130"/>
        <v>4.6909999999999998</v>
      </c>
      <c r="S313" s="59">
        <f t="shared" si="130"/>
        <v>1.151</v>
      </c>
      <c r="T313" s="59">
        <f t="shared" si="130"/>
        <v>0</v>
      </c>
      <c r="U313" s="59">
        <f t="shared" si="130"/>
        <v>108.24585638999999</v>
      </c>
      <c r="V313" s="59">
        <f t="shared" si="130"/>
        <v>0</v>
      </c>
      <c r="W313" s="133"/>
      <c r="X313" s="134"/>
    </row>
    <row r="314" spans="1:68" ht="18" x14ac:dyDescent="0.25">
      <c r="A314" s="10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5"/>
      <c r="O314" s="5"/>
      <c r="P314" s="5"/>
      <c r="Q314" s="5"/>
      <c r="R314" s="5"/>
      <c r="S314" s="5"/>
      <c r="T314" s="5"/>
      <c r="U314" s="5"/>
      <c r="V314" s="5"/>
      <c r="W314" s="28"/>
      <c r="X314" s="107"/>
    </row>
    <row r="315" spans="1:68" ht="19.5" x14ac:dyDescent="0.35">
      <c r="A315" s="10">
        <f>+A313+1</f>
        <v>26</v>
      </c>
      <c r="B315" s="121" t="s">
        <v>277</v>
      </c>
      <c r="C315" s="7"/>
      <c r="D315" s="191" t="s">
        <v>170</v>
      </c>
      <c r="E315" s="191" t="s">
        <v>180</v>
      </c>
      <c r="F315" s="191" t="s">
        <v>177</v>
      </c>
      <c r="G315" s="191" t="s">
        <v>178</v>
      </c>
      <c r="H315" s="191" t="s">
        <v>96</v>
      </c>
      <c r="I315" s="191" t="s">
        <v>94</v>
      </c>
      <c r="J315" s="191" t="s">
        <v>123</v>
      </c>
      <c r="K315" s="191" t="s">
        <v>124</v>
      </c>
      <c r="L315" s="191" t="s">
        <v>125</v>
      </c>
      <c r="M315" s="191" t="s">
        <v>126</v>
      </c>
      <c r="N315" s="191" t="s">
        <v>127</v>
      </c>
      <c r="O315" s="191" t="s">
        <v>181</v>
      </c>
      <c r="P315" s="191" t="s">
        <v>248</v>
      </c>
      <c r="Q315" s="191" t="s">
        <v>95</v>
      </c>
      <c r="R315" s="191" t="s">
        <v>97</v>
      </c>
      <c r="S315" s="191" t="s">
        <v>98</v>
      </c>
      <c r="T315" s="191" t="s">
        <v>99</v>
      </c>
      <c r="U315" s="191" t="s">
        <v>100</v>
      </c>
      <c r="V315" s="191" t="s">
        <v>101</v>
      </c>
      <c r="W315" s="192"/>
      <c r="X315" s="193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</row>
    <row r="316" spans="1:68" ht="18" x14ac:dyDescent="0.25">
      <c r="A316" s="10">
        <f>+A315+1</f>
        <v>27</v>
      </c>
      <c r="B316" s="121" t="s">
        <v>60</v>
      </c>
      <c r="C316" s="7"/>
      <c r="D316" s="5" t="s">
        <v>251</v>
      </c>
      <c r="E316" s="185">
        <v>19.010000000000002</v>
      </c>
      <c r="F316" s="185">
        <v>19.010000000000002</v>
      </c>
      <c r="G316" s="185">
        <v>33.26</v>
      </c>
      <c r="H316" s="185">
        <v>0</v>
      </c>
      <c r="I316" s="185">
        <v>23.76</v>
      </c>
      <c r="J316" s="185">
        <v>33.26</v>
      </c>
      <c r="K316" s="185">
        <v>47.52</v>
      </c>
      <c r="L316" s="185">
        <v>142.55000000000001</v>
      </c>
      <c r="M316" s="185">
        <v>237.58</v>
      </c>
      <c r="N316" s="185">
        <v>285.08999999999997</v>
      </c>
      <c r="O316" s="185">
        <v>33.26</v>
      </c>
      <c r="P316" s="185">
        <v>0</v>
      </c>
      <c r="Q316" s="185">
        <v>285.08999999999997</v>
      </c>
      <c r="R316" s="185">
        <v>451.39</v>
      </c>
      <c r="S316" s="185">
        <v>451.39</v>
      </c>
      <c r="T316" s="185">
        <v>42.76</v>
      </c>
      <c r="U316" s="185">
        <v>142.55000000000001</v>
      </c>
      <c r="V316" s="185">
        <v>0</v>
      </c>
      <c r="W316" s="186"/>
      <c r="X316" s="107"/>
    </row>
    <row r="317" spans="1:68" ht="18" x14ac:dyDescent="0.25">
      <c r="A317" s="10">
        <f t="shared" ref="A317:A318" si="132">+A316+1</f>
        <v>28</v>
      </c>
      <c r="B317" s="121" t="s">
        <v>61</v>
      </c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29"/>
      <c r="X317" s="107"/>
    </row>
    <row r="318" spans="1:68" ht="18" x14ac:dyDescent="0.25">
      <c r="A318" s="10">
        <f t="shared" si="132"/>
        <v>29</v>
      </c>
      <c r="B318" s="121" t="s">
        <v>62</v>
      </c>
      <c r="C318" s="7"/>
      <c r="D318" s="68">
        <v>0.25464999999999999</v>
      </c>
      <c r="E318" s="68">
        <v>0.25464999999999999</v>
      </c>
      <c r="F318" s="68">
        <v>9.5979999999999996E-2</v>
      </c>
      <c r="G318" s="68">
        <v>0.19605</v>
      </c>
      <c r="H318" s="68">
        <v>0.17921999999999999</v>
      </c>
      <c r="I318" s="68">
        <v>0.32206000000000001</v>
      </c>
      <c r="J318" s="68">
        <v>0.25468000000000002</v>
      </c>
      <c r="K318" s="68">
        <v>0.21615000000000001</v>
      </c>
      <c r="L318" s="68">
        <v>0.18692</v>
      </c>
      <c r="M318" s="68">
        <v>0.14459</v>
      </c>
      <c r="N318" s="68">
        <v>0.10758</v>
      </c>
      <c r="O318" s="68">
        <v>0.32206000000000001</v>
      </c>
      <c r="P318" s="68">
        <v>0</v>
      </c>
      <c r="Q318" s="68">
        <v>6.7769999999999997E-2</v>
      </c>
      <c r="R318" s="68">
        <v>3.3180000000000001E-2</v>
      </c>
      <c r="S318" s="68">
        <v>9.4699999999999993E-3</v>
      </c>
      <c r="T318" s="68">
        <v>0.17477999999999999</v>
      </c>
      <c r="U318" s="68">
        <v>0.14191999999999999</v>
      </c>
      <c r="V318" s="68">
        <v>0</v>
      </c>
      <c r="W318" s="194"/>
      <c r="X318" s="107"/>
    </row>
    <row r="319" spans="1:68" ht="18" x14ac:dyDescent="0.25">
      <c r="A319" s="10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29"/>
      <c r="X319" s="107"/>
    </row>
    <row r="320" spans="1:68" ht="18" x14ac:dyDescent="0.25">
      <c r="A320" s="10">
        <f>+A318+1</f>
        <v>30</v>
      </c>
      <c r="B320" s="121" t="s">
        <v>63</v>
      </c>
      <c r="C320" s="7"/>
      <c r="D320" s="59">
        <f t="shared" ref="D320:L320" si="133">+D311</f>
        <v>90.286999999999992</v>
      </c>
      <c r="E320" s="59">
        <f t="shared" si="133"/>
        <v>90.286999999999992</v>
      </c>
      <c r="F320" s="59">
        <f>+F311</f>
        <v>90.286999999999992</v>
      </c>
      <c r="G320" s="59">
        <f>+G311</f>
        <v>90.286999999999992</v>
      </c>
      <c r="H320" s="59">
        <f t="shared" si="133"/>
        <v>90.286999999999992</v>
      </c>
      <c r="I320" s="59">
        <f t="shared" si="133"/>
        <v>90.286999999999992</v>
      </c>
      <c r="J320" s="59">
        <f t="shared" si="133"/>
        <v>90.286999999999992</v>
      </c>
      <c r="K320" s="59">
        <f t="shared" si="133"/>
        <v>90.286999999999992</v>
      </c>
      <c r="L320" s="59">
        <f t="shared" si="133"/>
        <v>90.286999999999992</v>
      </c>
      <c r="M320" s="59">
        <v>0</v>
      </c>
      <c r="N320" s="59">
        <f>+N311</f>
        <v>90.286999999999992</v>
      </c>
      <c r="O320" s="59">
        <v>0</v>
      </c>
      <c r="P320" s="59">
        <v>0</v>
      </c>
      <c r="Q320" s="59">
        <v>48.043999999999997</v>
      </c>
      <c r="R320" s="64" t="str">
        <f>+R311</f>
        <v>N/A</v>
      </c>
      <c r="S320" s="64" t="str">
        <f>+S311</f>
        <v>N/A</v>
      </c>
      <c r="T320" s="64" t="str">
        <f>+T311</f>
        <v>N/A</v>
      </c>
      <c r="U320" s="59">
        <f>+U311</f>
        <v>89.832856389999989</v>
      </c>
      <c r="V320" s="64" t="str">
        <f>+V311</f>
        <v>N/A</v>
      </c>
      <c r="W320" s="190"/>
      <c r="X320" s="107"/>
    </row>
    <row r="321" spans="1:24" ht="18" x14ac:dyDescent="0.25">
      <c r="A321" s="10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10"/>
      <c r="T321" s="7"/>
      <c r="U321" s="7"/>
      <c r="V321" s="7"/>
      <c r="W321" s="29"/>
      <c r="X321" s="107"/>
    </row>
    <row r="322" spans="1:24" ht="18" x14ac:dyDescent="0.25">
      <c r="A322" s="10">
        <f>+A320+1</f>
        <v>31</v>
      </c>
      <c r="B322" s="188" t="s">
        <v>64</v>
      </c>
      <c r="C322" s="7"/>
      <c r="D322" s="59">
        <f t="shared" ref="D322:V322" si="134">SUM(D318:D321)</f>
        <v>90.54164999999999</v>
      </c>
      <c r="E322" s="59">
        <f t="shared" si="134"/>
        <v>90.54164999999999</v>
      </c>
      <c r="F322" s="59">
        <f>SUM(F318:F321)</f>
        <v>90.382979999999989</v>
      </c>
      <c r="G322" s="59">
        <f>SUM(G318:G321)</f>
        <v>90.483049999999992</v>
      </c>
      <c r="H322" s="59">
        <f t="shared" si="134"/>
        <v>90.466219999999993</v>
      </c>
      <c r="I322" s="59">
        <f t="shared" si="134"/>
        <v>90.609059999999985</v>
      </c>
      <c r="J322" s="59">
        <f t="shared" si="134"/>
        <v>90.541679999999985</v>
      </c>
      <c r="K322" s="59">
        <f t="shared" si="134"/>
        <v>90.503149999999991</v>
      </c>
      <c r="L322" s="59">
        <f t="shared" si="134"/>
        <v>90.473919999999993</v>
      </c>
      <c r="M322" s="59">
        <f t="shared" si="134"/>
        <v>0.14459</v>
      </c>
      <c r="N322" s="59">
        <f t="shared" si="134"/>
        <v>90.394579999999991</v>
      </c>
      <c r="O322" s="59">
        <f t="shared" si="134"/>
        <v>0.32206000000000001</v>
      </c>
      <c r="P322" s="59">
        <f t="shared" ref="P322" si="135">SUM(P318:P321)</f>
        <v>0</v>
      </c>
      <c r="Q322" s="59">
        <f t="shared" si="134"/>
        <v>48.11177</v>
      </c>
      <c r="R322" s="59">
        <f t="shared" si="134"/>
        <v>3.3180000000000001E-2</v>
      </c>
      <c r="S322" s="59">
        <f t="shared" si="134"/>
        <v>9.4699999999999993E-3</v>
      </c>
      <c r="T322" s="59">
        <f t="shared" si="134"/>
        <v>0.17477999999999999</v>
      </c>
      <c r="U322" s="59">
        <f t="shared" si="134"/>
        <v>89.974776389999988</v>
      </c>
      <c r="V322" s="59">
        <f t="shared" si="134"/>
        <v>0</v>
      </c>
      <c r="W322" s="133"/>
      <c r="X322" s="107"/>
    </row>
    <row r="323" spans="1:24" ht="18" x14ac:dyDescent="0.25">
      <c r="A323" s="10"/>
      <c r="B323" s="188"/>
      <c r="C323" s="7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133"/>
      <c r="X323" s="107"/>
    </row>
    <row r="324" spans="1:24" ht="18" hidden="1" x14ac:dyDescent="0.25">
      <c r="A324" s="249" t="s">
        <v>278</v>
      </c>
      <c r="B324" s="249"/>
      <c r="C324" s="249"/>
      <c r="D324" s="249"/>
      <c r="E324" s="249"/>
      <c r="F324" s="249"/>
      <c r="G324" s="249"/>
      <c r="H324" s="249"/>
      <c r="I324" s="249"/>
      <c r="J324" s="249"/>
      <c r="K324" s="249"/>
      <c r="L324" s="24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133"/>
      <c r="X324" s="107"/>
    </row>
    <row r="325" spans="1:24" ht="18" hidden="1" x14ac:dyDescent="0.25">
      <c r="A325" s="10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5"/>
      <c r="O325" s="5"/>
      <c r="P325" s="5"/>
      <c r="Q325" s="5"/>
      <c r="R325" s="5"/>
      <c r="S325" s="5"/>
      <c r="T325" s="5"/>
      <c r="U325" s="5"/>
      <c r="V325" s="5"/>
      <c r="W325" s="28"/>
      <c r="X325" s="107"/>
    </row>
    <row r="326" spans="1:24" ht="18.2" hidden="1" customHeight="1" x14ac:dyDescent="0.25">
      <c r="A326" s="10">
        <f>+A322+1</f>
        <v>32</v>
      </c>
      <c r="B326" s="98" t="s">
        <v>163</v>
      </c>
      <c r="C326" s="195"/>
      <c r="D326" s="196" t="s">
        <v>67</v>
      </c>
      <c r="E326" s="196"/>
      <c r="F326" s="197"/>
      <c r="G326" s="197"/>
      <c r="H326" s="196" t="s">
        <v>68</v>
      </c>
      <c r="I326" s="198"/>
      <c r="J326" s="7"/>
      <c r="K326" s="7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4" ht="18" hidden="1" x14ac:dyDescent="0.25">
      <c r="A327" s="10">
        <f>+A326+1</f>
        <v>33</v>
      </c>
      <c r="B327" s="199"/>
      <c r="C327" s="7"/>
      <c r="I327" s="200"/>
      <c r="J327" s="200"/>
      <c r="K327" s="7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4" ht="18" hidden="1" x14ac:dyDescent="0.25">
      <c r="A328" s="10">
        <f t="shared" ref="A328:A344" si="136">+A327+1</f>
        <v>34</v>
      </c>
      <c r="B328" s="201" t="s">
        <v>232</v>
      </c>
      <c r="C328" s="7"/>
      <c r="D328" s="202">
        <v>50</v>
      </c>
      <c r="E328" s="203">
        <v>3102944.4219554001</v>
      </c>
      <c r="H328" s="204">
        <v>66.867287581172761</v>
      </c>
      <c r="I328" s="203">
        <v>4149709.5402257526</v>
      </c>
      <c r="J328" s="200"/>
      <c r="K328" s="7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4" ht="18" hidden="1" x14ac:dyDescent="0.25">
      <c r="A329" s="10">
        <f t="shared" si="136"/>
        <v>35</v>
      </c>
      <c r="B329" s="201" t="s">
        <v>233</v>
      </c>
      <c r="C329" s="7"/>
      <c r="D329" s="202">
        <v>75</v>
      </c>
      <c r="E329" s="205">
        <v>323820</v>
      </c>
      <c r="H329" s="204">
        <v>100</v>
      </c>
      <c r="I329" s="205">
        <v>431760.00000000006</v>
      </c>
      <c r="J329" s="200"/>
      <c r="K329" s="7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4" ht="18" hidden="1" x14ac:dyDescent="0.25">
      <c r="A330" s="10">
        <f t="shared" si="136"/>
        <v>36</v>
      </c>
      <c r="B330" s="201" t="s">
        <v>234</v>
      </c>
      <c r="C330" s="7"/>
      <c r="D330" s="202">
        <v>20</v>
      </c>
      <c r="E330" s="205">
        <v>78823.78688</v>
      </c>
      <c r="H330" s="204">
        <v>25</v>
      </c>
      <c r="I330" s="205">
        <v>98529.733599999992</v>
      </c>
      <c r="J330" s="200"/>
      <c r="K330" s="7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4" ht="18" hidden="1" x14ac:dyDescent="0.25">
      <c r="A331" s="10">
        <f t="shared" si="136"/>
        <v>37</v>
      </c>
      <c r="B331" s="206" t="s">
        <v>244</v>
      </c>
      <c r="C331" s="29"/>
      <c r="D331" s="202">
        <v>25</v>
      </c>
      <c r="E331" s="205">
        <v>0</v>
      </c>
      <c r="H331" s="204">
        <v>25</v>
      </c>
      <c r="I331" s="205">
        <v>0</v>
      </c>
      <c r="J331" s="207"/>
      <c r="K331" s="7"/>
      <c r="L331" s="5"/>
      <c r="M331" s="5"/>
      <c r="N331" s="5"/>
      <c r="O331" s="248" t="s">
        <v>262</v>
      </c>
      <c r="P331" s="248"/>
      <c r="Q331" s="248"/>
      <c r="R331" s="5"/>
      <c r="S331" s="5"/>
      <c r="T331" s="5"/>
      <c r="U331" s="5"/>
      <c r="V331" s="5"/>
    </row>
    <row r="332" spans="1:24" ht="18" hidden="1" x14ac:dyDescent="0.25">
      <c r="A332" s="10">
        <f t="shared" si="136"/>
        <v>38</v>
      </c>
      <c r="B332" s="206" t="s">
        <v>245</v>
      </c>
      <c r="C332" s="7"/>
      <c r="D332" s="202">
        <v>28</v>
      </c>
      <c r="E332" s="205">
        <v>1303747.6408319999</v>
      </c>
      <c r="H332" s="204">
        <v>24</v>
      </c>
      <c r="I332" s="205">
        <v>1117497.977856</v>
      </c>
      <c r="J332" s="207"/>
      <c r="K332" s="7"/>
      <c r="L332" s="5"/>
      <c r="M332" s="5"/>
      <c r="N332" s="5"/>
      <c r="O332" s="248"/>
      <c r="P332" s="248"/>
      <c r="Q332" s="248"/>
      <c r="R332" s="5"/>
      <c r="S332" s="5"/>
      <c r="T332" s="5"/>
      <c r="U332" s="5"/>
      <c r="V332" s="5"/>
    </row>
    <row r="333" spans="1:24" ht="18" hidden="1" x14ac:dyDescent="0.25">
      <c r="A333" s="10">
        <f t="shared" si="136"/>
        <v>39</v>
      </c>
      <c r="B333" s="206" t="s">
        <v>91</v>
      </c>
      <c r="C333" s="7"/>
      <c r="D333" s="202">
        <v>10</v>
      </c>
      <c r="E333" s="205">
        <v>202372.1675712</v>
      </c>
      <c r="H333" s="204">
        <v>10</v>
      </c>
      <c r="I333" s="205">
        <v>202372.1675712</v>
      </c>
      <c r="J333" s="207"/>
      <c r="K333" s="7"/>
      <c r="L333" s="5"/>
      <c r="M333" s="5"/>
      <c r="N333" s="5"/>
      <c r="O333" s="248"/>
      <c r="P333" s="248"/>
      <c r="Q333" s="248"/>
      <c r="R333" s="5"/>
      <c r="S333" s="5"/>
      <c r="T333" s="5"/>
      <c r="U333" s="5"/>
      <c r="V333" s="5"/>
    </row>
    <row r="334" spans="1:24" ht="18" hidden="1" x14ac:dyDescent="0.25">
      <c r="A334" s="10">
        <f t="shared" si="136"/>
        <v>40</v>
      </c>
      <c r="B334" s="208" t="s">
        <v>93</v>
      </c>
      <c r="C334" s="29"/>
      <c r="D334" s="202">
        <v>144</v>
      </c>
      <c r="E334" s="205">
        <v>584064</v>
      </c>
      <c r="H334" s="204">
        <v>216</v>
      </c>
      <c r="I334" s="205">
        <v>756864</v>
      </c>
      <c r="J334" s="207"/>
      <c r="K334" s="29"/>
      <c r="L334" s="28"/>
      <c r="M334" s="28"/>
      <c r="N334" s="28"/>
      <c r="O334" s="248"/>
      <c r="P334" s="248"/>
      <c r="Q334" s="248"/>
      <c r="R334" s="5"/>
      <c r="S334" s="5"/>
      <c r="T334" s="5"/>
      <c r="U334" s="5"/>
      <c r="V334" s="5"/>
    </row>
    <row r="335" spans="1:24" ht="18" hidden="1" x14ac:dyDescent="0.25">
      <c r="A335" s="10">
        <f t="shared" si="136"/>
        <v>41</v>
      </c>
      <c r="B335" s="208" t="s">
        <v>164</v>
      </c>
      <c r="C335" s="29"/>
      <c r="D335" s="202">
        <v>148</v>
      </c>
      <c r="E335" s="205">
        <v>372240</v>
      </c>
      <c r="H335" s="204">
        <v>148</v>
      </c>
      <c r="I335" s="205">
        <v>372240</v>
      </c>
      <c r="J335" s="207"/>
      <c r="K335" s="29"/>
      <c r="L335" s="28"/>
      <c r="M335" s="28"/>
      <c r="N335" s="28"/>
      <c r="O335" s="28"/>
      <c r="P335" s="28"/>
      <c r="Q335" s="5"/>
      <c r="R335" s="5"/>
      <c r="S335" s="5"/>
      <c r="T335" s="5"/>
      <c r="U335" s="5"/>
      <c r="V335" s="5"/>
    </row>
    <row r="336" spans="1:24" ht="18" hidden="1" x14ac:dyDescent="0.25">
      <c r="A336" s="10">
        <f t="shared" si="136"/>
        <v>42</v>
      </c>
      <c r="B336" s="208" t="s">
        <v>103</v>
      </c>
      <c r="C336" s="29"/>
      <c r="D336" s="202" t="s">
        <v>280</v>
      </c>
      <c r="E336" s="205">
        <v>1182468.19704</v>
      </c>
      <c r="H336" s="204" t="s">
        <v>280</v>
      </c>
      <c r="I336" s="205">
        <v>1182468.19704</v>
      </c>
      <c r="J336" s="207"/>
      <c r="K336" s="29"/>
      <c r="L336" s="28"/>
      <c r="M336" s="28"/>
      <c r="N336" s="28"/>
      <c r="O336" s="28"/>
      <c r="P336" s="28"/>
      <c r="Q336" s="5"/>
      <c r="R336" s="5"/>
      <c r="S336" s="5"/>
      <c r="T336" s="5"/>
      <c r="U336" s="5"/>
      <c r="V336" s="5"/>
    </row>
    <row r="337" spans="1:24" ht="18" hidden="1" x14ac:dyDescent="0.25">
      <c r="A337" s="10">
        <f t="shared" si="136"/>
        <v>43</v>
      </c>
      <c r="B337" s="208" t="s">
        <v>110</v>
      </c>
      <c r="C337" s="29"/>
      <c r="D337" s="202" t="s">
        <v>281</v>
      </c>
      <c r="E337" s="205">
        <v>96615.7000004</v>
      </c>
      <c r="H337" s="204" t="s">
        <v>281</v>
      </c>
      <c r="I337" s="205">
        <v>96615.7000004</v>
      </c>
      <c r="J337" s="207"/>
      <c r="K337" s="29"/>
      <c r="L337" s="28"/>
      <c r="M337" s="28"/>
      <c r="N337" s="28"/>
      <c r="O337" s="28"/>
      <c r="P337" s="28"/>
      <c r="Q337" s="5"/>
      <c r="R337" s="5"/>
      <c r="S337" s="5"/>
      <c r="T337" s="5"/>
      <c r="U337" s="5"/>
      <c r="V337" s="5"/>
    </row>
    <row r="338" spans="1:24" ht="18" hidden="1" x14ac:dyDescent="0.25">
      <c r="A338" s="10">
        <f t="shared" si="136"/>
        <v>44</v>
      </c>
      <c r="B338" s="208" t="s">
        <v>90</v>
      </c>
      <c r="C338" s="29"/>
      <c r="D338" s="202">
        <v>20</v>
      </c>
      <c r="E338" s="205">
        <v>8023.1542854999998</v>
      </c>
      <c r="H338" s="204">
        <v>30</v>
      </c>
      <c r="I338" s="205">
        <v>12034.731428249999</v>
      </c>
      <c r="J338" s="200"/>
      <c r="K338" s="29"/>
      <c r="L338" s="28"/>
      <c r="M338" s="28"/>
      <c r="N338" s="28"/>
      <c r="O338" s="28"/>
      <c r="P338" s="28"/>
      <c r="Q338" s="5"/>
      <c r="R338" s="5"/>
      <c r="S338" s="5"/>
      <c r="T338" s="5"/>
      <c r="U338" s="5"/>
      <c r="V338" s="5"/>
    </row>
    <row r="339" spans="1:24" ht="18" hidden="1" x14ac:dyDescent="0.25">
      <c r="A339" s="10">
        <f t="shared" si="136"/>
        <v>45</v>
      </c>
      <c r="B339" s="208" t="s">
        <v>92</v>
      </c>
      <c r="C339" s="29"/>
      <c r="D339" s="202">
        <v>20</v>
      </c>
      <c r="E339" s="205">
        <v>76099.833599999998</v>
      </c>
      <c r="H339" s="204">
        <v>25</v>
      </c>
      <c r="I339" s="205">
        <v>95124.792000000001</v>
      </c>
      <c r="J339" s="200"/>
      <c r="K339" s="29"/>
      <c r="L339" s="28"/>
      <c r="M339" s="28"/>
      <c r="N339" s="28"/>
      <c r="O339" s="28"/>
      <c r="P339" s="28"/>
      <c r="Q339" s="5"/>
      <c r="R339" s="5"/>
      <c r="S339" s="5"/>
      <c r="T339" s="5"/>
      <c r="U339" s="5"/>
      <c r="V339" s="5"/>
    </row>
    <row r="340" spans="1:24" ht="18" hidden="1" x14ac:dyDescent="0.25">
      <c r="A340" s="10">
        <f t="shared" si="136"/>
        <v>46</v>
      </c>
      <c r="B340" s="208" t="s">
        <v>253</v>
      </c>
      <c r="C340" s="29"/>
      <c r="D340" s="202">
        <v>0</v>
      </c>
      <c r="E340" s="205">
        <v>-215568</v>
      </c>
      <c r="H340" s="204">
        <v>0</v>
      </c>
      <c r="I340" s="205">
        <v>-215568</v>
      </c>
      <c r="J340" s="207"/>
      <c r="K340" s="29"/>
      <c r="L340" s="28"/>
      <c r="M340" s="28"/>
      <c r="N340" s="28"/>
      <c r="O340" s="28"/>
      <c r="P340" s="28"/>
      <c r="Q340" s="5"/>
      <c r="R340" s="5"/>
      <c r="S340" s="5"/>
      <c r="T340" s="5"/>
      <c r="U340" s="5"/>
      <c r="V340" s="5"/>
    </row>
    <row r="341" spans="1:24" ht="18" hidden="1" x14ac:dyDescent="0.25">
      <c r="A341" s="10">
        <f t="shared" si="136"/>
        <v>47</v>
      </c>
      <c r="B341" s="208" t="s">
        <v>246</v>
      </c>
      <c r="C341" s="29"/>
      <c r="D341" s="202">
        <v>15</v>
      </c>
      <c r="E341" s="205">
        <v>183600</v>
      </c>
      <c r="H341" s="204">
        <v>29</v>
      </c>
      <c r="I341" s="205">
        <v>354960</v>
      </c>
      <c r="J341" s="200"/>
      <c r="K341" s="29"/>
      <c r="L341" s="28"/>
      <c r="M341" s="28"/>
      <c r="N341" s="28"/>
      <c r="O341" s="28"/>
      <c r="P341" s="28"/>
      <c r="Q341" s="5"/>
      <c r="R341" s="5"/>
      <c r="S341" s="5"/>
      <c r="T341" s="5"/>
      <c r="U341" s="5"/>
      <c r="V341" s="5"/>
    </row>
    <row r="342" spans="1:24" ht="18" hidden="1" x14ac:dyDescent="0.25">
      <c r="A342" s="10">
        <f t="shared" si="136"/>
        <v>48</v>
      </c>
      <c r="B342" s="208" t="s">
        <v>235</v>
      </c>
      <c r="C342" s="29"/>
      <c r="D342" s="202"/>
      <c r="E342" s="209">
        <v>4528224.3575000996</v>
      </c>
      <c r="H342" s="210"/>
      <c r="I342" s="209">
        <v>4528224.3575000996</v>
      </c>
      <c r="J342" s="207"/>
      <c r="K342" s="29"/>
      <c r="L342" s="28"/>
      <c r="M342" s="28"/>
      <c r="N342" s="28"/>
      <c r="O342" s="28"/>
      <c r="P342" s="28"/>
      <c r="Q342" s="5"/>
      <c r="R342" s="5"/>
      <c r="S342" s="5"/>
      <c r="T342" s="5"/>
      <c r="U342" s="5"/>
      <c r="V342" s="5"/>
    </row>
    <row r="343" spans="1:24" ht="18" hidden="1" x14ac:dyDescent="0.25">
      <c r="A343" s="10">
        <f t="shared" si="136"/>
        <v>49</v>
      </c>
      <c r="B343" s="211"/>
      <c r="C343" s="29"/>
      <c r="D343" s="210"/>
      <c r="E343" s="212"/>
      <c r="H343" s="210"/>
      <c r="I343" s="207"/>
      <c r="J343" s="207"/>
      <c r="K343" s="29"/>
      <c r="L343" s="28"/>
      <c r="M343" s="28"/>
      <c r="N343" s="28"/>
      <c r="O343" s="28"/>
      <c r="P343" s="28"/>
      <c r="Q343" s="5"/>
      <c r="R343" s="5"/>
      <c r="S343" s="5"/>
      <c r="T343" s="5"/>
      <c r="U343" s="5"/>
      <c r="V343" s="5"/>
    </row>
    <row r="344" spans="1:24" ht="18" hidden="1" x14ac:dyDescent="0.25">
      <c r="A344" s="10">
        <f t="shared" si="136"/>
        <v>50</v>
      </c>
      <c r="B344" s="213" t="s">
        <v>19</v>
      </c>
      <c r="C344" s="7"/>
      <c r="D344" s="5"/>
      <c r="E344" s="214">
        <f>SUM(E328:E343)</f>
        <v>11827475.259664599</v>
      </c>
      <c r="H344" s="5"/>
      <c r="I344" s="214">
        <f>SUM(I328:I343)</f>
        <v>13182833.197221704</v>
      </c>
      <c r="J344" s="215"/>
      <c r="K344" s="7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4" ht="18" x14ac:dyDescent="0.25">
      <c r="A345" s="15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</row>
    <row r="346" spans="1:24" ht="18" x14ac:dyDescent="0.25">
      <c r="A346" s="23" t="s">
        <v>65</v>
      </c>
      <c r="B346" s="23"/>
      <c r="C346" s="24"/>
      <c r="D346" s="24"/>
      <c r="E346" s="24"/>
      <c r="F346" s="24"/>
      <c r="G346" s="24"/>
      <c r="H346" s="24"/>
      <c r="I346" s="24"/>
      <c r="J346" s="24"/>
      <c r="K346" s="22" t="s">
        <v>279</v>
      </c>
      <c r="L346" s="24"/>
      <c r="M346" s="24"/>
      <c r="N346" s="22"/>
      <c r="O346" s="22"/>
      <c r="P346" s="22"/>
      <c r="Q346" s="22"/>
      <c r="R346" s="22"/>
      <c r="S346" s="22"/>
      <c r="T346" s="22"/>
      <c r="U346" s="22" t="s">
        <v>279</v>
      </c>
      <c r="V346" s="22"/>
      <c r="W346" s="28"/>
      <c r="X346" s="107"/>
    </row>
    <row r="347" spans="1:24" ht="18" x14ac:dyDescent="0.25">
      <c r="A347" s="5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5"/>
      <c r="O347" s="5"/>
      <c r="P347" s="5"/>
      <c r="Q347" s="5"/>
      <c r="R347" s="5"/>
      <c r="S347" s="5"/>
      <c r="T347" s="5"/>
      <c r="U347" s="5"/>
      <c r="V347" s="5"/>
      <c r="W347" s="28"/>
      <c r="X347" s="107"/>
    </row>
    <row r="348" spans="1:24" s="108" customFormat="1" ht="18" x14ac:dyDescent="0.25">
      <c r="A348" s="13" t="s">
        <v>0</v>
      </c>
      <c r="B348" s="13"/>
      <c r="C348" s="14"/>
      <c r="D348" s="15"/>
      <c r="E348" s="15"/>
      <c r="F348" s="15"/>
      <c r="G348" s="15"/>
      <c r="H348" s="14"/>
      <c r="I348" s="14"/>
      <c r="J348" s="103" t="s">
        <v>263</v>
      </c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</row>
    <row r="349" spans="1:24" ht="18" x14ac:dyDescent="0.25">
      <c r="A349" s="13"/>
      <c r="B349" s="13"/>
      <c r="C349" s="14"/>
      <c r="D349" s="15"/>
      <c r="E349" s="15"/>
      <c r="F349" s="15"/>
      <c r="G349" s="15"/>
      <c r="H349" s="14"/>
      <c r="I349" s="14"/>
      <c r="J349" s="100"/>
      <c r="K349" s="15"/>
      <c r="L349" s="15"/>
      <c r="M349" s="7"/>
      <c r="N349" s="5"/>
      <c r="O349" s="5"/>
      <c r="P349" s="5"/>
      <c r="Q349" s="5"/>
      <c r="R349" s="5"/>
      <c r="S349" s="5"/>
      <c r="T349" s="5"/>
      <c r="U349" s="5"/>
      <c r="V349" s="5"/>
      <c r="W349" s="28"/>
      <c r="X349" s="107"/>
    </row>
    <row r="350" spans="1:24" ht="18" x14ac:dyDescent="0.25">
      <c r="A350" s="6" t="s">
        <v>1</v>
      </c>
      <c r="B350" s="6"/>
      <c r="C350" s="7"/>
      <c r="D350" s="5"/>
      <c r="E350" s="5"/>
      <c r="F350" s="8" t="s">
        <v>254</v>
      </c>
      <c r="G350" s="5"/>
      <c r="H350" s="7"/>
      <c r="I350" s="7"/>
      <c r="J350" s="101" t="s">
        <v>2</v>
      </c>
      <c r="K350" s="8"/>
      <c r="M350" s="7"/>
      <c r="N350" s="5"/>
      <c r="O350" s="5"/>
      <c r="P350" s="5"/>
      <c r="Q350" s="5"/>
      <c r="R350" s="5"/>
      <c r="S350" s="5"/>
      <c r="T350" s="5"/>
      <c r="U350" s="5"/>
      <c r="V350" s="5"/>
      <c r="W350" s="28"/>
      <c r="X350" s="107"/>
    </row>
    <row r="351" spans="1:24" ht="18" x14ac:dyDescent="0.25">
      <c r="A351" s="9" t="s">
        <v>71</v>
      </c>
      <c r="B351" s="9"/>
      <c r="C351" s="7"/>
      <c r="D351" s="5"/>
      <c r="E351" s="5"/>
      <c r="F351" s="10" t="s">
        <v>255</v>
      </c>
      <c r="G351" s="5"/>
      <c r="H351" s="7"/>
      <c r="I351" s="7"/>
      <c r="J351" s="102" t="str">
        <f>+J$4</f>
        <v>PROJECTED TEST YEAR:      12/31/21</v>
      </c>
      <c r="K351" s="16"/>
      <c r="M351" s="7"/>
      <c r="N351" s="5"/>
      <c r="O351" s="5"/>
      <c r="P351" s="5"/>
      <c r="Q351" s="5"/>
      <c r="R351" s="5"/>
      <c r="S351" s="5"/>
      <c r="T351" s="5"/>
      <c r="U351" s="5"/>
      <c r="V351" s="5"/>
      <c r="W351" s="28"/>
      <c r="X351" s="107"/>
    </row>
    <row r="352" spans="1:24" ht="18" x14ac:dyDescent="0.25">
      <c r="A352" s="21" t="s">
        <v>249</v>
      </c>
      <c r="B352" s="21"/>
      <c r="C352" s="14"/>
      <c r="D352" s="14"/>
      <c r="E352" s="14"/>
      <c r="F352" s="27"/>
      <c r="G352" s="14"/>
      <c r="H352" s="14"/>
      <c r="I352" s="14"/>
      <c r="J352" s="103" t="str">
        <f>+J$5</f>
        <v>WITNESS:  D. YARDLEY</v>
      </c>
      <c r="K352" s="27"/>
      <c r="L352" s="108"/>
      <c r="M352" s="7"/>
      <c r="N352" s="5"/>
      <c r="O352" s="5"/>
      <c r="P352" s="5"/>
      <c r="Q352" s="5"/>
      <c r="R352" s="5"/>
      <c r="S352" s="5"/>
      <c r="T352" s="5"/>
      <c r="U352" s="5"/>
      <c r="V352" s="5"/>
      <c r="W352" s="28"/>
      <c r="X352" s="107"/>
    </row>
    <row r="353" spans="1:24" ht="18" x14ac:dyDescent="0.25">
      <c r="A353" s="5"/>
      <c r="B353" s="7"/>
      <c r="C353" s="7"/>
      <c r="D353" s="7"/>
      <c r="E353" s="7"/>
      <c r="F353" s="10"/>
      <c r="G353" s="7"/>
      <c r="H353" s="7"/>
      <c r="I353" s="7"/>
      <c r="J353" s="10"/>
      <c r="K353" s="10"/>
      <c r="M353" s="7"/>
      <c r="N353" s="5"/>
      <c r="O353" s="5"/>
      <c r="P353" s="5"/>
      <c r="Q353" s="5"/>
      <c r="R353" s="5"/>
      <c r="S353" s="5"/>
      <c r="T353" s="5"/>
      <c r="U353" s="5"/>
      <c r="V353" s="5"/>
      <c r="W353" s="28"/>
      <c r="X353" s="107"/>
    </row>
    <row r="354" spans="1:24" ht="18" x14ac:dyDescent="0.25">
      <c r="A354" s="5"/>
      <c r="B354" s="5"/>
      <c r="C354" s="7"/>
      <c r="D354" s="7"/>
      <c r="E354" s="7"/>
      <c r="F354" s="8" t="s">
        <v>3</v>
      </c>
      <c r="G354" s="5"/>
      <c r="H354" s="7"/>
      <c r="I354" s="7"/>
      <c r="J354" s="8"/>
      <c r="K354" s="8"/>
      <c r="M354" s="7"/>
      <c r="N354" s="5"/>
      <c r="O354" s="5"/>
      <c r="P354" s="5"/>
      <c r="Q354" s="5"/>
      <c r="R354" s="5"/>
      <c r="S354" s="5"/>
      <c r="T354" s="5"/>
      <c r="U354" s="5"/>
      <c r="V354" s="5"/>
      <c r="W354" s="28"/>
      <c r="X354" s="107"/>
    </row>
    <row r="355" spans="1:24" ht="18" x14ac:dyDescent="0.25">
      <c r="A355" s="5"/>
      <c r="B355" s="6"/>
      <c r="C355" s="7"/>
      <c r="D355" s="5"/>
      <c r="E355" s="5"/>
      <c r="F355" s="5"/>
      <c r="G355" s="5"/>
      <c r="H355" s="7"/>
      <c r="I355" s="7"/>
      <c r="J355" s="7"/>
      <c r="K355" s="5"/>
      <c r="L355" s="5"/>
      <c r="M355" s="7"/>
      <c r="N355" s="5"/>
      <c r="O355" s="5"/>
      <c r="P355" s="5"/>
      <c r="Q355" s="5"/>
      <c r="R355" s="5"/>
      <c r="S355" s="5"/>
      <c r="T355" s="5"/>
      <c r="U355" s="5"/>
      <c r="V355" s="5"/>
      <c r="W355" s="28"/>
      <c r="X355" s="107"/>
    </row>
    <row r="356" spans="1:24" ht="18" x14ac:dyDescent="0.25">
      <c r="A356" s="7"/>
      <c r="B356" s="6"/>
      <c r="C356" s="7"/>
      <c r="D356" s="7"/>
      <c r="E356" s="7"/>
      <c r="F356" s="7"/>
      <c r="G356" s="7"/>
      <c r="H356" s="7"/>
      <c r="I356" s="7"/>
      <c r="J356" s="7"/>
      <c r="K356" s="5"/>
      <c r="L356" s="5"/>
      <c r="M356" s="7"/>
      <c r="N356" s="5"/>
      <c r="O356" s="5"/>
      <c r="P356" s="5"/>
      <c r="Q356" s="5"/>
      <c r="R356" s="5"/>
      <c r="S356" s="5"/>
      <c r="T356" s="5"/>
      <c r="U356" s="5"/>
      <c r="V356" s="5"/>
      <c r="W356" s="28"/>
      <c r="X356" s="107"/>
    </row>
    <row r="357" spans="1:24" ht="18" x14ac:dyDescent="0.25">
      <c r="A357" s="10">
        <f>+A353+1</f>
        <v>1</v>
      </c>
      <c r="B357" s="216" t="s">
        <v>163</v>
      </c>
      <c r="C357" s="195"/>
      <c r="D357" s="217" t="s">
        <v>67</v>
      </c>
      <c r="E357" s="217"/>
      <c r="F357" s="218"/>
      <c r="G357" s="218"/>
      <c r="H357" s="217" t="s">
        <v>68</v>
      </c>
      <c r="I357" s="219"/>
      <c r="J357" s="7"/>
      <c r="K357" s="5"/>
      <c r="L357" s="5"/>
      <c r="M357" s="7"/>
      <c r="N357" s="5"/>
      <c r="O357" s="5"/>
      <c r="P357" s="5"/>
      <c r="Q357" s="5"/>
      <c r="R357" s="5"/>
      <c r="S357" s="5"/>
      <c r="T357" s="5"/>
      <c r="U357" s="5"/>
      <c r="V357" s="5"/>
      <c r="W357" s="28"/>
      <c r="X357" s="107"/>
    </row>
    <row r="358" spans="1:24" ht="19.5" x14ac:dyDescent="0.35">
      <c r="A358" s="10">
        <f>+A357+1</f>
        <v>2</v>
      </c>
      <c r="B358" s="220"/>
      <c r="C358" s="7"/>
      <c r="D358" s="221"/>
      <c r="E358" s="221"/>
      <c r="F358" s="221"/>
      <c r="G358" s="221"/>
      <c r="H358" s="221"/>
      <c r="I358" s="222"/>
      <c r="J358" s="7"/>
      <c r="K358" s="5"/>
      <c r="L358" s="5"/>
      <c r="M358" s="7"/>
      <c r="N358" s="5"/>
      <c r="O358" s="5"/>
      <c r="P358" s="5"/>
      <c r="Q358" s="5"/>
      <c r="R358" s="5"/>
      <c r="S358" s="5"/>
      <c r="T358" s="5"/>
      <c r="U358" s="5"/>
      <c r="V358" s="5"/>
      <c r="W358" s="28"/>
      <c r="X358" s="107"/>
    </row>
    <row r="359" spans="1:24" ht="19.5" x14ac:dyDescent="0.35">
      <c r="A359" s="10">
        <f t="shared" ref="A359:A375" si="137">+A358+1</f>
        <v>3</v>
      </c>
      <c r="B359" s="164" t="s">
        <v>232</v>
      </c>
      <c r="C359" s="7"/>
      <c r="D359" s="223">
        <f>+D328</f>
        <v>50</v>
      </c>
      <c r="E359" s="224">
        <f>+E328</f>
        <v>3102944.4219554001</v>
      </c>
      <c r="F359" s="221"/>
      <c r="G359" s="221"/>
      <c r="H359" s="225">
        <f>+H328</f>
        <v>66.867287581172761</v>
      </c>
      <c r="I359" s="224">
        <f>+I328</f>
        <v>4149709.5402257526</v>
      </c>
      <c r="J359" s="7"/>
      <c r="K359" s="5"/>
      <c r="L359" s="5"/>
      <c r="M359" s="7"/>
      <c r="N359" s="5"/>
      <c r="O359" s="5"/>
      <c r="P359" s="5"/>
      <c r="Q359" s="5"/>
      <c r="R359" s="5"/>
      <c r="S359" s="5"/>
      <c r="T359" s="5"/>
      <c r="U359" s="5"/>
      <c r="V359" s="5"/>
      <c r="W359" s="28"/>
      <c r="X359" s="107"/>
    </row>
    <row r="360" spans="1:24" ht="19.5" x14ac:dyDescent="0.35">
      <c r="A360" s="10">
        <f t="shared" si="137"/>
        <v>4</v>
      </c>
      <c r="B360" s="164" t="s">
        <v>233</v>
      </c>
      <c r="C360" s="7"/>
      <c r="D360" s="223">
        <f t="shared" ref="D360:E360" si="138">+D329</f>
        <v>75</v>
      </c>
      <c r="E360" s="224">
        <f t="shared" si="138"/>
        <v>323820</v>
      </c>
      <c r="F360" s="221"/>
      <c r="G360" s="221"/>
      <c r="H360" s="225">
        <f t="shared" ref="H360:I360" si="139">+H329</f>
        <v>100</v>
      </c>
      <c r="I360" s="224">
        <f t="shared" si="139"/>
        <v>431760.00000000006</v>
      </c>
      <c r="J360" s="7"/>
      <c r="K360" s="5"/>
      <c r="L360" s="5"/>
      <c r="M360" s="7"/>
      <c r="N360" s="5"/>
      <c r="O360" s="5"/>
      <c r="P360" s="5"/>
      <c r="Q360" s="5"/>
      <c r="R360" s="5"/>
      <c r="S360" s="5"/>
      <c r="T360" s="5"/>
      <c r="U360" s="5"/>
      <c r="V360" s="5"/>
      <c r="W360" s="28"/>
      <c r="X360" s="107"/>
    </row>
    <row r="361" spans="1:24" ht="19.5" x14ac:dyDescent="0.35">
      <c r="A361" s="10">
        <f t="shared" si="137"/>
        <v>5</v>
      </c>
      <c r="B361" s="164" t="s">
        <v>234</v>
      </c>
      <c r="C361" s="7"/>
      <c r="D361" s="223">
        <f t="shared" ref="D361:E361" si="140">+D330</f>
        <v>20</v>
      </c>
      <c r="E361" s="224">
        <f t="shared" si="140"/>
        <v>78823.78688</v>
      </c>
      <c r="F361" s="221"/>
      <c r="G361" s="221"/>
      <c r="H361" s="225">
        <f t="shared" ref="H361:I361" si="141">+H330</f>
        <v>25</v>
      </c>
      <c r="I361" s="224">
        <f t="shared" si="141"/>
        <v>98529.733599999992</v>
      </c>
      <c r="J361" s="7"/>
      <c r="K361" s="5"/>
      <c r="L361" s="5"/>
      <c r="M361" s="7"/>
      <c r="N361" s="5"/>
      <c r="O361" s="5"/>
      <c r="P361" s="5"/>
      <c r="Q361" s="5"/>
      <c r="R361" s="5"/>
      <c r="S361" s="5"/>
      <c r="T361" s="5"/>
      <c r="U361" s="5"/>
      <c r="V361" s="5"/>
      <c r="W361" s="28"/>
      <c r="X361" s="107"/>
    </row>
    <row r="362" spans="1:24" ht="19.5" x14ac:dyDescent="0.35">
      <c r="A362" s="10">
        <f t="shared" si="137"/>
        <v>6</v>
      </c>
      <c r="B362" s="226" t="s">
        <v>244</v>
      </c>
      <c r="C362" s="29"/>
      <c r="D362" s="223">
        <f t="shared" ref="D362:E362" si="142">+D331</f>
        <v>25</v>
      </c>
      <c r="E362" s="224">
        <f t="shared" si="142"/>
        <v>0</v>
      </c>
      <c r="F362" s="221"/>
      <c r="G362" s="221"/>
      <c r="H362" s="225">
        <f t="shared" ref="H362:I362" si="143">+H331</f>
        <v>25</v>
      </c>
      <c r="I362" s="224">
        <f t="shared" si="143"/>
        <v>0</v>
      </c>
      <c r="J362" s="7"/>
      <c r="K362" s="5"/>
      <c r="L362" s="5"/>
      <c r="M362" s="7"/>
      <c r="N362" s="5"/>
      <c r="O362" s="5"/>
      <c r="P362" s="5"/>
      <c r="Q362" s="5"/>
      <c r="R362" s="5"/>
      <c r="S362" s="5"/>
      <c r="T362" s="5"/>
      <c r="U362" s="5"/>
      <c r="V362" s="5"/>
      <c r="W362" s="28"/>
      <c r="X362" s="107"/>
    </row>
    <row r="363" spans="1:24" ht="19.5" x14ac:dyDescent="0.35">
      <c r="A363" s="10">
        <f t="shared" si="137"/>
        <v>7</v>
      </c>
      <c r="B363" s="226" t="s">
        <v>245</v>
      </c>
      <c r="C363" s="7"/>
      <c r="D363" s="223">
        <f t="shared" ref="D363:E363" si="144">+D332</f>
        <v>28</v>
      </c>
      <c r="E363" s="224">
        <f t="shared" si="144"/>
        <v>1303747.6408319999</v>
      </c>
      <c r="F363" s="221"/>
      <c r="G363" s="221"/>
      <c r="H363" s="225">
        <f t="shared" ref="H363:I363" si="145">+H332</f>
        <v>24</v>
      </c>
      <c r="I363" s="224">
        <f t="shared" si="145"/>
        <v>1117497.977856</v>
      </c>
      <c r="J363" s="7"/>
      <c r="K363" s="5"/>
      <c r="L363" s="5"/>
      <c r="M363" s="7"/>
      <c r="N363" s="5"/>
      <c r="O363" s="5"/>
      <c r="P363" s="5"/>
      <c r="Q363" s="5"/>
      <c r="R363" s="5"/>
      <c r="S363" s="5"/>
      <c r="T363" s="5"/>
      <c r="U363" s="5"/>
      <c r="V363" s="5"/>
      <c r="W363" s="28"/>
      <c r="X363" s="107"/>
    </row>
    <row r="364" spans="1:24" ht="19.5" x14ac:dyDescent="0.35">
      <c r="A364" s="10">
        <f t="shared" si="137"/>
        <v>8</v>
      </c>
      <c r="B364" s="226" t="s">
        <v>91</v>
      </c>
      <c r="C364" s="7"/>
      <c r="D364" s="223">
        <f t="shared" ref="D364:E364" si="146">+D333</f>
        <v>10</v>
      </c>
      <c r="E364" s="224">
        <f t="shared" si="146"/>
        <v>202372.1675712</v>
      </c>
      <c r="F364" s="221"/>
      <c r="G364" s="221"/>
      <c r="H364" s="225">
        <f t="shared" ref="H364:I364" si="147">+H333</f>
        <v>10</v>
      </c>
      <c r="I364" s="224">
        <f t="shared" si="147"/>
        <v>202372.1675712</v>
      </c>
      <c r="J364" s="7"/>
      <c r="K364" s="5"/>
      <c r="L364" s="5"/>
      <c r="M364" s="7"/>
      <c r="N364" s="5"/>
      <c r="O364" s="5"/>
      <c r="P364" s="5"/>
      <c r="Q364" s="5"/>
      <c r="R364" s="5"/>
      <c r="S364" s="5"/>
      <c r="T364" s="5"/>
      <c r="U364" s="5"/>
      <c r="V364" s="5"/>
      <c r="W364" s="28"/>
      <c r="X364" s="107"/>
    </row>
    <row r="365" spans="1:24" ht="19.5" x14ac:dyDescent="0.35">
      <c r="A365" s="10">
        <f t="shared" si="137"/>
        <v>9</v>
      </c>
      <c r="B365" s="227" t="s">
        <v>93</v>
      </c>
      <c r="C365" s="29"/>
      <c r="D365" s="223">
        <f t="shared" ref="D365:E365" si="148">+D334</f>
        <v>144</v>
      </c>
      <c r="E365" s="224">
        <f t="shared" si="148"/>
        <v>584064</v>
      </c>
      <c r="F365" s="221"/>
      <c r="G365" s="221"/>
      <c r="H365" s="225">
        <f t="shared" ref="H365:I365" si="149">+H334</f>
        <v>216</v>
      </c>
      <c r="I365" s="224">
        <f t="shared" si="149"/>
        <v>756864</v>
      </c>
      <c r="J365" s="7"/>
      <c r="K365" s="5"/>
      <c r="L365" s="5"/>
      <c r="M365" s="7"/>
      <c r="N365" s="5"/>
      <c r="O365" s="5"/>
      <c r="P365" s="5"/>
      <c r="Q365" s="5"/>
      <c r="R365" s="5"/>
      <c r="S365" s="5"/>
      <c r="T365" s="5"/>
      <c r="U365" s="5"/>
      <c r="V365" s="5"/>
      <c r="W365" s="28"/>
      <c r="X365" s="107"/>
    </row>
    <row r="366" spans="1:24" ht="19.5" x14ac:dyDescent="0.35">
      <c r="A366" s="10">
        <f t="shared" si="137"/>
        <v>10</v>
      </c>
      <c r="B366" s="227" t="s">
        <v>164</v>
      </c>
      <c r="C366" s="29"/>
      <c r="D366" s="223">
        <f t="shared" ref="D366:E366" si="150">+D335</f>
        <v>148</v>
      </c>
      <c r="E366" s="224">
        <f t="shared" si="150"/>
        <v>372240</v>
      </c>
      <c r="F366" s="221"/>
      <c r="G366" s="221"/>
      <c r="H366" s="225">
        <f t="shared" ref="H366:I366" si="151">+H335</f>
        <v>148</v>
      </c>
      <c r="I366" s="224">
        <f t="shared" si="151"/>
        <v>372240</v>
      </c>
      <c r="J366" s="7"/>
      <c r="K366" s="5"/>
      <c r="L366" s="5"/>
      <c r="M366" s="7"/>
      <c r="N366" s="5"/>
      <c r="O366" s="5"/>
      <c r="P366" s="5"/>
      <c r="Q366" s="5"/>
      <c r="R366" s="5"/>
      <c r="S366" s="5"/>
      <c r="T366" s="5"/>
      <c r="U366" s="5"/>
      <c r="V366" s="5"/>
      <c r="W366" s="28"/>
      <c r="X366" s="107"/>
    </row>
    <row r="367" spans="1:24" ht="19.5" x14ac:dyDescent="0.35">
      <c r="A367" s="10">
        <f t="shared" si="137"/>
        <v>11</v>
      </c>
      <c r="B367" s="227" t="s">
        <v>103</v>
      </c>
      <c r="C367" s="29"/>
      <c r="D367" s="223" t="str">
        <f t="shared" ref="D367:E367" si="152">+D336</f>
        <v>$142+$0.91 per acct</v>
      </c>
      <c r="E367" s="224">
        <f t="shared" si="152"/>
        <v>1182468.19704</v>
      </c>
      <c r="F367" s="221"/>
      <c r="G367" s="221"/>
      <c r="H367" s="225" t="str">
        <f t="shared" ref="H367:I367" si="153">+H336</f>
        <v>$142+$0.91 per acct</v>
      </c>
      <c r="I367" s="224">
        <f t="shared" si="153"/>
        <v>1182468.19704</v>
      </c>
      <c r="J367" s="7"/>
      <c r="K367" s="5"/>
      <c r="L367" s="5"/>
      <c r="M367" s="7"/>
      <c r="N367" s="5"/>
      <c r="O367" s="5"/>
      <c r="P367" s="5"/>
      <c r="Q367" s="5"/>
      <c r="R367" s="5"/>
      <c r="S367" s="5"/>
      <c r="T367" s="5"/>
      <c r="U367" s="5"/>
      <c r="V367" s="5"/>
      <c r="W367" s="28"/>
      <c r="X367" s="107"/>
    </row>
    <row r="368" spans="1:24" ht="19.5" x14ac:dyDescent="0.35">
      <c r="A368" s="10">
        <f t="shared" si="137"/>
        <v>12</v>
      </c>
      <c r="B368" s="227" t="s">
        <v>110</v>
      </c>
      <c r="C368" s="29"/>
      <c r="D368" s="223" t="str">
        <f t="shared" ref="D368:E368" si="154">+D337</f>
        <v>Varies</v>
      </c>
      <c r="E368" s="224">
        <f t="shared" si="154"/>
        <v>96615.7000004</v>
      </c>
      <c r="F368" s="221"/>
      <c r="G368" s="221"/>
      <c r="H368" s="225" t="str">
        <f t="shared" ref="H368:I368" si="155">+H337</f>
        <v>Varies</v>
      </c>
      <c r="I368" s="224">
        <f t="shared" si="155"/>
        <v>96615.7000004</v>
      </c>
      <c r="J368" s="7"/>
      <c r="K368" s="5"/>
      <c r="L368" s="5"/>
      <c r="M368" s="7"/>
      <c r="N368" s="5"/>
      <c r="O368" s="5"/>
      <c r="P368" s="5"/>
      <c r="Q368" s="5"/>
      <c r="R368" s="5"/>
      <c r="S368" s="5"/>
      <c r="T368" s="5"/>
      <c r="U368" s="5"/>
      <c r="V368" s="5"/>
      <c r="W368" s="28"/>
      <c r="X368" s="107"/>
    </row>
    <row r="369" spans="1:24" ht="19.5" x14ac:dyDescent="0.35">
      <c r="A369" s="10">
        <f t="shared" si="137"/>
        <v>13</v>
      </c>
      <c r="B369" s="227" t="s">
        <v>90</v>
      </c>
      <c r="C369" s="29"/>
      <c r="D369" s="223">
        <f t="shared" ref="D369:E369" si="156">+D338</f>
        <v>20</v>
      </c>
      <c r="E369" s="224">
        <f t="shared" si="156"/>
        <v>8023.1542854999998</v>
      </c>
      <c r="F369" s="221"/>
      <c r="G369" s="221"/>
      <c r="H369" s="225">
        <f t="shared" ref="H369:I369" si="157">+H338</f>
        <v>30</v>
      </c>
      <c r="I369" s="224">
        <f t="shared" si="157"/>
        <v>12034.731428249999</v>
      </c>
      <c r="J369" s="7"/>
      <c r="K369" s="5"/>
      <c r="L369" s="5"/>
      <c r="M369" s="7"/>
      <c r="N369" s="5"/>
      <c r="O369" s="5"/>
      <c r="P369" s="5"/>
      <c r="Q369" s="5"/>
      <c r="R369" s="5"/>
      <c r="S369" s="5"/>
      <c r="T369" s="5"/>
      <c r="U369" s="5"/>
      <c r="V369" s="5"/>
      <c r="W369" s="28"/>
      <c r="X369" s="107"/>
    </row>
    <row r="370" spans="1:24" ht="19.5" x14ac:dyDescent="0.35">
      <c r="A370" s="10">
        <f t="shared" si="137"/>
        <v>14</v>
      </c>
      <c r="B370" s="227" t="s">
        <v>92</v>
      </c>
      <c r="C370" s="29"/>
      <c r="D370" s="223">
        <f t="shared" ref="D370:E370" si="158">+D339</f>
        <v>20</v>
      </c>
      <c r="E370" s="224">
        <f t="shared" si="158"/>
        <v>76099.833599999998</v>
      </c>
      <c r="F370" s="221"/>
      <c r="G370" s="221"/>
      <c r="H370" s="225">
        <f t="shared" ref="H370:I370" si="159">+H339</f>
        <v>25</v>
      </c>
      <c r="I370" s="224">
        <f t="shared" si="159"/>
        <v>95124.792000000001</v>
      </c>
      <c r="J370" s="7"/>
      <c r="K370" s="5"/>
      <c r="L370" s="5"/>
      <c r="M370" s="7"/>
      <c r="N370" s="5"/>
      <c r="O370" s="5"/>
      <c r="P370" s="5"/>
      <c r="Q370" s="5"/>
      <c r="R370" s="5"/>
      <c r="S370" s="5"/>
      <c r="T370" s="5"/>
      <c r="U370" s="5"/>
      <c r="V370" s="5"/>
      <c r="W370" s="28"/>
      <c r="X370" s="107"/>
    </row>
    <row r="371" spans="1:24" ht="19.5" x14ac:dyDescent="0.35">
      <c r="A371" s="10">
        <f t="shared" si="137"/>
        <v>15</v>
      </c>
      <c r="B371" s="227" t="s">
        <v>253</v>
      </c>
      <c r="C371" s="29"/>
      <c r="D371" s="223">
        <f t="shared" ref="D371:E371" si="160">+D340</f>
        <v>0</v>
      </c>
      <c r="E371" s="224">
        <f t="shared" si="160"/>
        <v>-215568</v>
      </c>
      <c r="F371" s="221"/>
      <c r="G371" s="221"/>
      <c r="H371" s="225">
        <f t="shared" ref="H371:I371" si="161">+H340</f>
        <v>0</v>
      </c>
      <c r="I371" s="224">
        <f t="shared" si="161"/>
        <v>-215568</v>
      </c>
      <c r="J371" s="7"/>
      <c r="K371" s="5"/>
      <c r="L371" s="5"/>
      <c r="M371" s="7"/>
      <c r="N371" s="5"/>
      <c r="O371" s="5"/>
      <c r="P371" s="5"/>
      <c r="Q371" s="5"/>
      <c r="R371" s="5"/>
      <c r="S371" s="5"/>
      <c r="T371" s="5"/>
      <c r="U371" s="5"/>
      <c r="V371" s="5"/>
      <c r="W371" s="28"/>
      <c r="X371" s="107"/>
    </row>
    <row r="372" spans="1:24" ht="19.5" x14ac:dyDescent="0.35">
      <c r="A372" s="10">
        <f t="shared" si="137"/>
        <v>16</v>
      </c>
      <c r="B372" s="227" t="s">
        <v>246</v>
      </c>
      <c r="C372" s="29"/>
      <c r="D372" s="223">
        <f t="shared" ref="D372:E373" si="162">+D341</f>
        <v>15</v>
      </c>
      <c r="E372" s="224">
        <f t="shared" si="162"/>
        <v>183600</v>
      </c>
      <c r="F372" s="221"/>
      <c r="G372" s="221"/>
      <c r="H372" s="225">
        <f t="shared" ref="H372:I373" si="163">+H341</f>
        <v>29</v>
      </c>
      <c r="I372" s="224">
        <f t="shared" si="163"/>
        <v>354960</v>
      </c>
      <c r="J372" s="7"/>
      <c r="K372" s="5"/>
      <c r="L372" s="5"/>
      <c r="M372" s="7"/>
      <c r="N372" s="5"/>
      <c r="O372" s="5"/>
      <c r="P372" s="5"/>
      <c r="Q372" s="5"/>
      <c r="R372" s="5"/>
      <c r="S372" s="5"/>
      <c r="T372" s="5"/>
      <c r="U372" s="5"/>
      <c r="V372" s="5"/>
      <c r="W372" s="28"/>
      <c r="X372" s="107"/>
    </row>
    <row r="373" spans="1:24" ht="19.5" x14ac:dyDescent="0.35">
      <c r="A373" s="10">
        <f t="shared" si="137"/>
        <v>17</v>
      </c>
      <c r="B373" s="227" t="s">
        <v>235</v>
      </c>
      <c r="C373" s="29"/>
      <c r="D373" s="228">
        <f t="shared" si="162"/>
        <v>0</v>
      </c>
      <c r="E373" s="229">
        <f t="shared" si="162"/>
        <v>4528224.3575000996</v>
      </c>
      <c r="F373" s="221"/>
      <c r="G373" s="221"/>
      <c r="H373" s="230">
        <f t="shared" si="163"/>
        <v>0</v>
      </c>
      <c r="I373" s="229">
        <f t="shared" si="163"/>
        <v>4528224.3575000996</v>
      </c>
      <c r="J373" s="7"/>
      <c r="K373" s="5"/>
      <c r="L373" s="5"/>
      <c r="M373" s="7"/>
      <c r="N373" s="5"/>
      <c r="O373" s="5"/>
      <c r="P373" s="5"/>
      <c r="Q373" s="5"/>
      <c r="R373" s="5"/>
      <c r="S373" s="5"/>
      <c r="T373" s="5"/>
      <c r="U373" s="5"/>
      <c r="V373" s="5"/>
      <c r="W373" s="28"/>
      <c r="X373" s="107"/>
    </row>
    <row r="374" spans="1:24" ht="19.5" x14ac:dyDescent="0.35">
      <c r="A374" s="10">
        <f t="shared" si="137"/>
        <v>18</v>
      </c>
      <c r="B374" s="99"/>
      <c r="C374" s="29"/>
      <c r="D374" s="231"/>
      <c r="E374" s="232"/>
      <c r="F374" s="221"/>
      <c r="G374" s="221"/>
      <c r="H374" s="231"/>
      <c r="I374" s="233"/>
      <c r="J374" s="7"/>
      <c r="K374" s="5"/>
      <c r="L374" s="5"/>
      <c r="M374" s="7"/>
      <c r="N374" s="5"/>
      <c r="O374" s="5"/>
      <c r="P374" s="5"/>
      <c r="Q374" s="5"/>
      <c r="R374" s="5"/>
      <c r="S374" s="5"/>
      <c r="T374" s="5"/>
      <c r="U374" s="5"/>
      <c r="V374" s="5"/>
      <c r="W374" s="28"/>
      <c r="X374" s="107"/>
    </row>
    <row r="375" spans="1:24" ht="19.5" x14ac:dyDescent="0.35">
      <c r="A375" s="10">
        <f t="shared" si="137"/>
        <v>19</v>
      </c>
      <c r="B375" s="234" t="s">
        <v>19</v>
      </c>
      <c r="C375" s="7"/>
      <c r="D375" s="7"/>
      <c r="E375" s="235">
        <f>SUM(E359:E374)</f>
        <v>11827475.259664599</v>
      </c>
      <c r="F375" s="221"/>
      <c r="G375" s="221"/>
      <c r="H375" s="7"/>
      <c r="I375" s="235">
        <f>SUM(I359:I374)</f>
        <v>13182833.197221704</v>
      </c>
      <c r="J375" s="7"/>
      <c r="K375" s="5"/>
      <c r="L375" s="5"/>
      <c r="M375" s="7"/>
      <c r="N375" s="5"/>
      <c r="O375" s="5"/>
      <c r="P375" s="5"/>
      <c r="Q375" s="5"/>
      <c r="R375" s="5"/>
      <c r="S375" s="5"/>
      <c r="T375" s="5"/>
      <c r="U375" s="5"/>
      <c r="V375" s="5"/>
      <c r="W375" s="28"/>
      <c r="X375" s="107"/>
    </row>
    <row r="376" spans="1:24" ht="18" x14ac:dyDescent="0.25">
      <c r="A376" s="10"/>
      <c r="B376" s="213"/>
      <c r="C376" s="7"/>
      <c r="D376" s="5"/>
      <c r="E376" s="214"/>
      <c r="H376" s="5"/>
      <c r="I376" s="214"/>
      <c r="J376" s="7"/>
      <c r="K376" s="5"/>
      <c r="L376" s="5"/>
      <c r="M376" s="7"/>
      <c r="N376" s="5"/>
      <c r="O376" s="5"/>
      <c r="P376" s="5"/>
      <c r="Q376" s="5"/>
      <c r="R376" s="5"/>
      <c r="S376" s="5"/>
      <c r="T376" s="5"/>
      <c r="U376" s="5"/>
      <c r="V376" s="5"/>
      <c r="W376" s="28"/>
      <c r="X376" s="107"/>
    </row>
    <row r="377" spans="1:24" ht="18" x14ac:dyDescent="0.25">
      <c r="A377" s="10"/>
      <c r="B377" s="213"/>
      <c r="C377" s="7"/>
      <c r="D377" s="5"/>
      <c r="E377" s="214"/>
      <c r="H377" s="5"/>
      <c r="I377" s="214"/>
      <c r="J377" s="7"/>
      <c r="K377" s="5"/>
      <c r="L377" s="5"/>
      <c r="M377" s="7"/>
      <c r="N377" s="5"/>
      <c r="O377" s="5"/>
      <c r="P377" s="5"/>
      <c r="Q377" s="5"/>
      <c r="R377" s="5"/>
      <c r="S377" s="5"/>
      <c r="T377" s="5"/>
      <c r="U377" s="5"/>
      <c r="V377" s="5"/>
      <c r="W377" s="28"/>
      <c r="X377" s="107"/>
    </row>
    <row r="378" spans="1:24" ht="18" x14ac:dyDescent="0.25">
      <c r="A378" s="10"/>
      <c r="B378" s="213"/>
      <c r="C378" s="7"/>
      <c r="D378" s="5"/>
      <c r="E378" s="214"/>
      <c r="H378" s="5"/>
      <c r="I378" s="214"/>
      <c r="J378" s="7"/>
      <c r="K378" s="5"/>
      <c r="L378" s="5"/>
      <c r="M378" s="7"/>
      <c r="N378" s="5"/>
      <c r="O378" s="5"/>
      <c r="P378" s="5"/>
      <c r="Q378" s="5"/>
      <c r="R378" s="5"/>
      <c r="S378" s="5"/>
      <c r="T378" s="5"/>
      <c r="U378" s="5"/>
      <c r="V378" s="5"/>
      <c r="W378" s="28"/>
      <c r="X378" s="107"/>
    </row>
    <row r="379" spans="1:24" ht="18" x14ac:dyDescent="0.25">
      <c r="A379" s="10"/>
      <c r="B379" s="213"/>
      <c r="C379" s="7"/>
      <c r="D379" s="5"/>
      <c r="E379" s="214"/>
      <c r="H379" s="5"/>
      <c r="I379" s="214"/>
      <c r="J379" s="7"/>
      <c r="K379" s="5"/>
      <c r="L379" s="5"/>
      <c r="M379" s="7"/>
      <c r="N379" s="5"/>
      <c r="O379" s="5"/>
      <c r="P379" s="5"/>
      <c r="Q379" s="5"/>
      <c r="R379" s="5"/>
      <c r="S379" s="5"/>
      <c r="T379" s="5"/>
      <c r="U379" s="5"/>
      <c r="V379" s="5"/>
      <c r="W379" s="28"/>
      <c r="X379" s="107"/>
    </row>
    <row r="380" spans="1:24" ht="18" x14ac:dyDescent="0.25">
      <c r="A380" s="10"/>
      <c r="B380" s="213"/>
      <c r="C380" s="7"/>
      <c r="D380" s="5"/>
      <c r="E380" s="214"/>
      <c r="H380" s="5"/>
      <c r="I380" s="214"/>
      <c r="J380" s="7"/>
      <c r="K380" s="5"/>
      <c r="L380" s="5"/>
      <c r="M380" s="7"/>
      <c r="N380" s="5"/>
      <c r="O380" s="5"/>
      <c r="P380" s="5"/>
      <c r="Q380" s="5"/>
      <c r="R380" s="5"/>
      <c r="S380" s="5"/>
      <c r="T380" s="5"/>
      <c r="U380" s="5"/>
      <c r="V380" s="5"/>
      <c r="W380" s="28"/>
      <c r="X380" s="107"/>
    </row>
    <row r="381" spans="1:24" ht="18" x14ac:dyDescent="0.25">
      <c r="A381" s="10"/>
      <c r="B381" s="213"/>
      <c r="C381" s="7"/>
      <c r="D381" s="5"/>
      <c r="E381" s="214"/>
      <c r="H381" s="5"/>
      <c r="I381" s="214"/>
      <c r="J381" s="7"/>
      <c r="K381" s="5"/>
      <c r="L381" s="5"/>
      <c r="M381" s="7"/>
      <c r="N381" s="5"/>
      <c r="O381" s="5"/>
      <c r="P381" s="5"/>
      <c r="Q381" s="5"/>
      <c r="R381" s="5"/>
      <c r="S381" s="5"/>
      <c r="T381" s="5"/>
      <c r="U381" s="5"/>
      <c r="V381" s="5"/>
      <c r="W381" s="28"/>
      <c r="X381" s="107"/>
    </row>
    <row r="382" spans="1:24" ht="18" x14ac:dyDescent="0.25">
      <c r="A382" s="15"/>
      <c r="B382" s="14"/>
      <c r="C382" s="14"/>
      <c r="D382" s="14"/>
      <c r="E382" s="14"/>
      <c r="F382" s="14"/>
      <c r="G382" s="14"/>
      <c r="H382" s="14"/>
      <c r="I382" s="14"/>
      <c r="J382" s="14"/>
      <c r="K382" s="15"/>
      <c r="L382" s="15"/>
      <c r="M382" s="7"/>
      <c r="N382" s="5"/>
      <c r="O382" s="5"/>
      <c r="P382" s="5"/>
      <c r="Q382" s="5"/>
      <c r="R382" s="5"/>
      <c r="S382" s="5"/>
      <c r="T382" s="5"/>
      <c r="U382" s="5"/>
      <c r="V382" s="5"/>
      <c r="W382" s="28"/>
      <c r="X382" s="107"/>
    </row>
    <row r="383" spans="1:24" ht="18" x14ac:dyDescent="0.25">
      <c r="A383" s="6" t="s">
        <v>65</v>
      </c>
      <c r="B383" s="6"/>
      <c r="C383" s="7"/>
      <c r="D383" s="7"/>
      <c r="E383" s="7"/>
      <c r="F383" s="7"/>
      <c r="G383" s="7"/>
      <c r="H383" s="7"/>
      <c r="I383" s="7"/>
      <c r="J383" s="7"/>
      <c r="K383" s="5" t="s">
        <v>279</v>
      </c>
      <c r="L383" s="5"/>
      <c r="M383" s="7"/>
      <c r="N383" s="5"/>
      <c r="O383" s="5"/>
      <c r="P383" s="5"/>
      <c r="Q383" s="5"/>
      <c r="R383" s="5"/>
      <c r="S383" s="5"/>
      <c r="T383" s="5"/>
      <c r="U383" s="5"/>
      <c r="V383" s="5"/>
      <c r="W383" s="28"/>
      <c r="X383" s="107"/>
    </row>
    <row r="384" spans="1:24" ht="18" x14ac:dyDescent="0.25">
      <c r="A384" s="5"/>
      <c r="B384" s="6"/>
      <c r="C384" s="7"/>
      <c r="D384" s="5"/>
      <c r="E384" s="5"/>
      <c r="F384" s="5"/>
      <c r="G384" s="5"/>
      <c r="H384" s="7"/>
      <c r="I384" s="7"/>
      <c r="J384" s="7"/>
      <c r="K384" s="5"/>
      <c r="L384" s="5"/>
      <c r="M384" s="7"/>
      <c r="N384" s="5"/>
      <c r="O384" s="5"/>
      <c r="P384" s="5"/>
      <c r="Q384" s="5"/>
      <c r="R384" s="5"/>
      <c r="S384" s="5"/>
      <c r="T384" s="5"/>
      <c r="U384" s="5"/>
      <c r="V384" s="5"/>
      <c r="W384" s="28"/>
      <c r="X384" s="107"/>
    </row>
    <row r="385" spans="1:24" ht="18" x14ac:dyDescent="0.25">
      <c r="A385" s="5"/>
      <c r="B385" s="6"/>
      <c r="C385" s="7"/>
      <c r="D385" s="5"/>
      <c r="E385" s="5"/>
      <c r="F385" s="5"/>
      <c r="G385" s="5"/>
      <c r="H385" s="7"/>
      <c r="I385" s="7"/>
      <c r="J385" s="7"/>
      <c r="K385" s="5"/>
      <c r="L385" s="5"/>
      <c r="M385" s="7"/>
      <c r="N385" s="5"/>
      <c r="O385" s="5"/>
      <c r="P385" s="5"/>
      <c r="Q385" s="5"/>
      <c r="R385" s="5"/>
      <c r="S385" s="5"/>
      <c r="T385" s="5"/>
      <c r="U385" s="5"/>
      <c r="V385" s="5"/>
      <c r="W385" s="28"/>
      <c r="X385" s="107"/>
    </row>
    <row r="386" spans="1:24" ht="18" x14ac:dyDescent="0.25">
      <c r="A386" s="5"/>
      <c r="B386" s="6"/>
      <c r="C386" s="7"/>
      <c r="D386" s="5"/>
      <c r="E386" s="5"/>
      <c r="F386" s="5"/>
      <c r="G386" s="5"/>
      <c r="H386" s="7"/>
      <c r="I386" s="7"/>
      <c r="J386" s="7"/>
      <c r="K386" s="5"/>
      <c r="L386" s="5"/>
      <c r="M386" s="7"/>
      <c r="N386" s="5"/>
      <c r="O386" s="5"/>
      <c r="P386" s="5"/>
      <c r="Q386" s="5"/>
      <c r="R386" s="5"/>
      <c r="S386" s="5"/>
      <c r="T386" s="5"/>
      <c r="U386" s="5"/>
      <c r="V386" s="5"/>
      <c r="W386" s="28"/>
      <c r="X386" s="107"/>
    </row>
    <row r="387" spans="1:24" ht="18" x14ac:dyDescent="0.25">
      <c r="A387" s="5"/>
      <c r="B387" s="6"/>
      <c r="C387" s="7"/>
      <c r="D387" s="5"/>
      <c r="E387" s="5"/>
      <c r="F387" s="5"/>
      <c r="G387" s="5"/>
      <c r="H387" s="7"/>
      <c r="I387" s="7"/>
      <c r="J387" s="7"/>
      <c r="K387" s="5"/>
      <c r="L387" s="5"/>
      <c r="M387" s="7"/>
      <c r="N387" s="5"/>
      <c r="O387" s="5"/>
      <c r="P387" s="5"/>
      <c r="Q387" s="5"/>
      <c r="R387" s="5"/>
      <c r="S387" s="5"/>
      <c r="T387" s="5"/>
      <c r="U387" s="5"/>
      <c r="V387" s="5"/>
      <c r="W387" s="28"/>
      <c r="X387" s="107"/>
    </row>
    <row r="388" spans="1:24" ht="18" x14ac:dyDescent="0.25">
      <c r="A388" s="5"/>
      <c r="B388" s="6"/>
      <c r="C388" s="7"/>
      <c r="D388" s="5"/>
      <c r="E388" s="5"/>
      <c r="F388" s="5"/>
      <c r="G388" s="5"/>
      <c r="H388" s="7"/>
      <c r="I388" s="7"/>
      <c r="J388" s="7"/>
      <c r="K388" s="5"/>
      <c r="L388" s="5"/>
      <c r="M388" s="7"/>
      <c r="N388" s="5"/>
      <c r="O388" s="5"/>
      <c r="P388" s="5"/>
      <c r="Q388" s="5"/>
      <c r="R388" s="5"/>
      <c r="S388" s="5"/>
      <c r="T388" s="5"/>
      <c r="U388" s="5"/>
      <c r="V388" s="5"/>
      <c r="W388" s="28"/>
      <c r="X388" s="107"/>
    </row>
    <row r="389" spans="1:24" ht="18" x14ac:dyDescent="0.25">
      <c r="A389" s="5"/>
      <c r="B389" s="6"/>
      <c r="C389" s="7"/>
      <c r="D389" s="5"/>
      <c r="E389" s="5"/>
      <c r="F389" s="5"/>
      <c r="G389" s="5"/>
      <c r="H389" s="7"/>
      <c r="I389" s="7"/>
      <c r="J389" s="7"/>
      <c r="K389" s="5"/>
      <c r="L389" s="5"/>
      <c r="M389" s="7"/>
      <c r="N389" s="5"/>
      <c r="O389" s="5"/>
      <c r="P389" s="5"/>
      <c r="Q389" s="5"/>
      <c r="R389" s="5"/>
      <c r="S389" s="5"/>
      <c r="T389" s="5"/>
      <c r="U389" s="5"/>
      <c r="V389" s="5"/>
      <c r="W389" s="28"/>
      <c r="X389" s="107"/>
    </row>
    <row r="390" spans="1:24" ht="18" x14ac:dyDescent="0.25">
      <c r="A390" s="5"/>
      <c r="B390" s="6"/>
      <c r="C390" s="7"/>
      <c r="D390" s="5"/>
      <c r="E390" s="5"/>
      <c r="F390" s="5"/>
      <c r="G390" s="5"/>
      <c r="H390" s="7"/>
      <c r="I390" s="7"/>
      <c r="J390" s="7"/>
      <c r="K390" s="5"/>
      <c r="L390" s="5"/>
      <c r="M390" s="7"/>
      <c r="N390" s="5"/>
      <c r="O390" s="5"/>
      <c r="P390" s="5"/>
      <c r="Q390" s="5"/>
      <c r="R390" s="5"/>
      <c r="S390" s="5"/>
      <c r="T390" s="5"/>
      <c r="U390" s="5"/>
      <c r="V390" s="5"/>
      <c r="W390" s="28"/>
      <c r="X390" s="107"/>
    </row>
    <row r="391" spans="1:24" ht="18" x14ac:dyDescent="0.25">
      <c r="A391" s="5"/>
      <c r="B391" s="6"/>
      <c r="C391" s="7"/>
      <c r="D391" s="5"/>
      <c r="E391" s="5"/>
      <c r="F391" s="5"/>
      <c r="G391" s="5"/>
      <c r="H391" s="7"/>
      <c r="I391" s="7"/>
      <c r="J391" s="7"/>
      <c r="K391" s="5"/>
      <c r="L391" s="5"/>
      <c r="M391" s="7"/>
      <c r="N391" s="5"/>
      <c r="O391" s="5"/>
      <c r="P391" s="5"/>
      <c r="Q391" s="5"/>
      <c r="R391" s="5"/>
      <c r="S391" s="5"/>
      <c r="T391" s="5"/>
      <c r="U391" s="5"/>
      <c r="V391" s="5"/>
      <c r="W391" s="28"/>
      <c r="X391" s="107"/>
    </row>
    <row r="392" spans="1:24" ht="18" x14ac:dyDescent="0.25">
      <c r="A392" s="5"/>
      <c r="B392" s="6"/>
      <c r="C392" s="7"/>
      <c r="D392" s="5"/>
      <c r="E392" s="5"/>
      <c r="F392" s="5"/>
      <c r="G392" s="5"/>
      <c r="H392" s="7"/>
      <c r="I392" s="7"/>
      <c r="J392" s="7"/>
      <c r="K392" s="5"/>
      <c r="L392" s="5"/>
      <c r="M392" s="7"/>
      <c r="N392" s="5"/>
      <c r="O392" s="5"/>
      <c r="P392" s="5"/>
      <c r="Q392" s="5"/>
      <c r="R392" s="5"/>
      <c r="S392" s="5"/>
      <c r="T392" s="5"/>
      <c r="U392" s="5"/>
      <c r="V392" s="5"/>
      <c r="W392" s="28"/>
      <c r="X392" s="107"/>
    </row>
    <row r="393" spans="1:24" ht="18" x14ac:dyDescent="0.25">
      <c r="A393" s="5"/>
      <c r="B393" s="6"/>
      <c r="C393" s="7"/>
      <c r="D393" s="5"/>
      <c r="E393" s="5"/>
      <c r="F393" s="5"/>
      <c r="G393" s="5"/>
      <c r="H393" s="7"/>
      <c r="I393" s="7"/>
      <c r="J393" s="7"/>
      <c r="K393" s="5"/>
      <c r="L393" s="5"/>
      <c r="M393" s="7"/>
      <c r="N393" s="5"/>
      <c r="O393" s="5"/>
      <c r="P393" s="5"/>
      <c r="Q393" s="5"/>
      <c r="R393" s="5"/>
      <c r="S393" s="5"/>
      <c r="T393" s="5"/>
      <c r="U393" s="5"/>
      <c r="V393" s="5"/>
      <c r="W393" s="28"/>
      <c r="X393" s="107"/>
    </row>
    <row r="394" spans="1:24" ht="18" x14ac:dyDescent="0.25">
      <c r="A394" s="5"/>
      <c r="B394" s="6"/>
      <c r="C394" s="7"/>
      <c r="D394" s="5"/>
      <c r="E394" s="5"/>
      <c r="F394" s="5"/>
      <c r="G394" s="5"/>
      <c r="H394" s="7"/>
      <c r="I394" s="7"/>
      <c r="J394" s="7"/>
      <c r="K394" s="5"/>
      <c r="L394" s="5"/>
      <c r="M394" s="7"/>
      <c r="N394" s="5"/>
      <c r="O394" s="5"/>
      <c r="P394" s="5"/>
      <c r="Q394" s="5"/>
      <c r="R394" s="5"/>
      <c r="S394" s="5"/>
      <c r="T394" s="5"/>
      <c r="U394" s="5"/>
      <c r="V394" s="5"/>
      <c r="W394" s="28"/>
      <c r="X394" s="107"/>
    </row>
    <row r="395" spans="1:24" x14ac:dyDescent="0.25">
      <c r="X395" s="107"/>
    </row>
    <row r="396" spans="1:24" x14ac:dyDescent="0.25">
      <c r="X396" s="107"/>
    </row>
    <row r="397" spans="1:24" ht="18" x14ac:dyDescent="0.25">
      <c r="C397" s="7"/>
      <c r="D397" s="86" t="s">
        <v>153</v>
      </c>
      <c r="E397" s="86" t="s">
        <v>241</v>
      </c>
      <c r="X397" s="107"/>
    </row>
    <row r="398" spans="1:24" x14ac:dyDescent="0.25">
      <c r="C398" s="5" t="s">
        <v>237</v>
      </c>
      <c r="D398" s="87">
        <v>1250868.7249912592</v>
      </c>
      <c r="E398" s="89">
        <f>+D283</f>
        <v>16.2</v>
      </c>
      <c r="F398" s="91">
        <f>+D398*E398</f>
        <v>20264073.344858397</v>
      </c>
      <c r="X398" s="107"/>
    </row>
    <row r="399" spans="1:24" x14ac:dyDescent="0.25">
      <c r="C399" s="5" t="s">
        <v>238</v>
      </c>
      <c r="D399" s="87">
        <v>2247340.4154445892</v>
      </c>
      <c r="E399" s="89">
        <f>+D286</f>
        <v>19.2</v>
      </c>
      <c r="F399" s="91">
        <f>+D399*E399</f>
        <v>43148935.97653611</v>
      </c>
      <c r="X399" s="107"/>
    </row>
    <row r="400" spans="1:24" x14ac:dyDescent="0.25">
      <c r="C400" s="5" t="s">
        <v>239</v>
      </c>
      <c r="D400" s="87">
        <v>1104186.7405262059</v>
      </c>
      <c r="E400" s="89">
        <f>+D289</f>
        <v>26.2</v>
      </c>
      <c r="F400" s="92">
        <f>+D400*E400</f>
        <v>28929692.601786591</v>
      </c>
      <c r="X400" s="107"/>
    </row>
    <row r="401" spans="3:24" x14ac:dyDescent="0.25">
      <c r="C401" s="5"/>
      <c r="D401" s="5"/>
      <c r="E401" s="5"/>
      <c r="F401" s="91">
        <f>SUM(F398:F400)</f>
        <v>92342701.923181087</v>
      </c>
      <c r="X401" s="107"/>
    </row>
    <row r="402" spans="3:24" ht="18" x14ac:dyDescent="0.25">
      <c r="F402" s="7"/>
      <c r="X402" s="107"/>
    </row>
    <row r="403" spans="3:24" ht="18" x14ac:dyDescent="0.25">
      <c r="C403" s="5"/>
      <c r="D403" s="86" t="s">
        <v>240</v>
      </c>
      <c r="E403" s="86" t="s">
        <v>242</v>
      </c>
      <c r="F403" s="7"/>
      <c r="X403" s="107"/>
    </row>
    <row r="404" spans="3:24" x14ac:dyDescent="0.25">
      <c r="C404" s="5" t="s">
        <v>237</v>
      </c>
      <c r="D404" s="87">
        <v>7712441.7910106843</v>
      </c>
      <c r="E404" s="90">
        <f>G410/D407</f>
        <v>2.8370562257035519</v>
      </c>
      <c r="F404" s="91">
        <f>+D404*E404</f>
        <v>21880630.998563115</v>
      </c>
      <c r="X404" s="107"/>
    </row>
    <row r="405" spans="3:24" x14ac:dyDescent="0.25">
      <c r="C405" s="5" t="s">
        <v>238</v>
      </c>
      <c r="D405" s="87">
        <v>32122569.076769121</v>
      </c>
      <c r="E405" s="90">
        <f>+E404</f>
        <v>2.8370562257035519</v>
      </c>
      <c r="F405" s="91">
        <f>+D405*E405</f>
        <v>91133534.584840238</v>
      </c>
      <c r="X405" s="107"/>
    </row>
    <row r="406" spans="3:24" ht="17.25" x14ac:dyDescent="0.35">
      <c r="C406" s="5" t="s">
        <v>239</v>
      </c>
      <c r="D406" s="88">
        <v>39064275.068178721</v>
      </c>
      <c r="E406" s="90">
        <f>+E405</f>
        <v>2.8370562257035519</v>
      </c>
      <c r="F406" s="92">
        <f>+D406*E406</f>
        <v>110827544.78477249</v>
      </c>
      <c r="X406" s="107"/>
    </row>
    <row r="407" spans="3:24" x14ac:dyDescent="0.25">
      <c r="D407" s="87">
        <f>SUM(D404:D406)</f>
        <v>78899285.935958534</v>
      </c>
      <c r="E407" s="5"/>
      <c r="F407" s="91">
        <f>SUM(F404:F406)</f>
        <v>223841710.36817583</v>
      </c>
      <c r="X407" s="107"/>
    </row>
    <row r="408" spans="3:24" x14ac:dyDescent="0.25">
      <c r="F408" s="5"/>
      <c r="X408" s="107"/>
    </row>
    <row r="409" spans="3:24" x14ac:dyDescent="0.25">
      <c r="F409" s="91">
        <f>+F407+F401</f>
        <v>316184412.29135692</v>
      </c>
      <c r="X409" s="107"/>
    </row>
    <row r="410" spans="3:24" x14ac:dyDescent="0.25">
      <c r="F410" s="91">
        <f>+C274-C276</f>
        <v>316184412.29135692</v>
      </c>
      <c r="G410" s="91">
        <f>+F410-F401</f>
        <v>223841710.36817583</v>
      </c>
      <c r="X410" s="107"/>
    </row>
    <row r="411" spans="3:24" x14ac:dyDescent="0.25">
      <c r="X411" s="107"/>
    </row>
    <row r="412" spans="3:24" x14ac:dyDescent="0.25">
      <c r="X412" s="107"/>
    </row>
    <row r="413" spans="3:24" x14ac:dyDescent="0.25">
      <c r="X413" s="107"/>
    </row>
    <row r="414" spans="3:24" x14ac:dyDescent="0.25">
      <c r="X414" s="107"/>
    </row>
    <row r="415" spans="3:24" x14ac:dyDescent="0.25">
      <c r="X415" s="107"/>
    </row>
    <row r="416" spans="3:24" x14ac:dyDescent="0.25">
      <c r="X416" s="107"/>
    </row>
    <row r="417" spans="24:24" x14ac:dyDescent="0.25">
      <c r="X417" s="107"/>
    </row>
    <row r="418" spans="24:24" x14ac:dyDescent="0.25">
      <c r="X418" s="107"/>
    </row>
    <row r="419" spans="24:24" x14ac:dyDescent="0.25">
      <c r="X419" s="107"/>
    </row>
    <row r="420" spans="24:24" x14ac:dyDescent="0.25">
      <c r="X420" s="107"/>
    </row>
    <row r="421" spans="24:24" x14ac:dyDescent="0.25">
      <c r="X421" s="107"/>
    </row>
    <row r="422" spans="24:24" x14ac:dyDescent="0.25">
      <c r="X422" s="107"/>
    </row>
    <row r="423" spans="24:24" x14ac:dyDescent="0.25">
      <c r="X423" s="107"/>
    </row>
    <row r="424" spans="24:24" x14ac:dyDescent="0.25">
      <c r="X424" s="107"/>
    </row>
    <row r="425" spans="24:24" x14ac:dyDescent="0.25">
      <c r="X425" s="107"/>
    </row>
    <row r="426" spans="24:24" x14ac:dyDescent="0.25">
      <c r="X426" s="107"/>
    </row>
    <row r="427" spans="24:24" x14ac:dyDescent="0.25">
      <c r="X427" s="107"/>
    </row>
    <row r="428" spans="24:24" x14ac:dyDescent="0.25">
      <c r="X428" s="107"/>
    </row>
    <row r="429" spans="24:24" x14ac:dyDescent="0.25">
      <c r="X429" s="107"/>
    </row>
    <row r="430" spans="24:24" x14ac:dyDescent="0.25">
      <c r="X430" s="107"/>
    </row>
    <row r="431" spans="24:24" x14ac:dyDescent="0.25">
      <c r="X431" s="107"/>
    </row>
    <row r="432" spans="24:24" x14ac:dyDescent="0.25">
      <c r="X432" s="107"/>
    </row>
    <row r="433" spans="24:24" x14ac:dyDescent="0.25">
      <c r="X433" s="107"/>
    </row>
    <row r="434" spans="24:24" x14ac:dyDescent="0.25">
      <c r="X434" s="107"/>
    </row>
    <row r="435" spans="24:24" x14ac:dyDescent="0.25">
      <c r="X435" s="107"/>
    </row>
    <row r="436" spans="24:24" x14ac:dyDescent="0.25">
      <c r="X436" s="107"/>
    </row>
    <row r="437" spans="24:24" x14ac:dyDescent="0.25">
      <c r="X437" s="107"/>
    </row>
    <row r="438" spans="24:24" x14ac:dyDescent="0.25">
      <c r="X438" s="107"/>
    </row>
    <row r="439" spans="24:24" x14ac:dyDescent="0.25">
      <c r="X439" s="107"/>
    </row>
    <row r="440" spans="24:24" x14ac:dyDescent="0.25">
      <c r="X440" s="107"/>
    </row>
    <row r="441" spans="24:24" x14ac:dyDescent="0.25">
      <c r="X441" s="107"/>
    </row>
    <row r="442" spans="24:24" x14ac:dyDescent="0.25">
      <c r="X442" s="107"/>
    </row>
    <row r="443" spans="24:24" x14ac:dyDescent="0.25">
      <c r="X443" s="107"/>
    </row>
    <row r="444" spans="24:24" x14ac:dyDescent="0.25">
      <c r="X444" s="107"/>
    </row>
    <row r="445" spans="24:24" x14ac:dyDescent="0.25">
      <c r="X445" s="107"/>
    </row>
    <row r="446" spans="24:24" x14ac:dyDescent="0.25">
      <c r="X446" s="107"/>
    </row>
    <row r="447" spans="24:24" x14ac:dyDescent="0.25">
      <c r="X447" s="107"/>
    </row>
    <row r="448" spans="24:24" x14ac:dyDescent="0.25">
      <c r="X448" s="107"/>
    </row>
    <row r="449" spans="24:24" x14ac:dyDescent="0.25">
      <c r="X449" s="107"/>
    </row>
    <row r="450" spans="24:24" x14ac:dyDescent="0.25">
      <c r="X450" s="107"/>
    </row>
    <row r="451" spans="24:24" x14ac:dyDescent="0.25">
      <c r="X451" s="107"/>
    </row>
    <row r="452" spans="24:24" x14ac:dyDescent="0.25">
      <c r="X452" s="107"/>
    </row>
    <row r="453" spans="24:24" x14ac:dyDescent="0.25">
      <c r="X453" s="107"/>
    </row>
    <row r="454" spans="24:24" x14ac:dyDescent="0.25">
      <c r="X454" s="107"/>
    </row>
    <row r="455" spans="24:24" x14ac:dyDescent="0.25">
      <c r="X455" s="107"/>
    </row>
    <row r="456" spans="24:24" x14ac:dyDescent="0.25">
      <c r="X456" s="107"/>
    </row>
    <row r="457" spans="24:24" x14ac:dyDescent="0.25">
      <c r="X457" s="107"/>
    </row>
    <row r="458" spans="24:24" x14ac:dyDescent="0.25">
      <c r="X458" s="107"/>
    </row>
    <row r="459" spans="24:24" x14ac:dyDescent="0.25">
      <c r="X459" s="107"/>
    </row>
    <row r="460" spans="24:24" x14ac:dyDescent="0.25">
      <c r="X460" s="107"/>
    </row>
    <row r="461" spans="24:24" x14ac:dyDescent="0.25">
      <c r="X461" s="107"/>
    </row>
    <row r="462" spans="24:24" x14ac:dyDescent="0.25">
      <c r="X462" s="107"/>
    </row>
    <row r="463" spans="24:24" x14ac:dyDescent="0.25">
      <c r="X463" s="107"/>
    </row>
    <row r="464" spans="24:24" x14ac:dyDescent="0.25">
      <c r="X464" s="107"/>
    </row>
    <row r="465" spans="24:24" x14ac:dyDescent="0.25">
      <c r="X465" s="107"/>
    </row>
    <row r="466" spans="24:24" x14ac:dyDescent="0.25">
      <c r="X466" s="107"/>
    </row>
    <row r="467" spans="24:24" x14ac:dyDescent="0.25">
      <c r="X467" s="107"/>
    </row>
    <row r="468" spans="24:24" x14ac:dyDescent="0.25">
      <c r="X468" s="107"/>
    </row>
    <row r="469" spans="24:24" x14ac:dyDescent="0.25">
      <c r="X469" s="107"/>
    </row>
    <row r="470" spans="24:24" x14ac:dyDescent="0.25">
      <c r="X470" s="107"/>
    </row>
    <row r="471" spans="24:24" x14ac:dyDescent="0.25">
      <c r="X471" s="107"/>
    </row>
    <row r="472" spans="24:24" x14ac:dyDescent="0.25">
      <c r="X472" s="107"/>
    </row>
    <row r="473" spans="24:24" x14ac:dyDescent="0.25">
      <c r="X473" s="107"/>
    </row>
    <row r="474" spans="24:24" x14ac:dyDescent="0.25">
      <c r="X474" s="107"/>
    </row>
    <row r="475" spans="24:24" x14ac:dyDescent="0.25">
      <c r="X475" s="107"/>
    </row>
    <row r="476" spans="24:24" x14ac:dyDescent="0.25">
      <c r="X476" s="107"/>
    </row>
    <row r="477" spans="24:24" x14ac:dyDescent="0.25">
      <c r="X477" s="107"/>
    </row>
    <row r="478" spans="24:24" x14ac:dyDescent="0.25">
      <c r="X478" s="107"/>
    </row>
    <row r="479" spans="24:24" x14ac:dyDescent="0.25">
      <c r="X479" s="107"/>
    </row>
    <row r="480" spans="24:24" x14ac:dyDescent="0.25">
      <c r="X480" s="107"/>
    </row>
    <row r="481" spans="24:24" x14ac:dyDescent="0.25">
      <c r="X481" s="107"/>
    </row>
    <row r="482" spans="24:24" x14ac:dyDescent="0.25">
      <c r="X482" s="107"/>
    </row>
    <row r="483" spans="24:24" x14ac:dyDescent="0.25">
      <c r="X483" s="107"/>
    </row>
    <row r="484" spans="24:24" x14ac:dyDescent="0.25">
      <c r="X484" s="107"/>
    </row>
    <row r="485" spans="24:24" x14ac:dyDescent="0.25">
      <c r="X485" s="107"/>
    </row>
    <row r="486" spans="24:24" x14ac:dyDescent="0.25">
      <c r="X486" s="107"/>
    </row>
    <row r="487" spans="24:24" x14ac:dyDescent="0.25">
      <c r="X487" s="107"/>
    </row>
    <row r="488" spans="24:24" x14ac:dyDescent="0.25">
      <c r="X488" s="107"/>
    </row>
    <row r="489" spans="24:24" x14ac:dyDescent="0.25">
      <c r="X489" s="107"/>
    </row>
    <row r="490" spans="24:24" x14ac:dyDescent="0.25">
      <c r="X490" s="107"/>
    </row>
    <row r="491" spans="24:24" x14ac:dyDescent="0.25">
      <c r="X491" s="107"/>
    </row>
    <row r="492" spans="24:24" x14ac:dyDescent="0.25">
      <c r="X492" s="107"/>
    </row>
    <row r="493" spans="24:24" x14ac:dyDescent="0.25">
      <c r="X493" s="107"/>
    </row>
    <row r="494" spans="24:24" x14ac:dyDescent="0.25">
      <c r="X494" s="107"/>
    </row>
    <row r="495" spans="24:24" x14ac:dyDescent="0.25">
      <c r="X495" s="107"/>
    </row>
    <row r="496" spans="24:24" x14ac:dyDescent="0.25">
      <c r="X496" s="107"/>
    </row>
    <row r="497" spans="24:24" x14ac:dyDescent="0.25">
      <c r="X497" s="107"/>
    </row>
    <row r="498" spans="24:24" x14ac:dyDescent="0.25">
      <c r="X498" s="107"/>
    </row>
    <row r="499" spans="24:24" x14ac:dyDescent="0.25">
      <c r="X499" s="107"/>
    </row>
    <row r="500" spans="24:24" x14ac:dyDescent="0.25">
      <c r="X500" s="107"/>
    </row>
    <row r="501" spans="24:24" x14ac:dyDescent="0.25">
      <c r="X501" s="107"/>
    </row>
    <row r="502" spans="24:24" x14ac:dyDescent="0.25">
      <c r="X502" s="107"/>
    </row>
    <row r="503" spans="24:24" x14ac:dyDescent="0.25">
      <c r="X503" s="107"/>
    </row>
    <row r="504" spans="24:24" x14ac:dyDescent="0.25">
      <c r="X504" s="107"/>
    </row>
    <row r="505" spans="24:24" x14ac:dyDescent="0.25">
      <c r="X505" s="107"/>
    </row>
    <row r="506" spans="24:24" x14ac:dyDescent="0.25">
      <c r="X506" s="107"/>
    </row>
    <row r="507" spans="24:24" x14ac:dyDescent="0.25">
      <c r="X507" s="107"/>
    </row>
    <row r="508" spans="24:24" x14ac:dyDescent="0.25">
      <c r="X508" s="107"/>
    </row>
    <row r="509" spans="24:24" x14ac:dyDescent="0.25">
      <c r="X509" s="107"/>
    </row>
    <row r="510" spans="24:24" x14ac:dyDescent="0.25">
      <c r="X510" s="107"/>
    </row>
    <row r="511" spans="24:24" x14ac:dyDescent="0.25">
      <c r="X511" s="107"/>
    </row>
    <row r="512" spans="24:24" x14ac:dyDescent="0.25">
      <c r="X512" s="107"/>
    </row>
    <row r="513" spans="24:24" x14ac:dyDescent="0.25">
      <c r="X513" s="107"/>
    </row>
    <row r="514" spans="24:24" x14ac:dyDescent="0.25">
      <c r="X514" s="107"/>
    </row>
    <row r="515" spans="24:24" x14ac:dyDescent="0.25">
      <c r="X515" s="107"/>
    </row>
    <row r="516" spans="24:24" x14ac:dyDescent="0.25">
      <c r="X516" s="107"/>
    </row>
    <row r="517" spans="24:24" x14ac:dyDescent="0.25">
      <c r="X517" s="107"/>
    </row>
    <row r="518" spans="24:24" x14ac:dyDescent="0.25">
      <c r="X518" s="107"/>
    </row>
    <row r="519" spans="24:24" x14ac:dyDescent="0.25">
      <c r="X519" s="107"/>
    </row>
    <row r="520" spans="24:24" x14ac:dyDescent="0.25">
      <c r="X520" s="107"/>
    </row>
    <row r="521" spans="24:24" x14ac:dyDescent="0.25">
      <c r="X521" s="107"/>
    </row>
    <row r="522" spans="24:24" x14ac:dyDescent="0.25">
      <c r="X522" s="107"/>
    </row>
    <row r="523" spans="24:24" x14ac:dyDescent="0.25">
      <c r="X523" s="107"/>
    </row>
    <row r="524" spans="24:24" x14ac:dyDescent="0.25">
      <c r="X524" s="107"/>
    </row>
    <row r="525" spans="24:24" x14ac:dyDescent="0.25">
      <c r="X525" s="107"/>
    </row>
    <row r="526" spans="24:24" x14ac:dyDescent="0.25">
      <c r="X526" s="107"/>
    </row>
    <row r="527" spans="24:24" x14ac:dyDescent="0.25">
      <c r="X527" s="107"/>
    </row>
    <row r="528" spans="24:24" x14ac:dyDescent="0.25">
      <c r="X528" s="107"/>
    </row>
    <row r="529" spans="24:24" x14ac:dyDescent="0.25">
      <c r="X529" s="107"/>
    </row>
    <row r="530" spans="24:24" x14ac:dyDescent="0.25">
      <c r="X530" s="107"/>
    </row>
    <row r="531" spans="24:24" x14ac:dyDescent="0.25">
      <c r="X531" s="107"/>
    </row>
    <row r="532" spans="24:24" x14ac:dyDescent="0.25">
      <c r="X532" s="107"/>
    </row>
    <row r="533" spans="24:24" x14ac:dyDescent="0.25">
      <c r="X533" s="107"/>
    </row>
    <row r="534" spans="24:24" x14ac:dyDescent="0.25">
      <c r="X534" s="107"/>
    </row>
    <row r="535" spans="24:24" x14ac:dyDescent="0.25">
      <c r="X535" s="107"/>
    </row>
    <row r="536" spans="24:24" x14ac:dyDescent="0.25">
      <c r="X536" s="107"/>
    </row>
    <row r="537" spans="24:24" x14ac:dyDescent="0.25">
      <c r="X537" s="107"/>
    </row>
    <row r="538" spans="24:24" x14ac:dyDescent="0.25">
      <c r="X538" s="107"/>
    </row>
    <row r="539" spans="24:24" x14ac:dyDescent="0.25">
      <c r="X539" s="107"/>
    </row>
    <row r="540" spans="24:24" x14ac:dyDescent="0.25">
      <c r="X540" s="107"/>
    </row>
    <row r="541" spans="24:24" x14ac:dyDescent="0.25">
      <c r="X541" s="107"/>
    </row>
    <row r="542" spans="24:24" x14ac:dyDescent="0.25">
      <c r="X542" s="107"/>
    </row>
    <row r="543" spans="24:24" x14ac:dyDescent="0.25">
      <c r="X543" s="107"/>
    </row>
    <row r="544" spans="24:24" x14ac:dyDescent="0.25">
      <c r="X544" s="107"/>
    </row>
    <row r="545" spans="24:24" x14ac:dyDescent="0.25">
      <c r="X545" s="107"/>
    </row>
    <row r="546" spans="24:24" x14ac:dyDescent="0.25">
      <c r="X546" s="107"/>
    </row>
    <row r="547" spans="24:24" x14ac:dyDescent="0.25">
      <c r="X547" s="107"/>
    </row>
    <row r="548" spans="24:24" x14ac:dyDescent="0.25">
      <c r="X548" s="107"/>
    </row>
    <row r="549" spans="24:24" x14ac:dyDescent="0.25">
      <c r="X549" s="107"/>
    </row>
    <row r="550" spans="24:24" x14ac:dyDescent="0.25">
      <c r="X550" s="107"/>
    </row>
    <row r="551" spans="24:24" x14ac:dyDescent="0.25">
      <c r="X551" s="107"/>
    </row>
    <row r="552" spans="24:24" x14ac:dyDescent="0.25">
      <c r="X552" s="107"/>
    </row>
    <row r="553" spans="24:24" x14ac:dyDescent="0.25">
      <c r="X553" s="107"/>
    </row>
    <row r="554" spans="24:24" x14ac:dyDescent="0.25">
      <c r="X554" s="107"/>
    </row>
    <row r="555" spans="24:24" x14ac:dyDescent="0.25">
      <c r="X555" s="107"/>
    </row>
    <row r="556" spans="24:24" x14ac:dyDescent="0.25">
      <c r="X556" s="107"/>
    </row>
    <row r="557" spans="24:24" x14ac:dyDescent="0.25">
      <c r="X557" s="107"/>
    </row>
    <row r="558" spans="24:24" x14ac:dyDescent="0.25">
      <c r="X558" s="107"/>
    </row>
    <row r="559" spans="24:24" x14ac:dyDescent="0.25">
      <c r="X559" s="107"/>
    </row>
    <row r="560" spans="24:24" x14ac:dyDescent="0.25">
      <c r="X560" s="107"/>
    </row>
    <row r="561" spans="24:24" x14ac:dyDescent="0.25">
      <c r="X561" s="107"/>
    </row>
    <row r="562" spans="24:24" x14ac:dyDescent="0.25">
      <c r="X562" s="107"/>
    </row>
    <row r="563" spans="24:24" x14ac:dyDescent="0.25">
      <c r="X563" s="107"/>
    </row>
    <row r="564" spans="24:24" x14ac:dyDescent="0.25">
      <c r="X564" s="107"/>
    </row>
    <row r="565" spans="24:24" x14ac:dyDescent="0.25">
      <c r="X565" s="107"/>
    </row>
    <row r="566" spans="24:24" x14ac:dyDescent="0.25">
      <c r="X566" s="107"/>
    </row>
    <row r="567" spans="24:24" x14ac:dyDescent="0.25">
      <c r="X567" s="107"/>
    </row>
    <row r="568" spans="24:24" x14ac:dyDescent="0.25">
      <c r="X568" s="107"/>
    </row>
    <row r="569" spans="24:24" x14ac:dyDescent="0.25">
      <c r="X569" s="107"/>
    </row>
    <row r="570" spans="24:24" x14ac:dyDescent="0.25">
      <c r="X570" s="107"/>
    </row>
    <row r="571" spans="24:24" x14ac:dyDescent="0.25">
      <c r="X571" s="107"/>
    </row>
    <row r="572" spans="24:24" x14ac:dyDescent="0.25">
      <c r="X572" s="107"/>
    </row>
    <row r="573" spans="24:24" x14ac:dyDescent="0.25">
      <c r="X573" s="107"/>
    </row>
    <row r="574" spans="24:24" x14ac:dyDescent="0.25">
      <c r="X574" s="107"/>
    </row>
    <row r="575" spans="24:24" x14ac:dyDescent="0.25">
      <c r="X575" s="107"/>
    </row>
    <row r="576" spans="24:24" x14ac:dyDescent="0.25">
      <c r="X576" s="107"/>
    </row>
    <row r="577" spans="24:24" x14ac:dyDescent="0.25">
      <c r="X577" s="107"/>
    </row>
    <row r="578" spans="24:24" x14ac:dyDescent="0.25">
      <c r="X578" s="107"/>
    </row>
    <row r="579" spans="24:24" x14ac:dyDescent="0.25">
      <c r="X579" s="107"/>
    </row>
    <row r="580" spans="24:24" x14ac:dyDescent="0.25">
      <c r="X580" s="107"/>
    </row>
    <row r="581" spans="24:24" x14ac:dyDescent="0.25">
      <c r="X581" s="107"/>
    </row>
    <row r="582" spans="24:24" x14ac:dyDescent="0.25">
      <c r="X582" s="107"/>
    </row>
    <row r="583" spans="24:24" x14ac:dyDescent="0.25">
      <c r="X583" s="107"/>
    </row>
    <row r="584" spans="24:24" x14ac:dyDescent="0.25">
      <c r="X584" s="107"/>
    </row>
    <row r="585" spans="24:24" x14ac:dyDescent="0.25">
      <c r="X585" s="107"/>
    </row>
    <row r="586" spans="24:24" x14ac:dyDescent="0.25">
      <c r="X586" s="107"/>
    </row>
    <row r="587" spans="24:24" x14ac:dyDescent="0.25">
      <c r="X587" s="107"/>
    </row>
    <row r="588" spans="24:24" x14ac:dyDescent="0.25">
      <c r="X588" s="107"/>
    </row>
    <row r="589" spans="24:24" x14ac:dyDescent="0.25">
      <c r="X589" s="107"/>
    </row>
    <row r="590" spans="24:24" x14ac:dyDescent="0.25">
      <c r="X590" s="107"/>
    </row>
    <row r="591" spans="24:24" x14ac:dyDescent="0.25">
      <c r="X591" s="107"/>
    </row>
    <row r="592" spans="24:24" x14ac:dyDescent="0.25">
      <c r="X592" s="107"/>
    </row>
    <row r="593" spans="24:24" x14ac:dyDescent="0.25">
      <c r="X593" s="107"/>
    </row>
    <row r="594" spans="24:24" x14ac:dyDescent="0.25">
      <c r="X594" s="107"/>
    </row>
    <row r="595" spans="24:24" x14ac:dyDescent="0.25">
      <c r="X595" s="107"/>
    </row>
    <row r="596" spans="24:24" x14ac:dyDescent="0.25">
      <c r="X596" s="107"/>
    </row>
    <row r="597" spans="24:24" x14ac:dyDescent="0.25">
      <c r="X597" s="107"/>
    </row>
    <row r="598" spans="24:24" x14ac:dyDescent="0.25">
      <c r="X598" s="107"/>
    </row>
    <row r="599" spans="24:24" x14ac:dyDescent="0.25">
      <c r="X599" s="107"/>
    </row>
    <row r="600" spans="24:24" x14ac:dyDescent="0.25">
      <c r="X600" s="107"/>
    </row>
    <row r="601" spans="24:24" x14ac:dyDescent="0.25">
      <c r="X601" s="107"/>
    </row>
    <row r="602" spans="24:24" x14ac:dyDescent="0.25">
      <c r="X602" s="107"/>
    </row>
    <row r="603" spans="24:24" x14ac:dyDescent="0.25">
      <c r="X603" s="107"/>
    </row>
    <row r="604" spans="24:24" x14ac:dyDescent="0.25">
      <c r="X604" s="107"/>
    </row>
    <row r="605" spans="24:24" x14ac:dyDescent="0.25">
      <c r="X605" s="107"/>
    </row>
    <row r="606" spans="24:24" x14ac:dyDescent="0.25">
      <c r="X606" s="107"/>
    </row>
    <row r="607" spans="24:24" x14ac:dyDescent="0.25">
      <c r="X607" s="107"/>
    </row>
    <row r="608" spans="24:24" x14ac:dyDescent="0.25">
      <c r="X608" s="107"/>
    </row>
    <row r="609" spans="24:24" x14ac:dyDescent="0.25">
      <c r="X609" s="107"/>
    </row>
    <row r="610" spans="24:24" x14ac:dyDescent="0.25">
      <c r="X610" s="107"/>
    </row>
    <row r="611" spans="24:24" x14ac:dyDescent="0.25">
      <c r="X611" s="107"/>
    </row>
    <row r="612" spans="24:24" x14ac:dyDescent="0.25">
      <c r="X612" s="107"/>
    </row>
    <row r="613" spans="24:24" x14ac:dyDescent="0.25">
      <c r="X613" s="107"/>
    </row>
    <row r="614" spans="24:24" x14ac:dyDescent="0.25">
      <c r="X614" s="107"/>
    </row>
    <row r="615" spans="24:24" x14ac:dyDescent="0.25">
      <c r="X615" s="107"/>
    </row>
    <row r="616" spans="24:24" x14ac:dyDescent="0.25">
      <c r="X616" s="107"/>
    </row>
    <row r="617" spans="24:24" x14ac:dyDescent="0.25">
      <c r="X617" s="107"/>
    </row>
    <row r="618" spans="24:24" x14ac:dyDescent="0.25">
      <c r="X618" s="107"/>
    </row>
    <row r="619" spans="24:24" x14ac:dyDescent="0.25">
      <c r="X619" s="107"/>
    </row>
    <row r="620" spans="24:24" x14ac:dyDescent="0.25">
      <c r="X620" s="107"/>
    </row>
    <row r="621" spans="24:24" x14ac:dyDescent="0.25">
      <c r="X621" s="107"/>
    </row>
    <row r="622" spans="24:24" x14ac:dyDescent="0.25">
      <c r="X622" s="107"/>
    </row>
    <row r="623" spans="24:24" x14ac:dyDescent="0.25">
      <c r="X623" s="107"/>
    </row>
    <row r="624" spans="24:24" x14ac:dyDescent="0.25">
      <c r="X624" s="107"/>
    </row>
    <row r="625" spans="24:24" x14ac:dyDescent="0.25">
      <c r="X625" s="107"/>
    </row>
    <row r="626" spans="24:24" x14ac:dyDescent="0.25">
      <c r="X626" s="107"/>
    </row>
    <row r="627" spans="24:24" x14ac:dyDescent="0.25">
      <c r="X627" s="107"/>
    </row>
    <row r="628" spans="24:24" x14ac:dyDescent="0.25">
      <c r="X628" s="107"/>
    </row>
    <row r="629" spans="24:24" x14ac:dyDescent="0.25">
      <c r="X629" s="107"/>
    </row>
    <row r="630" spans="24:24" x14ac:dyDescent="0.25">
      <c r="X630" s="107"/>
    </row>
    <row r="631" spans="24:24" x14ac:dyDescent="0.25">
      <c r="X631" s="107"/>
    </row>
    <row r="632" spans="24:24" x14ac:dyDescent="0.25">
      <c r="X632" s="107"/>
    </row>
    <row r="633" spans="24:24" x14ac:dyDescent="0.25">
      <c r="X633" s="107"/>
    </row>
    <row r="634" spans="24:24" x14ac:dyDescent="0.25">
      <c r="X634" s="107"/>
    </row>
    <row r="635" spans="24:24" x14ac:dyDescent="0.25">
      <c r="X635" s="107"/>
    </row>
    <row r="636" spans="24:24" x14ac:dyDescent="0.25">
      <c r="X636" s="107"/>
    </row>
    <row r="637" spans="24:24" x14ac:dyDescent="0.25">
      <c r="X637" s="107"/>
    </row>
    <row r="638" spans="24:24" x14ac:dyDescent="0.25">
      <c r="X638" s="107"/>
    </row>
    <row r="639" spans="24:24" x14ac:dyDescent="0.25">
      <c r="X639" s="107"/>
    </row>
    <row r="640" spans="24:24" x14ac:dyDescent="0.25">
      <c r="X640" s="107"/>
    </row>
    <row r="641" spans="24:24" x14ac:dyDescent="0.25">
      <c r="X641" s="107"/>
    </row>
    <row r="642" spans="24:24" x14ac:dyDescent="0.25">
      <c r="X642" s="107"/>
    </row>
    <row r="643" spans="24:24" x14ac:dyDescent="0.25">
      <c r="X643" s="107"/>
    </row>
    <row r="644" spans="24:24" x14ac:dyDescent="0.25">
      <c r="X644" s="107"/>
    </row>
    <row r="645" spans="24:24" x14ac:dyDescent="0.25">
      <c r="X645" s="107"/>
    </row>
    <row r="646" spans="24:24" x14ac:dyDescent="0.25">
      <c r="X646" s="107"/>
    </row>
    <row r="647" spans="24:24" x14ac:dyDescent="0.25">
      <c r="X647" s="107"/>
    </row>
    <row r="648" spans="24:24" x14ac:dyDescent="0.25">
      <c r="X648" s="107"/>
    </row>
    <row r="649" spans="24:24" x14ac:dyDescent="0.25">
      <c r="X649" s="107"/>
    </row>
    <row r="650" spans="24:24" x14ac:dyDescent="0.25">
      <c r="X650" s="107"/>
    </row>
    <row r="651" spans="24:24" x14ac:dyDescent="0.25">
      <c r="X651" s="107"/>
    </row>
    <row r="652" spans="24:24" x14ac:dyDescent="0.25">
      <c r="X652" s="107"/>
    </row>
    <row r="653" spans="24:24" x14ac:dyDescent="0.25">
      <c r="X653" s="107"/>
    </row>
    <row r="654" spans="24:24" x14ac:dyDescent="0.25">
      <c r="X654" s="107"/>
    </row>
    <row r="655" spans="24:24" x14ac:dyDescent="0.25">
      <c r="X655" s="107"/>
    </row>
    <row r="656" spans="24:24" x14ac:dyDescent="0.25">
      <c r="X656" s="107"/>
    </row>
    <row r="657" spans="24:24" x14ac:dyDescent="0.25">
      <c r="X657" s="107"/>
    </row>
    <row r="658" spans="24:24" x14ac:dyDescent="0.25">
      <c r="X658" s="107"/>
    </row>
    <row r="659" spans="24:24" x14ac:dyDescent="0.25">
      <c r="X659" s="107"/>
    </row>
    <row r="660" spans="24:24" x14ac:dyDescent="0.25">
      <c r="X660" s="107"/>
    </row>
    <row r="661" spans="24:24" x14ac:dyDescent="0.25">
      <c r="X661" s="107"/>
    </row>
    <row r="662" spans="24:24" x14ac:dyDescent="0.25">
      <c r="X662" s="107"/>
    </row>
    <row r="663" spans="24:24" x14ac:dyDescent="0.25">
      <c r="X663" s="107"/>
    </row>
    <row r="664" spans="24:24" x14ac:dyDescent="0.25">
      <c r="X664" s="107"/>
    </row>
    <row r="665" spans="24:24" x14ac:dyDescent="0.25">
      <c r="X665" s="107"/>
    </row>
    <row r="666" spans="24:24" x14ac:dyDescent="0.25">
      <c r="X666" s="107"/>
    </row>
    <row r="667" spans="24:24" x14ac:dyDescent="0.25">
      <c r="X667" s="107"/>
    </row>
    <row r="668" spans="24:24" x14ac:dyDescent="0.25">
      <c r="X668" s="107"/>
    </row>
    <row r="669" spans="24:24" x14ac:dyDescent="0.25">
      <c r="X669" s="107"/>
    </row>
    <row r="670" spans="24:24" x14ac:dyDescent="0.25">
      <c r="X670" s="107"/>
    </row>
    <row r="671" spans="24:24" x14ac:dyDescent="0.25">
      <c r="X671" s="107"/>
    </row>
    <row r="672" spans="24:24" x14ac:dyDescent="0.25">
      <c r="X672" s="107"/>
    </row>
    <row r="673" spans="24:24" x14ac:dyDescent="0.25">
      <c r="X673" s="107"/>
    </row>
    <row r="674" spans="24:24" x14ac:dyDescent="0.25">
      <c r="X674" s="107"/>
    </row>
    <row r="675" spans="24:24" x14ac:dyDescent="0.25">
      <c r="X675" s="107"/>
    </row>
    <row r="676" spans="24:24" x14ac:dyDescent="0.25">
      <c r="X676" s="107"/>
    </row>
    <row r="677" spans="24:24" x14ac:dyDescent="0.25">
      <c r="X677" s="107"/>
    </row>
    <row r="678" spans="24:24" x14ac:dyDescent="0.25">
      <c r="X678" s="107"/>
    </row>
    <row r="679" spans="24:24" x14ac:dyDescent="0.25">
      <c r="X679" s="107"/>
    </row>
    <row r="680" spans="24:24" x14ac:dyDescent="0.25">
      <c r="X680" s="107"/>
    </row>
    <row r="681" spans="24:24" x14ac:dyDescent="0.25">
      <c r="X681" s="107"/>
    </row>
    <row r="682" spans="24:24" x14ac:dyDescent="0.25">
      <c r="X682" s="107"/>
    </row>
    <row r="683" spans="24:24" x14ac:dyDescent="0.25">
      <c r="X683" s="107"/>
    </row>
    <row r="684" spans="24:24" x14ac:dyDescent="0.25">
      <c r="X684" s="107"/>
    </row>
    <row r="685" spans="24:24" x14ac:dyDescent="0.25">
      <c r="X685" s="107"/>
    </row>
    <row r="686" spans="24:24" x14ac:dyDescent="0.25">
      <c r="X686" s="107"/>
    </row>
    <row r="687" spans="24:24" x14ac:dyDescent="0.25">
      <c r="X687" s="107"/>
    </row>
    <row r="688" spans="24:24" x14ac:dyDescent="0.25">
      <c r="X688" s="107"/>
    </row>
    <row r="689" spans="24:24" x14ac:dyDescent="0.25">
      <c r="X689" s="107"/>
    </row>
    <row r="690" spans="24:24" x14ac:dyDescent="0.25">
      <c r="X690" s="107"/>
    </row>
    <row r="691" spans="24:24" x14ac:dyDescent="0.25">
      <c r="X691" s="107"/>
    </row>
    <row r="692" spans="24:24" x14ac:dyDescent="0.25">
      <c r="X692" s="107"/>
    </row>
    <row r="693" spans="24:24" x14ac:dyDescent="0.25">
      <c r="X693" s="107"/>
    </row>
    <row r="694" spans="24:24" x14ac:dyDescent="0.25">
      <c r="X694" s="107"/>
    </row>
    <row r="695" spans="24:24" x14ac:dyDescent="0.25">
      <c r="X695" s="107"/>
    </row>
    <row r="696" spans="24:24" x14ac:dyDescent="0.25">
      <c r="X696" s="107"/>
    </row>
    <row r="697" spans="24:24" x14ac:dyDescent="0.25">
      <c r="X697" s="107"/>
    </row>
    <row r="698" spans="24:24" x14ac:dyDescent="0.25">
      <c r="X698" s="107"/>
    </row>
    <row r="699" spans="24:24" x14ac:dyDescent="0.25">
      <c r="X699" s="107"/>
    </row>
    <row r="700" spans="24:24" x14ac:dyDescent="0.25">
      <c r="X700" s="107"/>
    </row>
    <row r="701" spans="24:24" x14ac:dyDescent="0.25">
      <c r="X701" s="107"/>
    </row>
    <row r="702" spans="24:24" x14ac:dyDescent="0.25">
      <c r="X702" s="107"/>
    </row>
    <row r="703" spans="24:24" x14ac:dyDescent="0.25">
      <c r="X703" s="107"/>
    </row>
    <row r="704" spans="24:24" x14ac:dyDescent="0.25">
      <c r="X704" s="107"/>
    </row>
    <row r="705" spans="24:24" x14ac:dyDescent="0.25">
      <c r="X705" s="107"/>
    </row>
    <row r="706" spans="24:24" x14ac:dyDescent="0.25">
      <c r="X706" s="107"/>
    </row>
    <row r="707" spans="24:24" x14ac:dyDescent="0.25">
      <c r="X707" s="107"/>
    </row>
    <row r="708" spans="24:24" x14ac:dyDescent="0.25">
      <c r="X708" s="107"/>
    </row>
    <row r="709" spans="24:24" x14ac:dyDescent="0.25">
      <c r="X709" s="107"/>
    </row>
    <row r="710" spans="24:24" x14ac:dyDescent="0.25">
      <c r="X710" s="107"/>
    </row>
    <row r="711" spans="24:24" x14ac:dyDescent="0.25">
      <c r="X711" s="107"/>
    </row>
    <row r="712" spans="24:24" x14ac:dyDescent="0.25">
      <c r="X712" s="107"/>
    </row>
    <row r="713" spans="24:24" x14ac:dyDescent="0.25">
      <c r="X713" s="107"/>
    </row>
    <row r="714" spans="24:24" x14ac:dyDescent="0.25">
      <c r="X714" s="107"/>
    </row>
    <row r="715" spans="24:24" x14ac:dyDescent="0.25">
      <c r="X715" s="107"/>
    </row>
    <row r="716" spans="24:24" x14ac:dyDescent="0.25">
      <c r="X716" s="107"/>
    </row>
    <row r="717" spans="24:24" x14ac:dyDescent="0.25">
      <c r="X717" s="107"/>
    </row>
    <row r="718" spans="24:24" x14ac:dyDescent="0.25">
      <c r="X718" s="107"/>
    </row>
    <row r="719" spans="24:24" x14ac:dyDescent="0.25">
      <c r="X719" s="107"/>
    </row>
    <row r="720" spans="24:24" x14ac:dyDescent="0.25">
      <c r="X720" s="107"/>
    </row>
    <row r="721" spans="24:24" x14ac:dyDescent="0.25">
      <c r="X721" s="107"/>
    </row>
    <row r="722" spans="24:24" x14ac:dyDescent="0.25">
      <c r="X722" s="107"/>
    </row>
    <row r="723" spans="24:24" x14ac:dyDescent="0.25">
      <c r="X723" s="107"/>
    </row>
    <row r="724" spans="24:24" x14ac:dyDescent="0.25">
      <c r="X724" s="107"/>
    </row>
    <row r="725" spans="24:24" x14ac:dyDescent="0.25">
      <c r="X725" s="107"/>
    </row>
    <row r="726" spans="24:24" x14ac:dyDescent="0.25">
      <c r="X726" s="107"/>
    </row>
    <row r="727" spans="24:24" x14ac:dyDescent="0.25">
      <c r="X727" s="107"/>
    </row>
    <row r="728" spans="24:24" x14ac:dyDescent="0.25">
      <c r="X728" s="107"/>
    </row>
    <row r="729" spans="24:24" x14ac:dyDescent="0.25">
      <c r="X729" s="107"/>
    </row>
    <row r="730" spans="24:24" x14ac:dyDescent="0.25">
      <c r="X730" s="107"/>
    </row>
    <row r="731" spans="24:24" x14ac:dyDescent="0.25">
      <c r="X731" s="107"/>
    </row>
    <row r="732" spans="24:24" x14ac:dyDescent="0.25">
      <c r="X732" s="107"/>
    </row>
    <row r="733" spans="24:24" x14ac:dyDescent="0.25">
      <c r="X733" s="107"/>
    </row>
    <row r="734" spans="24:24" x14ac:dyDescent="0.25">
      <c r="X734" s="107"/>
    </row>
    <row r="735" spans="24:24" x14ac:dyDescent="0.25">
      <c r="X735" s="107"/>
    </row>
    <row r="736" spans="24:24" x14ac:dyDescent="0.25">
      <c r="X736" s="107"/>
    </row>
    <row r="737" spans="24:24" x14ac:dyDescent="0.25">
      <c r="X737" s="107"/>
    </row>
    <row r="738" spans="24:24" x14ac:dyDescent="0.25">
      <c r="X738" s="107"/>
    </row>
    <row r="739" spans="24:24" x14ac:dyDescent="0.25">
      <c r="X739" s="107"/>
    </row>
    <row r="740" spans="24:24" x14ac:dyDescent="0.25">
      <c r="X740" s="107"/>
    </row>
    <row r="741" spans="24:24" x14ac:dyDescent="0.25">
      <c r="X741" s="107"/>
    </row>
    <row r="742" spans="24:24" x14ac:dyDescent="0.25">
      <c r="X742" s="107"/>
    </row>
    <row r="743" spans="24:24" x14ac:dyDescent="0.25">
      <c r="X743" s="107"/>
    </row>
    <row r="744" spans="24:24" x14ac:dyDescent="0.25">
      <c r="X744" s="107"/>
    </row>
    <row r="745" spans="24:24" x14ac:dyDescent="0.25">
      <c r="X745" s="107"/>
    </row>
    <row r="746" spans="24:24" x14ac:dyDescent="0.25">
      <c r="X746" s="107"/>
    </row>
    <row r="747" spans="24:24" x14ac:dyDescent="0.25">
      <c r="X747" s="107"/>
    </row>
    <row r="748" spans="24:24" x14ac:dyDescent="0.25">
      <c r="X748" s="107"/>
    </row>
    <row r="749" spans="24:24" x14ac:dyDescent="0.25">
      <c r="X749" s="107"/>
    </row>
    <row r="750" spans="24:24" x14ac:dyDescent="0.25">
      <c r="X750" s="107"/>
    </row>
    <row r="751" spans="24:24" x14ac:dyDescent="0.25">
      <c r="X751" s="107"/>
    </row>
    <row r="752" spans="24:24" x14ac:dyDescent="0.25">
      <c r="X752" s="107"/>
    </row>
    <row r="753" spans="24:24" x14ac:dyDescent="0.25">
      <c r="X753" s="107"/>
    </row>
    <row r="754" spans="24:24" x14ac:dyDescent="0.25">
      <c r="X754" s="107"/>
    </row>
    <row r="755" spans="24:24" x14ac:dyDescent="0.25">
      <c r="X755" s="107"/>
    </row>
    <row r="756" spans="24:24" x14ac:dyDescent="0.25">
      <c r="X756" s="107"/>
    </row>
    <row r="757" spans="24:24" x14ac:dyDescent="0.25">
      <c r="X757" s="107"/>
    </row>
    <row r="758" spans="24:24" x14ac:dyDescent="0.25">
      <c r="X758" s="107"/>
    </row>
    <row r="759" spans="24:24" x14ac:dyDescent="0.25">
      <c r="X759" s="107"/>
    </row>
    <row r="760" spans="24:24" x14ac:dyDescent="0.25">
      <c r="X760" s="107"/>
    </row>
    <row r="761" spans="24:24" x14ac:dyDescent="0.25">
      <c r="X761" s="107"/>
    </row>
    <row r="762" spans="24:24" x14ac:dyDescent="0.25">
      <c r="X762" s="107"/>
    </row>
    <row r="763" spans="24:24" x14ac:dyDescent="0.25">
      <c r="X763" s="107"/>
    </row>
    <row r="764" spans="24:24" x14ac:dyDescent="0.25">
      <c r="X764" s="107"/>
    </row>
    <row r="765" spans="24:24" x14ac:dyDescent="0.25">
      <c r="X765" s="107"/>
    </row>
    <row r="766" spans="24:24" x14ac:dyDescent="0.25">
      <c r="X766" s="107"/>
    </row>
    <row r="767" spans="24:24" x14ac:dyDescent="0.25">
      <c r="X767" s="107"/>
    </row>
    <row r="768" spans="24:24" x14ac:dyDescent="0.25">
      <c r="X768" s="107"/>
    </row>
    <row r="769" spans="24:24" x14ac:dyDescent="0.25">
      <c r="X769" s="107"/>
    </row>
    <row r="770" spans="24:24" x14ac:dyDescent="0.25">
      <c r="X770" s="107"/>
    </row>
    <row r="771" spans="24:24" x14ac:dyDescent="0.25">
      <c r="X771" s="107"/>
    </row>
    <row r="772" spans="24:24" x14ac:dyDescent="0.25">
      <c r="X772" s="107"/>
    </row>
    <row r="773" spans="24:24" x14ac:dyDescent="0.25">
      <c r="X773" s="107"/>
    </row>
    <row r="774" spans="24:24" x14ac:dyDescent="0.25">
      <c r="X774" s="107"/>
    </row>
    <row r="775" spans="24:24" x14ac:dyDescent="0.25">
      <c r="X775" s="107"/>
    </row>
    <row r="776" spans="24:24" x14ac:dyDescent="0.25">
      <c r="X776" s="107"/>
    </row>
    <row r="777" spans="24:24" x14ac:dyDescent="0.25">
      <c r="X777" s="107"/>
    </row>
    <row r="778" spans="24:24" x14ac:dyDescent="0.25">
      <c r="X778" s="107"/>
    </row>
    <row r="779" spans="24:24" x14ac:dyDescent="0.25">
      <c r="X779" s="107"/>
    </row>
    <row r="780" spans="24:24" x14ac:dyDescent="0.25">
      <c r="X780" s="107"/>
    </row>
    <row r="781" spans="24:24" x14ac:dyDescent="0.25">
      <c r="X781" s="107"/>
    </row>
    <row r="782" spans="24:24" x14ac:dyDescent="0.25">
      <c r="X782" s="107"/>
    </row>
    <row r="783" spans="24:24" x14ac:dyDescent="0.25">
      <c r="X783" s="107"/>
    </row>
    <row r="784" spans="24:24" x14ac:dyDescent="0.25">
      <c r="X784" s="107"/>
    </row>
    <row r="785" spans="24:24" x14ac:dyDescent="0.25">
      <c r="X785" s="107"/>
    </row>
    <row r="786" spans="24:24" x14ac:dyDescent="0.25">
      <c r="X786" s="107"/>
    </row>
    <row r="787" spans="24:24" x14ac:dyDescent="0.25">
      <c r="X787" s="107"/>
    </row>
    <row r="788" spans="24:24" x14ac:dyDescent="0.25">
      <c r="X788" s="107"/>
    </row>
    <row r="789" spans="24:24" x14ac:dyDescent="0.25">
      <c r="X789" s="107"/>
    </row>
    <row r="790" spans="24:24" x14ac:dyDescent="0.25">
      <c r="X790" s="107"/>
    </row>
    <row r="791" spans="24:24" x14ac:dyDescent="0.25">
      <c r="X791" s="107"/>
    </row>
    <row r="792" spans="24:24" x14ac:dyDescent="0.25">
      <c r="X792" s="107"/>
    </row>
    <row r="793" spans="24:24" x14ac:dyDescent="0.25">
      <c r="X793" s="107"/>
    </row>
    <row r="794" spans="24:24" x14ac:dyDescent="0.25">
      <c r="X794" s="107"/>
    </row>
    <row r="795" spans="24:24" x14ac:dyDescent="0.25">
      <c r="X795" s="107"/>
    </row>
    <row r="796" spans="24:24" x14ac:dyDescent="0.25">
      <c r="X796" s="107"/>
    </row>
    <row r="797" spans="24:24" x14ac:dyDescent="0.25">
      <c r="X797" s="107"/>
    </row>
    <row r="798" spans="24:24" x14ac:dyDescent="0.25">
      <c r="X798" s="107"/>
    </row>
    <row r="799" spans="24:24" x14ac:dyDescent="0.25">
      <c r="X799" s="107"/>
    </row>
    <row r="800" spans="24:24" x14ac:dyDescent="0.25">
      <c r="X800" s="107"/>
    </row>
    <row r="801" spans="24:24" x14ac:dyDescent="0.25">
      <c r="X801" s="107"/>
    </row>
    <row r="802" spans="24:24" x14ac:dyDescent="0.25">
      <c r="X802" s="107"/>
    </row>
    <row r="803" spans="24:24" x14ac:dyDescent="0.25">
      <c r="X803" s="107"/>
    </row>
    <row r="804" spans="24:24" x14ac:dyDescent="0.25">
      <c r="X804" s="107"/>
    </row>
    <row r="805" spans="24:24" x14ac:dyDescent="0.25">
      <c r="X805" s="107"/>
    </row>
    <row r="806" spans="24:24" x14ac:dyDescent="0.25">
      <c r="X806" s="107"/>
    </row>
    <row r="807" spans="24:24" x14ac:dyDescent="0.25">
      <c r="X807" s="107"/>
    </row>
    <row r="808" spans="24:24" x14ac:dyDescent="0.25">
      <c r="X808" s="107"/>
    </row>
    <row r="809" spans="24:24" x14ac:dyDescent="0.25">
      <c r="X809" s="107"/>
    </row>
    <row r="810" spans="24:24" x14ac:dyDescent="0.25">
      <c r="X810" s="107"/>
    </row>
    <row r="811" spans="24:24" x14ac:dyDescent="0.25">
      <c r="X811" s="107"/>
    </row>
    <row r="812" spans="24:24" x14ac:dyDescent="0.25">
      <c r="X812" s="107"/>
    </row>
    <row r="813" spans="24:24" x14ac:dyDescent="0.25">
      <c r="X813" s="107"/>
    </row>
    <row r="814" spans="24:24" x14ac:dyDescent="0.25">
      <c r="X814" s="107"/>
    </row>
    <row r="815" spans="24:24" x14ac:dyDescent="0.25">
      <c r="X815" s="107"/>
    </row>
    <row r="816" spans="24:24" x14ac:dyDescent="0.25">
      <c r="X816" s="107"/>
    </row>
    <row r="817" spans="24:24" x14ac:dyDescent="0.25">
      <c r="X817" s="107"/>
    </row>
    <row r="818" spans="24:24" x14ac:dyDescent="0.25">
      <c r="X818" s="107"/>
    </row>
    <row r="819" spans="24:24" x14ac:dyDescent="0.25">
      <c r="X819" s="107"/>
    </row>
    <row r="820" spans="24:24" x14ac:dyDescent="0.25">
      <c r="X820" s="107"/>
    </row>
    <row r="821" spans="24:24" x14ac:dyDescent="0.25">
      <c r="X821" s="107"/>
    </row>
    <row r="822" spans="24:24" x14ac:dyDescent="0.25">
      <c r="X822" s="107"/>
    </row>
    <row r="823" spans="24:24" x14ac:dyDescent="0.25">
      <c r="X823" s="107"/>
    </row>
    <row r="824" spans="24:24" x14ac:dyDescent="0.25">
      <c r="X824" s="107"/>
    </row>
    <row r="825" spans="24:24" x14ac:dyDescent="0.25">
      <c r="X825" s="107"/>
    </row>
  </sheetData>
  <mergeCells count="2">
    <mergeCell ref="O331:Q334"/>
    <mergeCell ref="A324:L324"/>
  </mergeCells>
  <phoneticPr fontId="0" type="noConversion"/>
  <printOptions horizontalCentered="1"/>
  <pageMargins left="0.5" right="0.5" top="1" bottom="0.5" header="0.5" footer="0.25"/>
  <pageSetup scale="44" fitToWidth="2" fitToHeight="6" pageOrder="overThenDown" orientation="landscape" r:id="rId1"/>
  <headerFooter alignWithMargins="0"/>
  <rowBreaks count="5" manualBreakCount="5">
    <brk id="53" max="21" man="1"/>
    <brk id="102" max="21" man="1"/>
    <brk id="157" max="21" man="1"/>
    <brk id="211" max="21" man="1"/>
    <brk id="261" max="21" man="1"/>
  </rowBreaks>
  <colBreaks count="1" manualBreakCount="1">
    <brk id="12" max="3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workbookViewId="0">
      <pane xSplit="1" ySplit="3" topLeftCell="G10" activePane="bottomRight" state="frozen"/>
      <selection pane="topRight" activeCell="B1" sqref="B1"/>
      <selection pane="bottomLeft" activeCell="A4" sqref="A4"/>
      <selection pane="bottomRight" activeCell="N28" sqref="N28"/>
    </sheetView>
  </sheetViews>
  <sheetFormatPr defaultRowHeight="15.75" x14ac:dyDescent="0.25"/>
  <cols>
    <col min="1" max="1" width="30.109375" bestFit="1" customWidth="1"/>
    <col min="2" max="13" width="16" hidden="1" customWidth="1"/>
    <col min="14" max="14" width="16" bestFit="1" customWidth="1"/>
    <col min="15" max="15" width="9.88671875" bestFit="1" customWidth="1"/>
    <col min="19" max="19" width="9.5546875" bestFit="1" customWidth="1"/>
  </cols>
  <sheetData>
    <row r="2" spans="1:17" x14ac:dyDescent="0.25">
      <c r="A2" s="78"/>
      <c r="B2" s="79" t="s">
        <v>194</v>
      </c>
      <c r="C2" s="79" t="s">
        <v>194</v>
      </c>
      <c r="D2" s="79" t="s">
        <v>194</v>
      </c>
      <c r="E2" s="79" t="s">
        <v>194</v>
      </c>
      <c r="F2" s="79" t="s">
        <v>194</v>
      </c>
      <c r="G2" s="79" t="s">
        <v>194</v>
      </c>
      <c r="H2" s="79" t="s">
        <v>194</v>
      </c>
      <c r="I2" s="79" t="s">
        <v>194</v>
      </c>
      <c r="J2" s="79" t="s">
        <v>194</v>
      </c>
      <c r="K2" s="79" t="s">
        <v>194</v>
      </c>
      <c r="L2" s="79" t="s">
        <v>194</v>
      </c>
      <c r="M2" s="79" t="s">
        <v>194</v>
      </c>
      <c r="N2" s="79" t="s">
        <v>194</v>
      </c>
    </row>
    <row r="3" spans="1:17" x14ac:dyDescent="0.25">
      <c r="A3" s="80" t="s">
        <v>193</v>
      </c>
      <c r="B3" s="81" t="s">
        <v>195</v>
      </c>
      <c r="C3" s="81" t="s">
        <v>196</v>
      </c>
      <c r="D3" s="81" t="s">
        <v>197</v>
      </c>
      <c r="E3" s="81" t="s">
        <v>198</v>
      </c>
      <c r="F3" s="81" t="s">
        <v>199</v>
      </c>
      <c r="G3" s="81" t="s">
        <v>200</v>
      </c>
      <c r="H3" s="81" t="s">
        <v>201</v>
      </c>
      <c r="I3" s="81" t="s">
        <v>202</v>
      </c>
      <c r="J3" s="81" t="s">
        <v>203</v>
      </c>
      <c r="K3" s="81" t="s">
        <v>204</v>
      </c>
      <c r="L3" s="81" t="s">
        <v>205</v>
      </c>
      <c r="M3" s="81" t="s">
        <v>206</v>
      </c>
      <c r="N3" s="81" t="s">
        <v>207</v>
      </c>
    </row>
    <row r="4" spans="1:17" x14ac:dyDescent="0.25">
      <c r="O4" t="s">
        <v>231</v>
      </c>
    </row>
    <row r="5" spans="1:17" x14ac:dyDescent="0.25">
      <c r="A5" s="82" t="s">
        <v>208</v>
      </c>
      <c r="B5" s="83">
        <v>768906.3009726</v>
      </c>
      <c r="C5" s="83">
        <v>775767.37663820002</v>
      </c>
      <c r="D5" s="83">
        <v>831537.60204380006</v>
      </c>
      <c r="E5" s="83">
        <v>815022.80428749998</v>
      </c>
      <c r="F5" s="83">
        <v>928899.70893269998</v>
      </c>
      <c r="G5" s="83">
        <v>871251.49152309995</v>
      </c>
      <c r="H5" s="83">
        <v>1179146.5904075</v>
      </c>
      <c r="I5" s="83">
        <v>1197445.7288726999</v>
      </c>
      <c r="J5" s="83">
        <v>1127437.6410073999</v>
      </c>
      <c r="K5" s="83">
        <v>1159688.4802377999</v>
      </c>
      <c r="L5" s="83">
        <v>1144674.6138581</v>
      </c>
      <c r="M5" s="83">
        <v>1130906.6808831999</v>
      </c>
      <c r="N5" s="83">
        <v>11930685.0196646</v>
      </c>
      <c r="O5">
        <v>0</v>
      </c>
      <c r="P5">
        <f>+O5-N5</f>
        <v>-11930685.0196646</v>
      </c>
    </row>
    <row r="6" spans="1:17" x14ac:dyDescent="0.25">
      <c r="A6" s="82" t="s">
        <v>209</v>
      </c>
      <c r="B6" s="83">
        <v>98539.01642</v>
      </c>
      <c r="C6" s="83">
        <v>98539.01642</v>
      </c>
      <c r="D6" s="83">
        <v>98539.01642</v>
      </c>
      <c r="E6" s="83">
        <v>98539.01642</v>
      </c>
      <c r="F6" s="83">
        <v>98539.01642</v>
      </c>
      <c r="G6" s="83">
        <v>98539.01642</v>
      </c>
      <c r="H6" s="83">
        <v>98539.01642</v>
      </c>
      <c r="I6" s="83">
        <v>98539.01642</v>
      </c>
      <c r="J6" s="83">
        <v>98539.01642</v>
      </c>
      <c r="K6" s="83">
        <v>98539.01642</v>
      </c>
      <c r="L6" s="83">
        <v>98539.01642</v>
      </c>
      <c r="M6" s="83">
        <v>98539.01642</v>
      </c>
      <c r="N6" s="83">
        <v>1182468.19704</v>
      </c>
    </row>
    <row r="7" spans="1:17" x14ac:dyDescent="0.25">
      <c r="A7" s="84" t="s">
        <v>210</v>
      </c>
      <c r="B7" s="84">
        <v>98539.01642</v>
      </c>
      <c r="C7" s="84">
        <v>98539.01642</v>
      </c>
      <c r="D7" s="84">
        <v>98539.01642</v>
      </c>
      <c r="E7" s="84">
        <v>98539.01642</v>
      </c>
      <c r="F7" s="84">
        <v>98539.01642</v>
      </c>
      <c r="G7" s="84">
        <v>98539.01642</v>
      </c>
      <c r="H7" s="84">
        <v>98539.01642</v>
      </c>
      <c r="I7" s="84">
        <v>98539.01642</v>
      </c>
      <c r="J7" s="84">
        <v>98539.01642</v>
      </c>
      <c r="K7" s="84">
        <v>98539.01642</v>
      </c>
      <c r="L7" s="84">
        <v>98539.01642</v>
      </c>
      <c r="M7" s="84">
        <v>98539.01642</v>
      </c>
      <c r="N7" s="84">
        <v>1182468.19704</v>
      </c>
    </row>
    <row r="8" spans="1:17" x14ac:dyDescent="0.25">
      <c r="A8" s="82" t="s">
        <v>211</v>
      </c>
      <c r="B8" s="83">
        <v>441008.38371919998</v>
      </c>
      <c r="C8" s="83">
        <v>445869.45938479999</v>
      </c>
      <c r="D8" s="83">
        <v>476477.68479039997</v>
      </c>
      <c r="E8" s="83">
        <v>459962.88620080001</v>
      </c>
      <c r="F8" s="83">
        <v>473839.79084600002</v>
      </c>
      <c r="G8" s="83">
        <v>516191.57343639998</v>
      </c>
      <c r="H8" s="83">
        <v>529354.17232080002</v>
      </c>
      <c r="I8" s="83">
        <v>547653.31078599999</v>
      </c>
      <c r="J8" s="83">
        <v>477645.22292069998</v>
      </c>
      <c r="K8" s="83">
        <v>509896.06215110002</v>
      </c>
      <c r="L8" s="83">
        <v>494882.1957714</v>
      </c>
      <c r="M8" s="83">
        <v>481114.2627965</v>
      </c>
      <c r="N8" s="83">
        <v>5853895.0051240996</v>
      </c>
      <c r="Q8" s="41"/>
    </row>
    <row r="9" spans="1:17" x14ac:dyDescent="0.25">
      <c r="A9" s="84" t="s">
        <v>212</v>
      </c>
      <c r="B9" s="84">
        <v>208663.46771200001</v>
      </c>
      <c r="C9" s="84">
        <v>213452.11971200001</v>
      </c>
      <c r="D9" s="84">
        <v>249668.06647200001</v>
      </c>
      <c r="E9" s="84">
        <v>232738.64483199999</v>
      </c>
      <c r="F9" s="84">
        <v>243012.63655200001</v>
      </c>
      <c r="G9" s="84">
        <v>289534.30456000002</v>
      </c>
      <c r="H9" s="84">
        <v>299991.95616</v>
      </c>
      <c r="I9" s="84">
        <v>317249.6606381</v>
      </c>
      <c r="J9" s="84">
        <v>249166.41635000001</v>
      </c>
      <c r="K9" s="84">
        <v>277814.75864399999</v>
      </c>
      <c r="L9" s="84">
        <v>269137.9520935</v>
      </c>
      <c r="M9" s="84">
        <v>252514.4382298</v>
      </c>
      <c r="N9" s="84">
        <v>3102944.4219554001</v>
      </c>
      <c r="Q9" s="41"/>
    </row>
    <row r="10" spans="1:17" x14ac:dyDescent="0.25">
      <c r="A10" s="84" t="s">
        <v>213</v>
      </c>
      <c r="B10" s="84">
        <v>26985</v>
      </c>
      <c r="C10" s="84">
        <v>26985</v>
      </c>
      <c r="D10" s="84">
        <v>26985</v>
      </c>
      <c r="E10" s="84">
        <v>26985</v>
      </c>
      <c r="F10" s="84">
        <v>26985</v>
      </c>
      <c r="G10" s="84">
        <v>26985</v>
      </c>
      <c r="H10" s="84">
        <v>26985</v>
      </c>
      <c r="I10" s="84">
        <v>26985</v>
      </c>
      <c r="J10" s="84">
        <v>26985</v>
      </c>
      <c r="K10" s="84">
        <v>26985</v>
      </c>
      <c r="L10" s="84">
        <v>26985</v>
      </c>
      <c r="M10" s="84">
        <v>26985</v>
      </c>
      <c r="N10" s="84">
        <v>323820</v>
      </c>
      <c r="Q10" s="41"/>
    </row>
    <row r="11" spans="1:17" x14ac:dyDescent="0.25">
      <c r="A11" s="84" t="s">
        <v>214</v>
      </c>
      <c r="B11" s="84">
        <v>108645.636736</v>
      </c>
      <c r="C11" s="84">
        <v>108645.636736</v>
      </c>
      <c r="D11" s="84">
        <v>108645.636736</v>
      </c>
      <c r="E11" s="84">
        <v>108645.636736</v>
      </c>
      <c r="F11" s="84">
        <v>108645.636736</v>
      </c>
      <c r="G11" s="84">
        <v>108645.636736</v>
      </c>
      <c r="H11" s="84">
        <v>108645.636736</v>
      </c>
      <c r="I11" s="84">
        <v>108645.636736</v>
      </c>
      <c r="J11" s="84">
        <v>108645.636736</v>
      </c>
      <c r="K11" s="84">
        <v>108645.636736</v>
      </c>
      <c r="L11" s="84">
        <v>108645.636736</v>
      </c>
      <c r="M11" s="84">
        <v>108645.636736</v>
      </c>
      <c r="N11" s="84">
        <v>1303747.6408319999</v>
      </c>
      <c r="Q11" s="41"/>
    </row>
    <row r="12" spans="1:17" x14ac:dyDescent="0.25">
      <c r="A12" s="84" t="s">
        <v>215</v>
      </c>
      <c r="B12" s="84">
        <v>8497.5497599999999</v>
      </c>
      <c r="C12" s="84">
        <v>9468.5174399999996</v>
      </c>
      <c r="D12" s="84">
        <v>6831.11744</v>
      </c>
      <c r="E12" s="84">
        <v>6939.4982399999999</v>
      </c>
      <c r="F12" s="84">
        <v>7072.5641599999999</v>
      </c>
      <c r="G12" s="84">
        <v>4744.3516799999998</v>
      </c>
      <c r="H12" s="84">
        <v>2383.1769599999998</v>
      </c>
      <c r="I12" s="84">
        <v>6569.4022400000003</v>
      </c>
      <c r="J12" s="84">
        <v>6589.4022400000003</v>
      </c>
      <c r="K12" s="84">
        <v>6569.4022400000003</v>
      </c>
      <c r="L12" s="84">
        <v>6569.4022400000003</v>
      </c>
      <c r="M12" s="84">
        <v>6589.4022400000003</v>
      </c>
      <c r="N12" s="84">
        <v>78823.78688</v>
      </c>
      <c r="Q12" s="42"/>
    </row>
    <row r="13" spans="1:17" x14ac:dyDescent="0.25">
      <c r="A13" s="84" t="s">
        <v>216</v>
      </c>
      <c r="B13" s="84">
        <v>19861.9691112</v>
      </c>
      <c r="C13" s="84">
        <v>18257.524696799999</v>
      </c>
      <c r="D13" s="84">
        <v>13775.030942400001</v>
      </c>
      <c r="E13" s="84">
        <v>13718.869192800001</v>
      </c>
      <c r="F13" s="84">
        <v>16659.093798000002</v>
      </c>
      <c r="G13" s="84">
        <v>16720.532060400001</v>
      </c>
      <c r="H13" s="84">
        <v>20149.5924648</v>
      </c>
      <c r="I13" s="84">
        <v>17995.995514800001</v>
      </c>
      <c r="J13" s="84">
        <v>16051.1519376</v>
      </c>
      <c r="K13" s="84">
        <v>19673.648873999999</v>
      </c>
      <c r="L13" s="84">
        <v>13336.589044799999</v>
      </c>
      <c r="M13" s="84">
        <v>16172.1699336</v>
      </c>
      <c r="N13" s="84">
        <v>202372.1675712</v>
      </c>
      <c r="Q13" s="42"/>
    </row>
    <row r="14" spans="1:17" x14ac:dyDescent="0.25">
      <c r="A14" s="84" t="s">
        <v>217</v>
      </c>
      <c r="B14" s="84">
        <v>4873.8004000000001</v>
      </c>
      <c r="C14" s="84">
        <v>5613.4607999999998</v>
      </c>
      <c r="D14" s="84">
        <v>6905.4732000000004</v>
      </c>
      <c r="E14" s="84">
        <v>6641.7972</v>
      </c>
      <c r="F14" s="84">
        <v>7274.6196</v>
      </c>
      <c r="G14" s="84">
        <v>5639.8284000000003</v>
      </c>
      <c r="H14" s="84">
        <v>7380.09</v>
      </c>
      <c r="I14" s="84">
        <v>6354.1527999999998</v>
      </c>
      <c r="J14" s="84">
        <v>6354.1527999999998</v>
      </c>
      <c r="K14" s="84">
        <v>6354.1527999999998</v>
      </c>
      <c r="L14" s="84">
        <v>6354.1527999999998</v>
      </c>
      <c r="M14" s="84">
        <v>6354.1527999999998</v>
      </c>
      <c r="N14" s="84">
        <v>76099.833599999998</v>
      </c>
      <c r="Q14" s="42"/>
    </row>
    <row r="15" spans="1:17" x14ac:dyDescent="0.25">
      <c r="A15" s="84" t="s">
        <v>218</v>
      </c>
      <c r="B15" s="84">
        <v>308.95999999999998</v>
      </c>
      <c r="C15" s="84">
        <v>275.2</v>
      </c>
      <c r="D15" s="84">
        <v>495.36</v>
      </c>
      <c r="E15" s="84">
        <v>1121.44</v>
      </c>
      <c r="F15" s="84">
        <v>1018.24</v>
      </c>
      <c r="G15" s="84">
        <v>749.92</v>
      </c>
      <c r="H15" s="84">
        <v>646.72</v>
      </c>
      <c r="I15" s="84">
        <v>681.46285709999995</v>
      </c>
      <c r="J15" s="84">
        <v>681.46285709999995</v>
      </c>
      <c r="K15" s="84">
        <v>681.46285709999995</v>
      </c>
      <c r="L15" s="84">
        <v>681.46285709999995</v>
      </c>
      <c r="M15" s="84">
        <v>681.46285709999995</v>
      </c>
      <c r="N15" s="84">
        <v>8023.1542854999998</v>
      </c>
      <c r="Q15" s="43"/>
    </row>
    <row r="16" spans="1:17" x14ac:dyDescent="0.25">
      <c r="A16" s="84" t="s">
        <v>219</v>
      </c>
      <c r="B16" s="84">
        <v>48672</v>
      </c>
      <c r="C16" s="84">
        <v>48672</v>
      </c>
      <c r="D16" s="84">
        <v>48672</v>
      </c>
      <c r="E16" s="84">
        <v>48672</v>
      </c>
      <c r="F16" s="84">
        <v>48672</v>
      </c>
      <c r="G16" s="84">
        <v>48672</v>
      </c>
      <c r="H16" s="84">
        <v>48672</v>
      </c>
      <c r="I16" s="84">
        <v>48672</v>
      </c>
      <c r="J16" s="84">
        <v>48672</v>
      </c>
      <c r="K16" s="84">
        <v>48672</v>
      </c>
      <c r="L16" s="84">
        <v>48672</v>
      </c>
      <c r="M16" s="84">
        <v>48672</v>
      </c>
      <c r="N16" s="84">
        <v>584064</v>
      </c>
      <c r="Q16" s="43"/>
    </row>
    <row r="17" spans="1:17" x14ac:dyDescent="0.25">
      <c r="A17" s="84" t="s">
        <v>220</v>
      </c>
      <c r="B17" s="84">
        <v>14500</v>
      </c>
      <c r="C17" s="84">
        <v>14500</v>
      </c>
      <c r="D17" s="84">
        <v>14500</v>
      </c>
      <c r="E17" s="84">
        <v>14500</v>
      </c>
      <c r="F17" s="84">
        <v>14500</v>
      </c>
      <c r="G17" s="84">
        <v>14500</v>
      </c>
      <c r="H17" s="84">
        <v>14500</v>
      </c>
      <c r="I17" s="84">
        <v>14500</v>
      </c>
      <c r="J17" s="84">
        <v>14500</v>
      </c>
      <c r="K17" s="84">
        <v>14500</v>
      </c>
      <c r="L17" s="84">
        <v>14500</v>
      </c>
      <c r="M17" s="84">
        <v>14500</v>
      </c>
      <c r="N17" s="84">
        <v>174000</v>
      </c>
      <c r="Q17" s="43"/>
    </row>
    <row r="18" spans="1:17" x14ac:dyDescent="0.25">
      <c r="A18" s="82" t="s">
        <v>221</v>
      </c>
      <c r="B18" s="83">
        <v>8152.1216666999999</v>
      </c>
      <c r="C18" s="83">
        <v>10152.121666700001</v>
      </c>
      <c r="D18" s="83">
        <v>8152.1216666999999</v>
      </c>
      <c r="E18" s="83">
        <v>8152.1216666999999</v>
      </c>
      <c r="F18" s="83">
        <v>108152.1216667</v>
      </c>
      <c r="G18" s="83">
        <v>8152.1216666999999</v>
      </c>
      <c r="H18" s="83">
        <v>8152.1216666999999</v>
      </c>
      <c r="I18" s="83">
        <v>8152.1216666999999</v>
      </c>
      <c r="J18" s="83">
        <v>8152.1216666999999</v>
      </c>
      <c r="K18" s="83">
        <v>8152.1216666999999</v>
      </c>
      <c r="L18" s="83">
        <v>8152.1216666999999</v>
      </c>
      <c r="M18" s="83">
        <v>8152.1216666999999</v>
      </c>
      <c r="N18" s="83">
        <v>199825.46000039999</v>
      </c>
      <c r="Q18" s="43"/>
    </row>
    <row r="19" spans="1:17" x14ac:dyDescent="0.25">
      <c r="A19" s="84" t="s">
        <v>222</v>
      </c>
      <c r="B19" s="84">
        <v>8152.1216666999999</v>
      </c>
      <c r="C19" s="84">
        <v>10152.121666700001</v>
      </c>
      <c r="D19" s="84">
        <v>8152.1216666999999</v>
      </c>
      <c r="E19" s="84">
        <v>8152.1216666999999</v>
      </c>
      <c r="F19" s="84">
        <v>108152.1216667</v>
      </c>
      <c r="G19" s="84">
        <v>8152.1216666999999</v>
      </c>
      <c r="H19" s="84">
        <v>8152.1216666999999</v>
      </c>
      <c r="I19" s="84">
        <v>8152.1216666999999</v>
      </c>
      <c r="J19" s="84">
        <v>8152.1216666999999</v>
      </c>
      <c r="K19" s="84">
        <v>8152.1216666999999</v>
      </c>
      <c r="L19" s="84">
        <v>8152.1216666999999</v>
      </c>
      <c r="M19" s="84">
        <v>8152.1216666999999</v>
      </c>
      <c r="N19" s="84">
        <v>199825.46000039999</v>
      </c>
      <c r="Q19" s="43"/>
    </row>
    <row r="20" spans="1:17" x14ac:dyDescent="0.25">
      <c r="A20" s="82" t="s">
        <v>223</v>
      </c>
      <c r="B20" s="83">
        <v>221206.7791667</v>
      </c>
      <c r="C20" s="83">
        <v>221206.7791667</v>
      </c>
      <c r="D20" s="83">
        <v>248368.7791667</v>
      </c>
      <c r="E20" s="83">
        <v>248368.78</v>
      </c>
      <c r="F20" s="83">
        <v>248368.78</v>
      </c>
      <c r="G20" s="83">
        <v>248368.78</v>
      </c>
      <c r="H20" s="83">
        <v>543101.28</v>
      </c>
      <c r="I20" s="83">
        <v>543101.28</v>
      </c>
      <c r="J20" s="83">
        <v>543101.28</v>
      </c>
      <c r="K20" s="83">
        <v>543101.28</v>
      </c>
      <c r="L20" s="83">
        <v>543101.28</v>
      </c>
      <c r="M20" s="83">
        <v>543101.28</v>
      </c>
      <c r="N20" s="83">
        <v>4694496.3575000996</v>
      </c>
      <c r="Q20" s="43"/>
    </row>
    <row r="21" spans="1:17" x14ac:dyDescent="0.25">
      <c r="A21" s="84" t="s">
        <v>224</v>
      </c>
      <c r="B21" s="84">
        <v>207350.7791667</v>
      </c>
      <c r="C21" s="84">
        <v>207350.7791667</v>
      </c>
      <c r="D21" s="84">
        <v>234512.7791667</v>
      </c>
      <c r="E21" s="84">
        <v>234512.78</v>
      </c>
      <c r="F21" s="84">
        <v>234512.78</v>
      </c>
      <c r="G21" s="84">
        <v>234512.78</v>
      </c>
      <c r="H21" s="84">
        <v>529245.28</v>
      </c>
      <c r="I21" s="84">
        <v>529245.28</v>
      </c>
      <c r="J21" s="84">
        <v>529245.28</v>
      </c>
      <c r="K21" s="84">
        <v>529245.28</v>
      </c>
      <c r="L21" s="84">
        <v>529245.28</v>
      </c>
      <c r="M21" s="84">
        <v>529245.28</v>
      </c>
      <c r="N21" s="84">
        <v>4528224.3575000996</v>
      </c>
      <c r="Q21" s="60"/>
    </row>
    <row r="22" spans="1:17" x14ac:dyDescent="0.25">
      <c r="A22" s="84" t="s">
        <v>225</v>
      </c>
      <c r="B22" s="84">
        <v>800</v>
      </c>
      <c r="C22" s="84">
        <v>800</v>
      </c>
      <c r="D22" s="84">
        <v>800</v>
      </c>
      <c r="E22" s="84">
        <v>800</v>
      </c>
      <c r="F22" s="84">
        <v>800</v>
      </c>
      <c r="G22" s="84">
        <v>800</v>
      </c>
      <c r="H22" s="84">
        <v>800</v>
      </c>
      <c r="I22" s="84">
        <v>800</v>
      </c>
      <c r="J22" s="84">
        <v>800</v>
      </c>
      <c r="K22" s="84">
        <v>800</v>
      </c>
      <c r="L22" s="84">
        <v>800</v>
      </c>
      <c r="M22" s="84">
        <v>800</v>
      </c>
      <c r="N22" s="84">
        <v>9600</v>
      </c>
      <c r="Q22" s="3"/>
    </row>
    <row r="23" spans="1:17" x14ac:dyDescent="0.25">
      <c r="A23" s="84" t="s">
        <v>226</v>
      </c>
      <c r="B23" s="84">
        <v>160</v>
      </c>
      <c r="C23" s="84">
        <v>160</v>
      </c>
      <c r="D23" s="84">
        <v>160</v>
      </c>
      <c r="E23" s="84">
        <v>160</v>
      </c>
      <c r="F23" s="84">
        <v>160</v>
      </c>
      <c r="G23" s="84">
        <v>160</v>
      </c>
      <c r="H23" s="84">
        <v>160</v>
      </c>
      <c r="I23" s="84">
        <v>160</v>
      </c>
      <c r="J23" s="84">
        <v>160</v>
      </c>
      <c r="K23" s="84">
        <v>160</v>
      </c>
      <c r="L23" s="84">
        <v>160</v>
      </c>
      <c r="M23" s="84">
        <v>160</v>
      </c>
      <c r="N23" s="84">
        <v>1920</v>
      </c>
    </row>
    <row r="24" spans="1:17" x14ac:dyDescent="0.25">
      <c r="A24" s="84" t="s">
        <v>227</v>
      </c>
      <c r="B24" s="84">
        <v>26320</v>
      </c>
      <c r="C24" s="84">
        <v>26320</v>
      </c>
      <c r="D24" s="84">
        <v>26320</v>
      </c>
      <c r="E24" s="84">
        <v>26320</v>
      </c>
      <c r="F24" s="84">
        <v>26320</v>
      </c>
      <c r="G24" s="84">
        <v>26320</v>
      </c>
      <c r="H24" s="84">
        <v>26320</v>
      </c>
      <c r="I24" s="84">
        <v>26320</v>
      </c>
      <c r="J24" s="84">
        <v>26320</v>
      </c>
      <c r="K24" s="84">
        <v>26320</v>
      </c>
      <c r="L24" s="84">
        <v>26320</v>
      </c>
      <c r="M24" s="84">
        <v>26320</v>
      </c>
      <c r="N24" s="84">
        <v>315840</v>
      </c>
    </row>
    <row r="25" spans="1:17" x14ac:dyDescent="0.25">
      <c r="A25" s="84" t="s">
        <v>228</v>
      </c>
      <c r="B25" s="84">
        <v>4000</v>
      </c>
      <c r="C25" s="84">
        <v>4000</v>
      </c>
      <c r="D25" s="84">
        <v>4000</v>
      </c>
      <c r="E25" s="84">
        <v>4000</v>
      </c>
      <c r="F25" s="84">
        <v>4000</v>
      </c>
      <c r="G25" s="84">
        <v>4000</v>
      </c>
      <c r="H25" s="84">
        <v>4000</v>
      </c>
      <c r="I25" s="84">
        <v>4000</v>
      </c>
      <c r="J25" s="84">
        <v>4000</v>
      </c>
      <c r="K25" s="84">
        <v>4000</v>
      </c>
      <c r="L25" s="84">
        <v>4000</v>
      </c>
      <c r="M25" s="84">
        <v>4000</v>
      </c>
      <c r="N25" s="84">
        <v>48000</v>
      </c>
    </row>
    <row r="26" spans="1:17" x14ac:dyDescent="0.25">
      <c r="A26" s="84" t="s">
        <v>229</v>
      </c>
      <c r="B26" s="84">
        <v>540</v>
      </c>
      <c r="C26" s="84">
        <v>540</v>
      </c>
      <c r="D26" s="84">
        <v>540</v>
      </c>
      <c r="E26" s="84">
        <v>540</v>
      </c>
      <c r="F26" s="84">
        <v>540</v>
      </c>
      <c r="G26" s="84">
        <v>540</v>
      </c>
      <c r="H26" s="84">
        <v>540</v>
      </c>
      <c r="I26" s="84">
        <v>540</v>
      </c>
      <c r="J26" s="84">
        <v>540</v>
      </c>
      <c r="K26" s="84">
        <v>540</v>
      </c>
      <c r="L26" s="84">
        <v>540</v>
      </c>
      <c r="M26" s="84">
        <v>540</v>
      </c>
      <c r="N26" s="84">
        <v>6480</v>
      </c>
    </row>
    <row r="27" spans="1:17" x14ac:dyDescent="0.25">
      <c r="A27" s="84" t="s">
        <v>230</v>
      </c>
      <c r="B27" s="84">
        <v>-17964</v>
      </c>
      <c r="C27" s="84">
        <v>-17964</v>
      </c>
      <c r="D27" s="84">
        <v>-17964</v>
      </c>
      <c r="E27" s="84">
        <v>-17964</v>
      </c>
      <c r="F27" s="84">
        <v>-17964</v>
      </c>
      <c r="G27" s="84">
        <v>-17964</v>
      </c>
      <c r="H27" s="84">
        <v>-17964</v>
      </c>
      <c r="I27" s="84">
        <v>-17964</v>
      </c>
      <c r="J27" s="84">
        <v>-17964</v>
      </c>
      <c r="K27" s="84">
        <v>-17964</v>
      </c>
      <c r="L27" s="84">
        <v>-17964</v>
      </c>
      <c r="M27" s="84">
        <v>-17964</v>
      </c>
      <c r="N27" s="84">
        <v>-215568</v>
      </c>
    </row>
    <row r="28" spans="1:17" x14ac:dyDescent="0.25">
      <c r="A28" s="84" t="s">
        <v>243</v>
      </c>
      <c r="N28" s="85">
        <v>1748913.9999996</v>
      </c>
    </row>
    <row r="29" spans="1:17" x14ac:dyDescent="0.25">
      <c r="A29" s="85" t="s">
        <v>236</v>
      </c>
      <c r="N29" s="8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0"/>
  <sheetViews>
    <sheetView workbookViewId="0">
      <selection activeCell="B8" sqref="B8"/>
    </sheetView>
  </sheetViews>
  <sheetFormatPr defaultRowHeight="15.75" x14ac:dyDescent="0.25"/>
  <cols>
    <col min="1" max="1" width="10.44140625" bestFit="1" customWidth="1"/>
    <col min="2" max="2" width="12.44140625" bestFit="1" customWidth="1"/>
    <col min="3" max="4" width="11.77734375" bestFit="1" customWidth="1"/>
    <col min="5" max="5" width="11.77734375" customWidth="1"/>
    <col min="6" max="6" width="12" bestFit="1" customWidth="1"/>
    <col min="7" max="7" width="12" customWidth="1"/>
    <col min="8" max="8" width="12" bestFit="1" customWidth="1"/>
    <col min="9" max="9" width="12" customWidth="1"/>
    <col min="10" max="10" width="12" bestFit="1" customWidth="1"/>
    <col min="11" max="11" width="12" customWidth="1"/>
    <col min="12" max="12" width="12" bestFit="1" customWidth="1"/>
    <col min="13" max="13" width="12" customWidth="1"/>
    <col min="14" max="14" width="12" bestFit="1" customWidth="1"/>
    <col min="15" max="15" width="12" customWidth="1"/>
    <col min="16" max="16" width="12.33203125" customWidth="1"/>
    <col min="17" max="17" width="13.109375" customWidth="1"/>
    <col min="18" max="18" width="12.5546875" bestFit="1" customWidth="1"/>
    <col min="19" max="19" width="12.21875" customWidth="1"/>
    <col min="20" max="20" width="12.88671875" bestFit="1" customWidth="1"/>
    <col min="21" max="21" width="12.109375" customWidth="1"/>
    <col min="22" max="22" width="12.33203125" bestFit="1" customWidth="1"/>
    <col min="23" max="23" width="11.109375" bestFit="1" customWidth="1"/>
    <col min="24" max="24" width="12.44140625" bestFit="1" customWidth="1"/>
    <col min="25" max="25" width="11.21875" bestFit="1" customWidth="1"/>
    <col min="26" max="26" width="8.5546875" customWidth="1"/>
    <col min="27" max="32" width="9" bestFit="1" customWidth="1"/>
    <col min="33" max="33" width="12.44140625" bestFit="1" customWidth="1"/>
  </cols>
  <sheetData>
    <row r="1" spans="1:39" x14ac:dyDescent="0.25">
      <c r="A1" s="37" t="s">
        <v>128</v>
      </c>
    </row>
    <row r="2" spans="1:39" ht="15.75" customHeight="1" x14ac:dyDescent="0.25">
      <c r="A2" s="38" t="s">
        <v>157</v>
      </c>
      <c r="B2" s="39" t="s">
        <v>106</v>
      </c>
      <c r="C2" s="39" t="s">
        <v>129</v>
      </c>
    </row>
    <row r="4" spans="1:39" x14ac:dyDescent="0.25">
      <c r="B4" s="33" t="s">
        <v>130</v>
      </c>
      <c r="C4" s="33" t="s">
        <v>158</v>
      </c>
      <c r="D4" s="33" t="s">
        <v>166</v>
      </c>
      <c r="E4" s="33" t="s">
        <v>167</v>
      </c>
      <c r="F4" s="33" t="s">
        <v>131</v>
      </c>
      <c r="G4" s="33" t="s">
        <v>168</v>
      </c>
      <c r="H4" s="33" t="s">
        <v>169</v>
      </c>
      <c r="I4" s="33" t="s">
        <v>132</v>
      </c>
      <c r="J4" s="33" t="s">
        <v>133</v>
      </c>
      <c r="K4" s="33" t="s">
        <v>134</v>
      </c>
      <c r="L4" s="33" t="s">
        <v>135</v>
      </c>
      <c r="M4" s="33" t="s">
        <v>159</v>
      </c>
      <c r="N4" s="33" t="s">
        <v>136</v>
      </c>
      <c r="O4" s="33" t="s">
        <v>137</v>
      </c>
      <c r="P4" s="33" t="s">
        <v>138</v>
      </c>
      <c r="Q4" s="33" t="s">
        <v>139</v>
      </c>
      <c r="R4" s="33" t="s">
        <v>140</v>
      </c>
      <c r="S4" s="33" t="s">
        <v>141</v>
      </c>
      <c r="T4" s="33" t="s">
        <v>160</v>
      </c>
      <c r="U4" s="33" t="s">
        <v>142</v>
      </c>
      <c r="V4" s="33" t="s">
        <v>143</v>
      </c>
      <c r="W4" s="33" t="s">
        <v>144</v>
      </c>
      <c r="X4" s="33" t="s">
        <v>145</v>
      </c>
      <c r="Y4" s="33" t="s">
        <v>146</v>
      </c>
      <c r="Z4" s="33" t="s">
        <v>147</v>
      </c>
      <c r="AA4" s="33" t="s">
        <v>148</v>
      </c>
      <c r="AB4" s="33" t="s">
        <v>149</v>
      </c>
      <c r="AC4" s="33" t="s">
        <v>150</v>
      </c>
      <c r="AD4" s="33" t="s">
        <v>151</v>
      </c>
      <c r="AE4" s="33" t="s">
        <v>152</v>
      </c>
      <c r="AF4" s="33" t="s">
        <v>161</v>
      </c>
      <c r="AG4" s="32" t="s">
        <v>153</v>
      </c>
    </row>
    <row r="5" spans="1:39" x14ac:dyDescent="0.25">
      <c r="A5" s="33" t="s">
        <v>165</v>
      </c>
      <c r="B5" s="44">
        <v>3684965.1503581544</v>
      </c>
      <c r="C5" s="44">
        <v>0</v>
      </c>
      <c r="D5" s="44">
        <v>8592</v>
      </c>
      <c r="E5" s="45">
        <v>4308</v>
      </c>
      <c r="F5" s="45">
        <v>3204</v>
      </c>
      <c r="G5" s="46">
        <v>8796</v>
      </c>
      <c r="H5" s="46">
        <v>708</v>
      </c>
      <c r="I5" s="47">
        <v>58379.974358974359</v>
      </c>
      <c r="J5" s="47">
        <v>5364</v>
      </c>
      <c r="K5" s="48">
        <v>124989.17598984629</v>
      </c>
      <c r="L5" s="48">
        <v>113634.22348988609</v>
      </c>
      <c r="M5" s="49">
        <v>0</v>
      </c>
      <c r="N5" s="50">
        <v>6752.0900559519505</v>
      </c>
      <c r="O5" s="50">
        <v>31743.648737864081</v>
      </c>
      <c r="P5" s="51">
        <v>1312.04</v>
      </c>
      <c r="Q5" s="51">
        <v>8390.616</v>
      </c>
      <c r="R5" s="52">
        <v>60</v>
      </c>
      <c r="S5" s="52">
        <v>1416</v>
      </c>
      <c r="T5" s="49">
        <v>0</v>
      </c>
      <c r="U5" s="53">
        <v>114</v>
      </c>
      <c r="V5" s="53">
        <v>1140</v>
      </c>
      <c r="W5" s="54">
        <v>372</v>
      </c>
      <c r="X5" s="54">
        <v>384</v>
      </c>
      <c r="Y5" s="55">
        <v>48</v>
      </c>
      <c r="Z5" s="55">
        <v>132</v>
      </c>
      <c r="AA5" s="56">
        <v>108</v>
      </c>
      <c r="AB5" s="56">
        <v>24</v>
      </c>
      <c r="AC5" s="49">
        <v>312</v>
      </c>
      <c r="AD5" s="49">
        <v>168</v>
      </c>
      <c r="AE5" s="49">
        <v>36</v>
      </c>
      <c r="AF5" s="49">
        <v>84</v>
      </c>
      <c r="AG5" s="49">
        <v>4065537.8678544778</v>
      </c>
      <c r="AH5" s="57"/>
      <c r="AI5" s="57"/>
      <c r="AJ5" s="57"/>
      <c r="AK5" s="57"/>
      <c r="AL5" s="57"/>
      <c r="AM5" s="57"/>
    </row>
    <row r="6" spans="1:39" x14ac:dyDescent="0.25">
      <c r="A6" s="3" t="s">
        <v>154</v>
      </c>
      <c r="B6" s="49">
        <f>+B5+C5</f>
        <v>3684965.1503581544</v>
      </c>
      <c r="C6" s="57"/>
      <c r="D6" s="57"/>
      <c r="E6" s="49">
        <f>+E5+F5</f>
        <v>7512</v>
      </c>
      <c r="F6" s="49"/>
      <c r="G6" s="49">
        <f>+G5+H5</f>
        <v>9504</v>
      </c>
      <c r="H6" s="49"/>
      <c r="I6" s="49">
        <f>+I5+J5</f>
        <v>63743.974358974359</v>
      </c>
      <c r="J6" s="49"/>
      <c r="K6" s="49">
        <f>+K5+L5</f>
        <v>238623.39947973238</v>
      </c>
      <c r="L6" s="49"/>
      <c r="M6" s="49">
        <f>+M5</f>
        <v>0</v>
      </c>
      <c r="N6" s="49">
        <f>+N5+O5</f>
        <v>38495.738793816032</v>
      </c>
      <c r="O6" s="49"/>
      <c r="P6" s="49">
        <f>+P5+Q5</f>
        <v>9702.655999999999</v>
      </c>
      <c r="Q6" s="49"/>
      <c r="R6" s="49">
        <f>+R5+S5</f>
        <v>1476</v>
      </c>
      <c r="S6" s="49"/>
      <c r="T6" s="49">
        <f>+T5</f>
        <v>0</v>
      </c>
      <c r="U6" s="49">
        <f>+U5+V5</f>
        <v>1254</v>
      </c>
      <c r="V6" s="49"/>
      <c r="W6" s="49">
        <f>+W5+X5</f>
        <v>756</v>
      </c>
      <c r="X6" s="49"/>
      <c r="Y6" s="49">
        <f>+Y5+Z5</f>
        <v>180</v>
      </c>
      <c r="Z6" s="49"/>
      <c r="AA6" s="49">
        <f>+AA5+AB5</f>
        <v>132</v>
      </c>
      <c r="AB6" s="49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</row>
    <row r="7" spans="1:39" x14ac:dyDescent="0.25">
      <c r="A7" t="s">
        <v>107</v>
      </c>
      <c r="B7" s="58">
        <f>+B6/12</f>
        <v>307080.42919651285</v>
      </c>
      <c r="C7" s="57"/>
      <c r="D7" s="57">
        <f>+D5/12</f>
        <v>716</v>
      </c>
      <c r="E7" s="57">
        <f>+E6/12</f>
        <v>626</v>
      </c>
      <c r="F7" s="57"/>
      <c r="G7" s="57">
        <f>+G6/12</f>
        <v>792</v>
      </c>
      <c r="H7" s="57"/>
      <c r="I7" s="57">
        <f>+I6/12</f>
        <v>5311.9978632478633</v>
      </c>
      <c r="J7" s="57"/>
      <c r="K7" s="57">
        <f>+K6/12</f>
        <v>19885.283289977699</v>
      </c>
      <c r="L7" s="57"/>
      <c r="M7" s="57"/>
      <c r="N7" s="57">
        <f>+N6/12</f>
        <v>3207.9782328180027</v>
      </c>
      <c r="O7" s="57"/>
      <c r="P7" s="57">
        <f>+P6/12</f>
        <v>808.55466666666655</v>
      </c>
      <c r="Q7" s="57"/>
      <c r="R7" s="57">
        <f>+R6/12</f>
        <v>123</v>
      </c>
      <c r="S7" s="57"/>
      <c r="T7" s="57"/>
      <c r="U7" s="57">
        <f>+U6/12</f>
        <v>104.5</v>
      </c>
      <c r="V7" s="57"/>
      <c r="W7" s="57">
        <f>+W6/12</f>
        <v>63</v>
      </c>
      <c r="X7" s="57"/>
      <c r="Y7" s="57">
        <f>+Y6/12</f>
        <v>15</v>
      </c>
      <c r="Z7" s="49"/>
      <c r="AA7" s="57">
        <f>+AA6/12</f>
        <v>11</v>
      </c>
      <c r="AB7" s="57"/>
      <c r="AC7" s="57">
        <f>+AC5/12</f>
        <v>26</v>
      </c>
      <c r="AD7" s="57">
        <f>+AD5/12</f>
        <v>14</v>
      </c>
      <c r="AE7" s="57">
        <f>+AE5/12</f>
        <v>3</v>
      </c>
      <c r="AF7" s="57">
        <f>+AF5/12</f>
        <v>7</v>
      </c>
      <c r="AG7" s="57"/>
      <c r="AH7" s="57"/>
      <c r="AI7" s="57"/>
      <c r="AJ7" s="57"/>
      <c r="AK7" s="57"/>
      <c r="AL7" s="57"/>
      <c r="AM7" s="57"/>
    </row>
    <row r="8" spans="1:39" x14ac:dyDescent="0.25">
      <c r="A8" t="s">
        <v>108</v>
      </c>
      <c r="B8" s="40">
        <v>0.91157043191480724</v>
      </c>
      <c r="C8" s="40">
        <v>8.9376006556435446E-4</v>
      </c>
      <c r="D8" s="40">
        <v>1.8794287533427368E-2</v>
      </c>
      <c r="E8" s="40"/>
      <c r="F8" s="40">
        <v>5.6158979376150935E-2</v>
      </c>
      <c r="G8" s="40"/>
      <c r="H8" s="40">
        <v>9.0148454332001134E-3</v>
      </c>
      <c r="I8" s="40"/>
      <c r="J8" s="40">
        <v>2.3449488373647942E-3</v>
      </c>
      <c r="K8" s="40"/>
      <c r="L8" s="40">
        <v>4.3991533972379817E-4</v>
      </c>
      <c r="M8" s="40"/>
      <c r="N8" s="40">
        <v>2.9707581663558738E-4</v>
      </c>
      <c r="O8" s="40"/>
      <c r="P8" s="40">
        <v>1.9754402129220643E-4</v>
      </c>
      <c r="Q8" s="40"/>
      <c r="R8" s="40">
        <v>5.6477329164310299E-5</v>
      </c>
      <c r="S8" s="40"/>
      <c r="T8" s="40">
        <v>2.8365295365034772E-5</v>
      </c>
      <c r="U8" s="40"/>
      <c r="V8" s="40">
        <v>9.117416367332605E-5</v>
      </c>
      <c r="W8" s="40">
        <v>4.4320774007866828E-5</v>
      </c>
      <c r="X8" s="40">
        <v>1.7728309603146729E-5</v>
      </c>
      <c r="Y8" s="40">
        <v>5.0145790020329329E-5</v>
      </c>
    </row>
    <row r="9" spans="1:39" x14ac:dyDescent="0.25">
      <c r="A9" t="s">
        <v>156</v>
      </c>
      <c r="C9" s="40"/>
      <c r="D9" s="40">
        <v>0.21518961647537804</v>
      </c>
      <c r="E9" s="40">
        <v>0</v>
      </c>
      <c r="F9" s="40">
        <v>0.64300544578285324</v>
      </c>
      <c r="G9" s="40">
        <v>0</v>
      </c>
      <c r="H9" s="40">
        <v>0.10321759353233545</v>
      </c>
      <c r="I9" s="40">
        <v>0</v>
      </c>
      <c r="J9" s="40">
        <v>2.6849043363278383E-2</v>
      </c>
      <c r="K9" s="40">
        <v>0</v>
      </c>
      <c r="L9" s="40">
        <v>5.0369141723743977E-3</v>
      </c>
      <c r="M9" s="40">
        <v>0</v>
      </c>
      <c r="N9" s="40">
        <v>3.4014394497381513E-3</v>
      </c>
      <c r="O9" s="40"/>
      <c r="Z9" s="34">
        <v>28737.833333333325</v>
      </c>
    </row>
    <row r="10" spans="1:39" x14ac:dyDescent="0.25">
      <c r="A10" t="s">
        <v>155</v>
      </c>
      <c r="E10">
        <v>0</v>
      </c>
      <c r="F10" s="40">
        <v>0</v>
      </c>
      <c r="G1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>
        <v>0</v>
      </c>
      <c r="N10" s="40">
        <v>0.65973003374578165</v>
      </c>
      <c r="O10" s="40">
        <v>0</v>
      </c>
      <c r="P10" s="40">
        <v>0.43869516310461187</v>
      </c>
      <c r="Q10" s="40">
        <v>0</v>
      </c>
      <c r="R10" s="40">
        <v>0.12542182227221596</v>
      </c>
      <c r="S10" s="40">
        <v>0</v>
      </c>
      <c r="T10" s="40">
        <v>6.2992125984251968E-2</v>
      </c>
      <c r="U10" s="40">
        <v>0</v>
      </c>
      <c r="V10" s="40">
        <v>0.20247469066366702</v>
      </c>
      <c r="W10" s="40">
        <v>9.8425196850393692E-2</v>
      </c>
      <c r="X10" s="40">
        <v>3.9370078740157473E-2</v>
      </c>
      <c r="Y10" s="40">
        <v>0.11136107986501687</v>
      </c>
      <c r="Z10">
        <v>148.16666666666669</v>
      </c>
    </row>
  </sheetData>
  <phoneticPr fontId="12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4" name="adaytum_page_1_drop_1">
              <controlPr defaultSize="0" print="0" autoFill="0" autoPict="0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5" name="adaytum_page_1_drop_2">
              <controlPr defaultSize="0" print="0" autoFill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971550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6" name="adaytum_page_1_drop_3">
              <controlPr defaultSize="0" print="0" autoFill="0" autoPict="0">
                <anchor mov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1000125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11CCD2-43A3-4B3C-A599-3B8994ED005C}"/>
</file>

<file path=customXml/itemProps2.xml><?xml version="1.0" encoding="utf-8"?>
<ds:datastoreItem xmlns:ds="http://schemas.openxmlformats.org/officeDocument/2006/customXml" ds:itemID="{F5646EA6-24B7-4846-9196-9FDBF52B0C82}"/>
</file>

<file path=customXml/itemProps3.xml><?xml version="1.0" encoding="utf-8"?>
<ds:datastoreItem xmlns:ds="http://schemas.openxmlformats.org/officeDocument/2006/customXml" ds:itemID="{F6D957C7-5396-431B-83CE-C5F95969E8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SCHH-1</vt:lpstr>
      <vt:lpstr>2021 Misc Rev</vt:lpstr>
      <vt:lpstr>Base Yr</vt:lpstr>
      <vt:lpstr>'Base Yr'!adaytum_col_1</vt:lpstr>
      <vt:lpstr>'Base Yr'!adaytum_data_1</vt:lpstr>
      <vt:lpstr>'Base Yr'!adaytum_page_1</vt:lpstr>
      <vt:lpstr>'Base Yr'!adaytum_row_1</vt:lpstr>
      <vt:lpstr>'Base Yr'!adaytum_view_1</vt:lpstr>
      <vt:lpstr>'SCHH-1'!Print_Area</vt:lpstr>
      <vt:lpstr>'SCHH-1'!Print_Area_MI</vt:lpstr>
      <vt:lpstr>'SCHH-1'!Print_Titles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2020-07-09T14:43:24Z</dcterms:created>
  <dcterms:modified xsi:type="dcterms:W3CDTF">2020-07-09T14:43:24Z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