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filterPrivacy="1" defaultThemeVersion="166925"/>
  <xr:revisionPtr revIDLastSave="0" documentId="13_ncr:1_{0B258225-9ABF-45F8-AA32-982C793328CB}" xr6:coauthVersionLast="45" xr6:coauthVersionMax="45" xr10:uidLastSave="{00000000-0000-0000-0000-000000000000}"/>
  <bookViews>
    <workbookView xWindow="31680" yWindow="2265" windowWidth="21600" windowHeight="11385" xr2:uid="{92ABBB97-EAC8-4569-AD26-FB5E38EDC2D5}"/>
  </bookViews>
  <sheets>
    <sheet name="Summary" sheetId="2" r:id="rId1"/>
    <sheet name="PGS_2019 PSP Stair Step" sheetId="5" r:id="rId2"/>
    <sheet name="PGS Officer" sheetId="3" r:id="rId3"/>
    <sheet name="PGS  Key" sheetId="4" r:id="rId4"/>
    <sheet name="Support" sheetId="1" r:id="rId5"/>
  </sheets>
  <definedNames>
    <definedName name="_xlnm.Print_Area" localSheetId="3">'PGS  Key'!$A$1:$O$92</definedName>
    <definedName name="_xlnm.Print_Area" localSheetId="2">'PGS Officer'!$A$1:$O$92</definedName>
    <definedName name="_xlnm.Print_Area" localSheetId="1">'PGS_2019 PSP Stair Step'!$B$1:$L$22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2" l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G31" i="5"/>
  <c r="J30" i="5"/>
  <c r="I30" i="5"/>
  <c r="P30" i="5" s="1"/>
  <c r="G30" i="5"/>
  <c r="K27" i="5"/>
  <c r="M27" i="5" s="1"/>
  <c r="J27" i="5"/>
  <c r="B22" i="5"/>
  <c r="M19" i="5"/>
  <c r="L19" i="5"/>
  <c r="S16" i="5"/>
  <c r="S11" i="5"/>
  <c r="B4" i="5"/>
  <c r="N19" i="5" l="1"/>
  <c r="P27" i="5"/>
  <c r="G32" i="5"/>
  <c r="G34" i="5"/>
  <c r="G36" i="5" s="1"/>
  <c r="P29" i="5"/>
  <c r="P28" i="5"/>
  <c r="D51" i="5"/>
  <c r="M30" i="5"/>
  <c r="D54" i="5"/>
  <c r="E54" i="5" s="1"/>
  <c r="F54" i="5" s="1"/>
  <c r="G54" i="5" s="1"/>
  <c r="H54" i="5" s="1"/>
  <c r="G37" i="5" l="1"/>
  <c r="D56" i="5"/>
  <c r="E51" i="5"/>
  <c r="D58" i="5"/>
  <c r="D59" i="5" s="1"/>
  <c r="P31" i="5"/>
  <c r="P34" i="5" s="1"/>
  <c r="P35" i="5" l="1"/>
  <c r="F51" i="5"/>
  <c r="E58" i="5"/>
  <c r="E56" i="5"/>
  <c r="H61" i="5"/>
  <c r="P42" i="5"/>
  <c r="P43" i="5" s="1"/>
  <c r="R43" i="5" s="1"/>
  <c r="P36" i="5"/>
  <c r="P39" i="5" s="1"/>
  <c r="P40" i="5" s="1"/>
  <c r="P33" i="5"/>
  <c r="P37" i="5" l="1"/>
  <c r="H19" i="5"/>
  <c r="H18" i="5"/>
  <c r="G19" i="5"/>
  <c r="G18" i="5"/>
  <c r="E17" i="5"/>
  <c r="D18" i="5"/>
  <c r="R44" i="5"/>
  <c r="E59" i="5"/>
  <c r="F58" i="5"/>
  <c r="G51" i="5"/>
  <c r="F56" i="5"/>
  <c r="H51" i="5"/>
  <c r="F59" i="5" l="1"/>
  <c r="G58" i="5"/>
  <c r="G56" i="5"/>
  <c r="I19" i="5"/>
  <c r="P19" i="5" s="1"/>
  <c r="J19" i="5"/>
  <c r="H56" i="5"/>
  <c r="H58" i="5"/>
  <c r="H59" i="5" s="1"/>
  <c r="H62" i="5" s="1"/>
  <c r="G17" i="5"/>
  <c r="E15" i="5"/>
  <c r="H17" i="5"/>
  <c r="M18" i="5"/>
  <c r="C18" i="5"/>
  <c r="D17" i="5"/>
  <c r="I18" i="5"/>
  <c r="J18" i="5"/>
  <c r="Q18" i="5" l="1"/>
  <c r="G59" i="5"/>
  <c r="R18" i="5"/>
  <c r="S18" i="5"/>
  <c r="G15" i="5"/>
  <c r="E14" i="5"/>
  <c r="H15" i="5"/>
  <c r="P18" i="5"/>
  <c r="C17" i="5"/>
  <c r="L18" i="5"/>
  <c r="K18" i="5" s="1"/>
  <c r="J17" i="5"/>
  <c r="I17" i="5"/>
  <c r="P17" i="5" s="1"/>
  <c r="Q19" i="5"/>
  <c r="M17" i="5"/>
  <c r="D15" i="5"/>
  <c r="N18" i="5"/>
  <c r="C15" i="5" l="1"/>
  <c r="L17" i="5"/>
  <c r="K17" i="5" s="1"/>
  <c r="D14" i="5"/>
  <c r="M15" i="5"/>
  <c r="Q17" i="5"/>
  <c r="J15" i="5"/>
  <c r="I15" i="5"/>
  <c r="P15" i="5" s="1"/>
  <c r="S19" i="5"/>
  <c r="R19" i="5"/>
  <c r="G14" i="5"/>
  <c r="E13" i="5"/>
  <c r="H14" i="5"/>
  <c r="Q15" i="5" l="1"/>
  <c r="S15" i="5"/>
  <c r="R15" i="5"/>
  <c r="H13" i="5"/>
  <c r="G13" i="5"/>
  <c r="E12" i="5"/>
  <c r="S17" i="5"/>
  <c r="R17" i="5"/>
  <c r="J14" i="5"/>
  <c r="I14" i="5"/>
  <c r="P14" i="5" s="1"/>
  <c r="Q14" i="5"/>
  <c r="N17" i="5"/>
  <c r="L15" i="5"/>
  <c r="K15" i="5" s="1"/>
  <c r="C14" i="5"/>
  <c r="D13" i="5"/>
  <c r="M14" i="5"/>
  <c r="N15" i="5"/>
  <c r="M13" i="5" l="1"/>
  <c r="D12" i="5"/>
  <c r="H12" i="5"/>
  <c r="G12" i="5"/>
  <c r="E10" i="5"/>
  <c r="I13" i="5"/>
  <c r="J13" i="5"/>
  <c r="P13" i="5" s="1"/>
  <c r="S14" i="5"/>
  <c r="R14" i="5"/>
  <c r="C13" i="5"/>
  <c r="L14" i="5"/>
  <c r="K14" i="5" s="1"/>
  <c r="Q13" i="5" l="1"/>
  <c r="R13" i="5" s="1"/>
  <c r="S13" i="5"/>
  <c r="C12" i="5"/>
  <c r="L13" i="5"/>
  <c r="K13" i="5" s="1"/>
  <c r="N14" i="5"/>
  <c r="H10" i="5"/>
  <c r="G10" i="5"/>
  <c r="E9" i="5"/>
  <c r="M12" i="5"/>
  <c r="D10" i="5"/>
  <c r="Q12" i="5"/>
  <c r="I12" i="5"/>
  <c r="J12" i="5"/>
  <c r="R12" i="5" l="1"/>
  <c r="S12" i="5"/>
  <c r="I10" i="5"/>
  <c r="J10" i="5"/>
  <c r="M10" i="5"/>
  <c r="D9" i="5"/>
  <c r="N13" i="5"/>
  <c r="L12" i="5"/>
  <c r="K12" i="5" s="1"/>
  <c r="C10" i="5"/>
  <c r="P12" i="5"/>
  <c r="G9" i="5"/>
  <c r="E8" i="5"/>
  <c r="H9" i="5"/>
  <c r="Q10" i="5" l="1"/>
  <c r="R10" i="5"/>
  <c r="S10" i="5"/>
  <c r="L10" i="5"/>
  <c r="K10" i="5" s="1"/>
  <c r="C9" i="5"/>
  <c r="J9" i="5"/>
  <c r="I9" i="5"/>
  <c r="Q9" i="5" s="1"/>
  <c r="D8" i="5"/>
  <c r="M9" i="5"/>
  <c r="H8" i="5"/>
  <c r="G8" i="5"/>
  <c r="E7" i="5"/>
  <c r="P10" i="5"/>
  <c r="N12" i="5"/>
  <c r="N10" i="5" l="1"/>
  <c r="S9" i="5"/>
  <c r="R9" i="5"/>
  <c r="C8" i="5"/>
  <c r="L9" i="5"/>
  <c r="K9" i="5" s="1"/>
  <c r="J8" i="5"/>
  <c r="I8" i="5"/>
  <c r="P8" i="5" s="1"/>
  <c r="Q8" i="5"/>
  <c r="P9" i="5"/>
  <c r="D7" i="5"/>
  <c r="M8" i="5"/>
  <c r="H7" i="5"/>
  <c r="G7" i="5"/>
  <c r="E6" i="5"/>
  <c r="N9" i="5"/>
  <c r="S8" i="5" l="1"/>
  <c r="R8" i="5"/>
  <c r="C7" i="5"/>
  <c r="L8" i="5"/>
  <c r="K8" i="5" s="1"/>
  <c r="H6" i="5"/>
  <c r="G6" i="5"/>
  <c r="E5" i="5"/>
  <c r="M7" i="5"/>
  <c r="D6" i="5"/>
  <c r="I7" i="5"/>
  <c r="J7" i="5"/>
  <c r="Q7" i="5" s="1"/>
  <c r="P7" i="5" l="1"/>
  <c r="N8" i="5"/>
  <c r="R7" i="5"/>
  <c r="S7" i="5"/>
  <c r="C6" i="5"/>
  <c r="L7" i="5"/>
  <c r="K7" i="5" s="1"/>
  <c r="D5" i="5"/>
  <c r="M5" i="5" s="1"/>
  <c r="M6" i="5"/>
  <c r="J6" i="5"/>
  <c r="I6" i="5"/>
  <c r="Q6" i="5" s="1"/>
  <c r="G5" i="5"/>
  <c r="H5" i="5"/>
  <c r="N7" i="5" l="1"/>
  <c r="S6" i="5"/>
  <c r="R6" i="5"/>
  <c r="N6" i="5"/>
  <c r="L6" i="5"/>
  <c r="K6" i="5" s="1"/>
  <c r="C5" i="5"/>
  <c r="L5" i="5" s="1"/>
  <c r="K5" i="5" s="1"/>
  <c r="P6" i="5"/>
  <c r="J5" i="5"/>
  <c r="I5" i="5"/>
  <c r="Q5" i="5" l="1"/>
  <c r="N5" i="5"/>
  <c r="S5" i="5"/>
  <c r="R5" i="5"/>
  <c r="P5" i="5"/>
  <c r="F91" i="4" l="1"/>
  <c r="J85" i="4"/>
  <c r="H85" i="4"/>
  <c r="F85" i="4"/>
  <c r="J84" i="4"/>
  <c r="H84" i="4"/>
  <c r="F84" i="4"/>
  <c r="J83" i="4"/>
  <c r="H83" i="4"/>
  <c r="F83" i="4"/>
  <c r="O73" i="4"/>
  <c r="O65" i="4"/>
  <c r="O54" i="4"/>
  <c r="O43" i="4"/>
  <c r="O35" i="4"/>
  <c r="O23" i="4"/>
  <c r="P22" i="4"/>
  <c r="O12" i="4"/>
  <c r="F91" i="3"/>
  <c r="J85" i="3"/>
  <c r="H85" i="3"/>
  <c r="F85" i="3"/>
  <c r="J84" i="3"/>
  <c r="H84" i="3"/>
  <c r="F84" i="3"/>
  <c r="J83" i="3"/>
  <c r="H83" i="3"/>
  <c r="F83" i="3"/>
  <c r="O73" i="3"/>
  <c r="O65" i="3"/>
  <c r="O54" i="3"/>
  <c r="O43" i="3"/>
  <c r="O35" i="3"/>
  <c r="O23" i="3"/>
  <c r="P22" i="3"/>
  <c r="O12" i="3"/>
  <c r="M87" i="4" l="1"/>
  <c r="M87" i="3"/>
  <c r="M89" i="3" s="1"/>
  <c r="M89" i="4" l="1"/>
  <c r="J14" i="2"/>
  <c r="K14" i="2" s="1"/>
  <c r="D14" i="2" s="1"/>
  <c r="D15" i="2" s="1"/>
  <c r="D16" i="2" s="1"/>
  <c r="B12" i="1"/>
  <c r="D8" i="2" s="1"/>
  <c r="D9" i="2" s="1"/>
  <c r="D10" i="2" l="1"/>
  <c r="E12" i="2" s="1"/>
  <c r="E18" i="2"/>
  <c r="E22" i="2" s="1"/>
  <c r="B21" i="1"/>
  <c r="B23" i="1" s="1"/>
</calcChain>
</file>

<file path=xl/sharedStrings.xml><?xml version="1.0" encoding="utf-8"?>
<sst xmlns="http://schemas.openxmlformats.org/spreadsheetml/2006/main" count="371" uniqueCount="167">
  <si>
    <t>Perf Match</t>
  </si>
  <si>
    <t>PGS</t>
  </si>
  <si>
    <t>2019 Preliminary Earnings and ASTIP accruals</t>
  </si>
  <si>
    <t>Consolidated Earnings before K&amp;O ASTIP</t>
  </si>
  <si>
    <t>$000s</t>
  </si>
  <si>
    <t>Keys &amp; Officers NI Goal Accruals above Budget</t>
  </si>
  <si>
    <t>Tax Effect</t>
  </si>
  <si>
    <t>Emera Exec</t>
  </si>
  <si>
    <t>Employee Incentive Level</t>
  </si>
  <si>
    <t>NSPI Exec</t>
  </si>
  <si>
    <t>Name: TJ Szelistowski</t>
  </si>
  <si>
    <t>Director</t>
  </si>
  <si>
    <t>Manager</t>
  </si>
  <si>
    <t>7/19/2019  YEAR-END PROJECTION</t>
  </si>
  <si>
    <t>SCORECARD INCENTIVE PLAN</t>
  </si>
  <si>
    <t>Supervisor</t>
  </si>
  <si>
    <t>Individual Contributor</t>
  </si>
  <si>
    <t>Threshold</t>
  </si>
  <si>
    <t>Corporate
Initiative</t>
  </si>
  <si>
    <t>Balanced 
Scorecard
Objective</t>
  </si>
  <si>
    <t>Measure of 
Success</t>
  </si>
  <si>
    <t>Emp Level Weight</t>
  </si>
  <si>
    <t>Perf. Level Weight</t>
  </si>
  <si>
    <t>Target</t>
  </si>
  <si>
    <t>Stretch</t>
  </si>
  <si>
    <t>Actual Results</t>
  </si>
  <si>
    <r>
      <t xml:space="preserve">Actual % Payout
</t>
    </r>
    <r>
      <rPr>
        <sz val="8"/>
        <rFont val="Arial"/>
        <family val="2"/>
      </rPr>
      <t>(*See Below for calc.)</t>
    </r>
  </si>
  <si>
    <r>
      <t>SAFETY   -</t>
    </r>
    <r>
      <rPr>
        <sz val="10"/>
        <color rgb="FFFF0000"/>
        <rFont val="Arial"/>
        <family val="2"/>
      </rPr>
      <t xml:space="preserve"> SHARED GOALS</t>
    </r>
  </si>
  <si>
    <t>Achieve a World Class Safety</t>
  </si>
  <si>
    <t>Development of a culture of safety leadership and a reduction in serious injuries</t>
  </si>
  <si>
    <t>Complete job task inventory &amp; Job Safety Analysis (JSA) for identified critical tasks by 6/30/2019. Including Development plan for remaining JSA's by 12/31/2019. + Develop Corrective Action Plan (CAP) for Baseline Safety Assessment by 3/31/2019 and complete identified deficiencies with direction from Emera Safety and approved by PGS ELT by 12/31/2019. + Implement an electronic pre-job safety hazard assessment process (e.g., tailboard) across all PGS Operations by 9/30/2019.</t>
  </si>
  <si>
    <t>Threshold + PAIR&gt;= 785 + Develop 3 further elements of the Safety Management System with direction from Emera Safety and approved Affiliate ELT + 90% of PGS Operational Leadership, including Supervisors trained Incident Command System for Emergency Preparedness by end of 6/30/2019.</t>
  </si>
  <si>
    <t xml:space="preserve">Target + Develop safety audit &amp; compliance schedule (2019-2021) by 3/31/2019 and complete an internal audit for 2 high risk activities by 12/31/2019. </t>
  </si>
  <si>
    <t>Results</t>
  </si>
  <si>
    <t>X</t>
  </si>
  <si>
    <t>Calculation Rationale</t>
  </si>
  <si>
    <t>Note: The safety components will be forfeited if a PGS team member fatality occurs.  (team member includes contractors working on PGS system), Note: 2019 Incident Rate must be improvement over 5 year historical average  for accomplishment above target level.</t>
  </si>
  <si>
    <t xml:space="preserve">Progress year-to-date: </t>
  </si>
  <si>
    <t>Anticipated end-of-year results:</t>
  </si>
  <si>
    <t>Risks for this measure:</t>
  </si>
  <si>
    <r>
      <t xml:space="preserve">PEOPLE - </t>
    </r>
    <r>
      <rPr>
        <sz val="10"/>
        <color rgb="FFFF0000"/>
        <rFont val="Arial"/>
        <family val="2"/>
      </rPr>
      <t>SHARED GOALS</t>
    </r>
  </si>
  <si>
    <t>Develop our Human Capabilities for shaping and Achieving our Strategic Vision</t>
  </si>
  <si>
    <t xml:space="preserve">Employee commitment, standardize work processes, leadership and development </t>
  </si>
  <si>
    <t>Completion of 35 Continuous Improvement Projects+ Development of New Leader Orientation program by 12/31/2019</t>
  </si>
  <si>
    <t>Threshold + review all existing recognition programs and a recommendation on go forward recognition plan(s) that fully align with the refreshed Emera Leadership Competencies by 9/1/2019.</t>
  </si>
  <si>
    <t>Target + Develop and staff a rotational co-op program by 12/31/2019 +Creation of PGS Leadership Program by 12/31/2019 + Improve Safety Survey awareness to 85%.</t>
  </si>
  <si>
    <t>CUSTOMER</t>
  </si>
  <si>
    <t xml:space="preserve">Provide Outstanding Customer Service in ways that results in customer loyalty and dedication </t>
  </si>
  <si>
    <t>Reach high customer satisfaction levels as measured by multiple key customer service metrics</t>
  </si>
  <si>
    <t>Achieve 50% of the customer excellence improvement metrics by 12/31/19</t>
  </si>
  <si>
    <t>Achieve 70% of the customer excellence improvement metrics by 12/31/19</t>
  </si>
  <si>
    <t>Achieve 90% of the customer excellence improvement metrics by 12/31/19.</t>
  </si>
  <si>
    <t>Asset Management - Growth</t>
  </si>
  <si>
    <t>Strategic Growth</t>
  </si>
  <si>
    <t>Key growth metrics related to customer additions and system expansion</t>
  </si>
  <si>
    <t>11,500 Customer Additions, + 10,000 single family residential developer signings + 3 Growth projects presented for approval (System expansion, CNG, RNG, or CHP)</t>
  </si>
  <si>
    <t>Threshold  + 12,500 customer additions+ 11,500 single family residential developer signings + 4 Growth projects (System expansion, CNG, RNG, or CHP) + Develop a customer retention program by 12/31/2019.</t>
  </si>
  <si>
    <t xml:space="preserve">Target + 1,750 multi-family signings + present a LNG storage and/or transport project for approval. </t>
  </si>
  <si>
    <t>x</t>
  </si>
  <si>
    <t>Asset Management  - Operational Excellence</t>
  </si>
  <si>
    <t>Realize High operating performance with a continued focus on safety, compliance and strategic growth</t>
  </si>
  <si>
    <t>Operational Excellence-Legacy pipeline replacement</t>
  </si>
  <si>
    <t>Deploy new Leak Management software platform by 6/30/2019 + initiate centralized dispatch function by 9/30/2019</t>
  </si>
  <si>
    <t>Threshold + Retire 90 miles of legacy pipelines (CIBS and PPP) by 12/31/2019 + initiate deployment of the GPS barcoding software platform by 9/30/2019.</t>
  </si>
  <si>
    <t>Target + Complete Software Selection and business blueprinting of new PGS Work Management System by 12/31/2019.</t>
  </si>
  <si>
    <t>Improve assets within the PGS System</t>
  </si>
  <si>
    <t>FINANCIAL - Business Target</t>
  </si>
  <si>
    <t>Actual Earnings</t>
  </si>
  <si>
    <t>Achieving Solid Financial Insert Objective</t>
  </si>
  <si>
    <t>PGS Net Income ($M)</t>
  </si>
  <si>
    <t>FINANCIAL - Operating Cash Flow</t>
  </si>
  <si>
    <t>Effective Cash Flow Management</t>
  </si>
  <si>
    <t>PGS Cash Flow ($M)</t>
  </si>
  <si>
    <t>NOTES:</t>
  </si>
  <si>
    <r>
      <t>**Actual % Payout:</t>
    </r>
    <r>
      <rPr>
        <sz val="10"/>
        <rFont val="Arial"/>
        <family val="2"/>
      </rPr>
      <t xml:space="preserve">
Base Earnings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Inc Level Target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Emp. Level Weight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Perf. Level Weight</t>
    </r>
  </si>
  <si>
    <t>For 2019, if an affiliate experiences a significant environmental incident during the year, the overall scorecard payout will be adjusted down by 5-10%, even if there is no specific environmental measure on the scorecard. </t>
  </si>
  <si>
    <t>POTENTIAL PAYOUT</t>
  </si>
  <si>
    <t>If threshold financial measures are not achieved, scorecard payout will be held to no more than "target", 100%.</t>
  </si>
  <si>
    <r>
      <t>ESTIMATED PAYOUT</t>
    </r>
    <r>
      <rPr>
        <sz val="12"/>
        <rFont val="Arial"/>
        <family val="2"/>
      </rPr>
      <t xml:space="preserve">
</t>
    </r>
    <r>
      <rPr>
        <sz val="12"/>
        <rFont val="Arial"/>
        <family val="2"/>
      </rPr>
      <t>(approximation, as earnings base may vary)</t>
    </r>
  </si>
  <si>
    <t>In approving the final payout, the MRCC reserves the right to consider all activities within the business during the performance year, including any non-planned events and the overall performance of the entire group of Emera companies. </t>
  </si>
  <si>
    <t>INSERT COMPANY' CORPORATE SCORECARD</t>
  </si>
  <si>
    <t>(INSERT YEAR) Scorecard Incentive Plan</t>
  </si>
  <si>
    <t>Understanding the Scorecard measures</t>
  </si>
  <si>
    <t>INSERT MEASURE LISTED ABOVE</t>
  </si>
  <si>
    <t>INSERT EXPLANATION ON UNDERSTANDING THE MEASURE/OBJECTIVES</t>
  </si>
  <si>
    <t>Date: 10.17.18</t>
  </si>
  <si>
    <t xml:space="preserve">    K&amp;O Accrual Estimated Earnings Impact</t>
  </si>
  <si>
    <t>Total</t>
  </si>
  <si>
    <t>Incremental</t>
  </si>
  <si>
    <t xml:space="preserve">Budget </t>
  </si>
  <si>
    <t>Originally</t>
  </si>
  <si>
    <t>Positive</t>
  </si>
  <si>
    <t>Team Member</t>
  </si>
  <si>
    <t>PSP</t>
  </si>
  <si>
    <t>Perf. Match</t>
  </si>
  <si>
    <t>Additional 401K</t>
  </si>
  <si>
    <t>Shareholder</t>
  </si>
  <si>
    <t>Actual</t>
  </si>
  <si>
    <t>After-tax</t>
  </si>
  <si>
    <t>Achieved</t>
  </si>
  <si>
    <t>Variance</t>
  </si>
  <si>
    <t>Benefit</t>
  </si>
  <si>
    <t>PSP%</t>
  </si>
  <si>
    <t>$ Amount</t>
  </si>
  <si>
    <t>Payroll Tax</t>
  </si>
  <si>
    <t>on PSP</t>
  </si>
  <si>
    <t>RECON</t>
  </si>
  <si>
    <t>-</t>
  </si>
  <si>
    <t>2019 Budget</t>
  </si>
  <si>
    <t>401K</t>
  </si>
  <si>
    <t>Maximum</t>
  </si>
  <si>
    <t>Incentives</t>
  </si>
  <si>
    <t>Per 1%</t>
  </si>
  <si>
    <t>Per 1 cent</t>
  </si>
  <si>
    <t>After tax</t>
  </si>
  <si>
    <t>Incremental (Pre-tax)</t>
  </si>
  <si>
    <t>Inputs</t>
  </si>
  <si>
    <t>Performance Match</t>
  </si>
  <si>
    <t>a</t>
  </si>
  <si>
    <t>25 cents</t>
  </si>
  <si>
    <t>Additional 401K on ASTI</t>
  </si>
  <si>
    <t>e</t>
  </si>
  <si>
    <t>Input</t>
  </si>
  <si>
    <t>Payroll taxes</t>
  </si>
  <si>
    <t>b</t>
  </si>
  <si>
    <t>PSP @ 7%</t>
  </si>
  <si>
    <t>ASTI @ 5% max</t>
  </si>
  <si>
    <t>c</t>
  </si>
  <si>
    <t>Update formula if incremental % changes</t>
  </si>
  <si>
    <t>K/O</t>
  </si>
  <si>
    <t>Total increm to max</t>
  </si>
  <si>
    <t>d</t>
  </si>
  <si>
    <t>PSP &amp; K/O</t>
  </si>
  <si>
    <t>a/d</t>
  </si>
  <si>
    <t>PSP and 401K</t>
  </si>
  <si>
    <t>e/d</t>
  </si>
  <si>
    <t>b/d</t>
  </si>
  <si>
    <t>401K % of total</t>
  </si>
  <si>
    <t>PSP %</t>
  </si>
  <si>
    <t>c/d</t>
  </si>
  <si>
    <t>PSP % of total</t>
  </si>
  <si>
    <t>1% PSP + 401k</t>
  </si>
  <si>
    <t>In Millions</t>
  </si>
  <si>
    <t xml:space="preserve">TAMPA ELECRIC </t>
  </si>
  <si>
    <t>NET INCOME STAIR STEP</t>
  </si>
  <si>
    <t>FOR INCENTIVES</t>
  </si>
  <si>
    <t>ASTI</t>
  </si>
  <si>
    <t>5 Cents</t>
  </si>
  <si>
    <t>10 Cents</t>
  </si>
  <si>
    <t>15 cents</t>
  </si>
  <si>
    <t>20 cents</t>
  </si>
  <si>
    <t>Payroll Tax @7%</t>
  </si>
  <si>
    <t>Total Cost for 5% ASTI/25 Cents Perf. Match</t>
  </si>
  <si>
    <t>Triggers 2% payout per PSP Stair Steps</t>
  </si>
  <si>
    <t>Comments</t>
  </si>
  <si>
    <t>2%, 10 Cents Perf Match, Payroll Taxes</t>
  </si>
  <si>
    <t>Estimated Earnings after PSP Accrual</t>
  </si>
  <si>
    <t xml:space="preserve">    PSP/401K Perf. Matching Accrual Estimated Earnings Impact</t>
  </si>
  <si>
    <t>K&amp;O</t>
  </si>
  <si>
    <t>Versus budget $52.9M</t>
  </si>
  <si>
    <t>Actual final earnings After Income Taxes Complete</t>
  </si>
  <si>
    <t>Difference</t>
  </si>
  <si>
    <t>Immaterial Difference</t>
  </si>
  <si>
    <t>Known after accruals made</t>
  </si>
  <si>
    <t>PSP Net Income Goal Estimated Payout @ 2%</t>
  </si>
  <si>
    <t>Earnings before K&amp;O additional NI Payout</t>
  </si>
  <si>
    <t>Achievement at 129.5% and 159.1%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</si>
</sst>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0.0%"/>
    <numFmt numFmtId="168" formatCode="&quot;$&quot;#,##0.00"/>
    <numFmt numFmtId="169" formatCode="&quot;$&quot;#,##0.0"/>
    <numFmt numFmtId="170" formatCode="&quot;$&quot;#,##0.0_);\(&quot;$&quot;#,##0.0\)"/>
    <numFmt numFmtId="171" formatCode="&quot;$&quot;#,##0"/>
    <numFmt numFmtId="172" formatCode="_(* #,##0.0_);_(* \(#,##0.0\);_(* &quot;-&quot;?_);_(@_)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62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sz val="18"/>
      <color rgb="FFFF000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3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4"/>
      <color indexed="62"/>
      <name val="Arial"/>
      <family val="2"/>
    </font>
    <font>
      <b/>
      <sz val="36"/>
      <color indexed="56"/>
      <name val="Bodoni MT Black"/>
      <family val="1"/>
    </font>
    <font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sz val="36"/>
      <color indexed="56"/>
      <name val="Broadway"/>
      <family val="5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sz val="11"/>
      <color indexed="62"/>
      <name val="Arial"/>
      <family val="2"/>
    </font>
    <font>
      <sz val="11"/>
      <name val="Arial"/>
      <family val="2"/>
    </font>
    <font>
      <sz val="12"/>
      <color rgb="FF000099"/>
      <name val="Arial"/>
      <family val="2"/>
    </font>
    <font>
      <b/>
      <sz val="10"/>
      <color indexed="22"/>
      <name val="Arial"/>
      <family val="2"/>
    </font>
    <font>
      <sz val="14"/>
      <color theme="1"/>
      <name val="Arial"/>
      <family val="2"/>
    </font>
    <font>
      <b/>
      <u/>
      <sz val="16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16"/>
      <color indexed="13"/>
      <name val="Arial"/>
      <family val="2"/>
    </font>
    <font>
      <sz val="12"/>
      <color indexed="10"/>
      <name val="Arial"/>
      <family val="2"/>
    </font>
    <font>
      <b/>
      <sz val="14"/>
      <color indexed="45"/>
      <name val="Arial"/>
      <family val="2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74">
    <xf numFmtId="0" fontId="0" fillId="0" borderId="0" xfId="0"/>
    <xf numFmtId="164" fontId="0" fillId="0" borderId="0" xfId="1" applyNumberFormat="1" applyFont="1"/>
    <xf numFmtId="0" fontId="2" fillId="0" borderId="0" xfId="0" applyFont="1"/>
    <xf numFmtId="165" fontId="0" fillId="0" borderId="0" xfId="2" applyNumberFormat="1" applyFont="1"/>
    <xf numFmtId="43" fontId="0" fillId="0" borderId="0" xfId="1" applyFont="1"/>
    <xf numFmtId="166" fontId="0" fillId="0" borderId="0" xfId="1" applyNumberFormat="1" applyFont="1"/>
    <xf numFmtId="164" fontId="0" fillId="0" borderId="1" xfId="1" applyNumberFormat="1" applyFont="1" applyBorder="1"/>
    <xf numFmtId="164" fontId="0" fillId="0" borderId="0" xfId="0" applyNumberFormat="1"/>
    <xf numFmtId="0" fontId="5" fillId="0" borderId="0" xfId="4" applyFont="1"/>
    <xf numFmtId="0" fontId="3" fillId="0" borderId="0" xfId="4"/>
    <xf numFmtId="0" fontId="3" fillId="0" borderId="0" xfId="4" applyAlignment="1">
      <alignment vertical="center" wrapText="1"/>
    </xf>
    <xf numFmtId="0" fontId="8" fillId="0" borderId="0" xfId="4" applyFont="1" applyAlignment="1">
      <alignment vertical="center"/>
    </xf>
    <xf numFmtId="0" fontId="9" fillId="0" borderId="0" xfId="4" applyFont="1"/>
    <xf numFmtId="9" fontId="8" fillId="0" borderId="0" xfId="5" applyFont="1" applyAlignment="1">
      <alignment vertical="center" wrapText="1"/>
    </xf>
    <xf numFmtId="0" fontId="3" fillId="0" borderId="0" xfId="4" applyAlignment="1">
      <alignment horizontal="center" vertical="center" wrapText="1"/>
    </xf>
    <xf numFmtId="9" fontId="3" fillId="0" borderId="0" xfId="5"/>
    <xf numFmtId="0" fontId="12" fillId="0" borderId="0" xfId="4" applyFont="1"/>
    <xf numFmtId="0" fontId="13" fillId="0" borderId="0" xfId="4" applyFont="1"/>
    <xf numFmtId="9" fontId="3" fillId="0" borderId="0" xfId="4" applyNumberFormat="1" applyAlignment="1">
      <alignment horizontal="center" vertical="center"/>
    </xf>
    <xf numFmtId="9" fontId="14" fillId="0" borderId="0" xfId="4" applyNumberFormat="1" applyFont="1" applyAlignment="1">
      <alignment horizontal="center" vertical="center"/>
    </xf>
    <xf numFmtId="10" fontId="3" fillId="0" borderId="0" xfId="5" applyNumberFormat="1"/>
    <xf numFmtId="0" fontId="15" fillId="0" borderId="0" xfId="4" applyFont="1"/>
    <xf numFmtId="0" fontId="16" fillId="0" borderId="0" xfId="4" applyFont="1" applyAlignment="1">
      <alignment horizontal="center"/>
    </xf>
    <xf numFmtId="0" fontId="18" fillId="0" borderId="0" xfId="4" applyFont="1" applyAlignment="1">
      <alignment vertical="center"/>
    </xf>
    <xf numFmtId="6" fontId="4" fillId="0" borderId="0" xfId="4" applyNumberFormat="1" applyFont="1" applyAlignment="1" applyProtection="1">
      <alignment vertical="center"/>
      <protection locked="0"/>
    </xf>
    <xf numFmtId="6" fontId="4" fillId="0" borderId="0" xfId="4" applyNumberFormat="1" applyFont="1" applyAlignment="1">
      <alignment vertical="center"/>
    </xf>
    <xf numFmtId="0" fontId="12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0" fontId="3" fillId="0" borderId="9" xfId="4" applyBorder="1" applyAlignment="1">
      <alignment horizontal="center" vertical="center" wrapText="1"/>
    </xf>
    <xf numFmtId="0" fontId="3" fillId="0" borderId="9" xfId="4" applyBorder="1" applyAlignment="1">
      <alignment vertical="center" wrapText="1"/>
    </xf>
    <xf numFmtId="0" fontId="4" fillId="0" borderId="9" xfId="4" applyFont="1" applyBorder="1" applyAlignment="1">
      <alignment horizontal="center" vertical="center" wrapText="1"/>
    </xf>
    <xf numFmtId="0" fontId="3" fillId="0" borderId="9" xfId="4" applyBorder="1" applyAlignment="1">
      <alignment horizontal="left" vertical="center" wrapText="1"/>
    </xf>
    <xf numFmtId="0" fontId="12" fillId="0" borderId="9" xfId="4" applyFont="1" applyBorder="1" applyAlignment="1">
      <alignment horizontal="center" vertical="center" wrapText="1"/>
    </xf>
    <xf numFmtId="0" fontId="12" fillId="4" borderId="8" xfId="4" applyFont="1" applyFill="1" applyBorder="1" applyAlignment="1">
      <alignment vertical="center"/>
    </xf>
    <xf numFmtId="0" fontId="22" fillId="4" borderId="0" xfId="4" applyFont="1" applyFill="1" applyAlignment="1">
      <alignment horizontal="center" vertical="center"/>
    </xf>
    <xf numFmtId="0" fontId="22" fillId="4" borderId="10" xfId="4" applyFont="1" applyFill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3" fillId="0" borderId="20" xfId="4" applyBorder="1" applyAlignment="1">
      <alignment horizontal="left" vertical="center" wrapText="1"/>
    </xf>
    <xf numFmtId="0" fontId="12" fillId="0" borderId="20" xfId="4" applyFont="1" applyBorder="1" applyAlignment="1">
      <alignment horizontal="center" vertical="center" wrapText="1"/>
    </xf>
    <xf numFmtId="0" fontId="12" fillId="4" borderId="14" xfId="4" applyFont="1" applyFill="1" applyBorder="1" applyAlignment="1">
      <alignment vertical="center"/>
    </xf>
    <xf numFmtId="0" fontId="3" fillId="0" borderId="0" xfId="4" applyAlignment="1">
      <alignment vertical="center"/>
    </xf>
    <xf numFmtId="0" fontId="3" fillId="4" borderId="14" xfId="4" applyFill="1" applyBorder="1" applyAlignment="1">
      <alignment vertical="center"/>
    </xf>
    <xf numFmtId="0" fontId="22" fillId="4" borderId="30" xfId="4" applyFont="1" applyFill="1" applyBorder="1" applyAlignment="1" applyProtection="1">
      <alignment horizontal="center" vertical="center"/>
      <protection locked="0"/>
    </xf>
    <xf numFmtId="0" fontId="3" fillId="4" borderId="30" xfId="4" applyFill="1" applyBorder="1" applyAlignment="1">
      <alignment horizontal="left" vertical="center" indent="1"/>
    </xf>
    <xf numFmtId="0" fontId="3" fillId="0" borderId="0" xfId="4" applyAlignment="1">
      <alignment horizontal="center" vertical="center"/>
    </xf>
    <xf numFmtId="0" fontId="3" fillId="4" borderId="0" xfId="4" applyFill="1" applyAlignment="1">
      <alignment vertical="center"/>
    </xf>
    <xf numFmtId="167" fontId="26" fillId="4" borderId="34" xfId="5" applyNumberFormat="1" applyFont="1" applyFill="1" applyBorder="1" applyAlignment="1">
      <alignment horizontal="center" vertical="center" wrapText="1"/>
    </xf>
    <xf numFmtId="0" fontId="3" fillId="0" borderId="0" xfId="4" applyAlignment="1">
      <alignment horizontal="left" vertical="center"/>
    </xf>
    <xf numFmtId="0" fontId="3" fillId="4" borderId="14" xfId="4" applyFill="1" applyBorder="1" applyAlignment="1">
      <alignment horizontal="left" vertical="center"/>
    </xf>
    <xf numFmtId="168" fontId="32" fillId="4" borderId="0" xfId="4" applyNumberFormat="1" applyFont="1" applyFill="1" applyAlignment="1">
      <alignment horizontal="center" vertical="center"/>
    </xf>
    <xf numFmtId="167" fontId="24" fillId="4" borderId="34" xfId="5" applyNumberFormat="1" applyFont="1" applyFill="1" applyBorder="1" applyAlignment="1">
      <alignment horizontal="left" vertical="center"/>
    </xf>
    <xf numFmtId="0" fontId="18" fillId="0" borderId="0" xfId="4" applyFont="1" applyAlignment="1">
      <alignment horizontal="left" vertical="center"/>
    </xf>
    <xf numFmtId="0" fontId="3" fillId="4" borderId="0" xfId="4" applyFill="1"/>
    <xf numFmtId="167" fontId="24" fillId="4" borderId="15" xfId="5" applyNumberFormat="1" applyFont="1" applyFill="1" applyBorder="1" applyAlignment="1">
      <alignment horizontal="left" vertical="center"/>
    </xf>
    <xf numFmtId="167" fontId="11" fillId="4" borderId="15" xfId="4" applyNumberFormat="1" applyFont="1" applyFill="1" applyBorder="1" applyAlignment="1">
      <alignment horizontal="left" vertical="center"/>
    </xf>
    <xf numFmtId="10" fontId="3" fillId="0" borderId="0" xfId="5" applyNumberFormat="1" applyAlignment="1">
      <alignment horizontal="left" vertical="center"/>
    </xf>
    <xf numFmtId="0" fontId="22" fillId="4" borderId="0" xfId="4" applyFont="1" applyFill="1" applyAlignment="1">
      <alignment horizontal="left" vertical="center"/>
    </xf>
    <xf numFmtId="0" fontId="4" fillId="0" borderId="0" xfId="4" applyFont="1" applyAlignment="1">
      <alignment horizontal="center" vertical="center" wrapText="1"/>
    </xf>
    <xf numFmtId="0" fontId="3" fillId="0" borderId="0" xfId="4" applyAlignment="1">
      <alignment horizontal="left" vertical="center" wrapText="1"/>
    </xf>
    <xf numFmtId="167" fontId="11" fillId="4" borderId="15" xfId="4" applyNumberFormat="1" applyFont="1" applyFill="1" applyBorder="1" applyAlignment="1">
      <alignment horizontal="center" vertical="center"/>
    </xf>
    <xf numFmtId="10" fontId="3" fillId="0" borderId="0" xfId="5" applyNumberFormat="1" applyAlignment="1">
      <alignment horizontal="center" vertical="center"/>
    </xf>
    <xf numFmtId="0" fontId="4" fillId="0" borderId="20" xfId="4" applyFont="1" applyBorder="1" applyAlignment="1">
      <alignment horizontal="center" vertical="center" wrapText="1"/>
    </xf>
    <xf numFmtId="0" fontId="22" fillId="8" borderId="30" xfId="4" applyFont="1" applyFill="1" applyBorder="1" applyAlignment="1" applyProtection="1">
      <alignment horizontal="center" vertical="center"/>
      <protection locked="0"/>
    </xf>
    <xf numFmtId="0" fontId="3" fillId="8" borderId="30" xfId="4" applyFill="1" applyBorder="1" applyAlignment="1">
      <alignment horizontal="left" vertical="center" indent="1"/>
    </xf>
    <xf numFmtId="168" fontId="32" fillId="4" borderId="0" xfId="4" applyNumberFormat="1" applyFont="1" applyFill="1" applyAlignment="1">
      <alignment vertical="center"/>
    </xf>
    <xf numFmtId="167" fontId="24" fillId="4" borderId="15" xfId="4" applyNumberFormat="1" applyFont="1" applyFill="1" applyBorder="1" applyAlignment="1">
      <alignment vertical="center"/>
    </xf>
    <xf numFmtId="0" fontId="33" fillId="0" borderId="0" xfId="4" applyFont="1" applyAlignment="1">
      <alignment horizontal="left" vertical="center" wrapText="1"/>
    </xf>
    <xf numFmtId="0" fontId="5" fillId="0" borderId="19" xfId="4" applyFont="1" applyBorder="1" applyAlignment="1">
      <alignment horizontal="center" vertical="center" wrapText="1"/>
    </xf>
    <xf numFmtId="0" fontId="31" fillId="0" borderId="0" xfId="4" applyFont="1" applyAlignment="1">
      <alignment wrapText="1"/>
    </xf>
    <xf numFmtId="0" fontId="3" fillId="0" borderId="14" xfId="4" applyBorder="1" applyAlignment="1">
      <alignment horizontal="left" vertical="center"/>
    </xf>
    <xf numFmtId="0" fontId="22" fillId="0" borderId="0" xfId="4" applyFont="1" applyAlignment="1">
      <alignment horizontal="left" vertical="center"/>
    </xf>
    <xf numFmtId="167" fontId="11" fillId="0" borderId="15" xfId="4" applyNumberFormat="1" applyFont="1" applyBorder="1" applyAlignment="1">
      <alignment horizontal="left" vertical="center"/>
    </xf>
    <xf numFmtId="167" fontId="11" fillId="4" borderId="15" xfId="4" applyNumberFormat="1" applyFont="1" applyFill="1" applyBorder="1" applyAlignment="1">
      <alignment vertical="center"/>
    </xf>
    <xf numFmtId="0" fontId="22" fillId="4" borderId="0" xfId="4" applyFont="1" applyFill="1" applyAlignment="1">
      <alignment vertical="center"/>
    </xf>
    <xf numFmtId="0" fontId="3" fillId="0" borderId="28" xfId="4" applyBorder="1" applyAlignment="1">
      <alignment horizontal="left" vertical="center"/>
    </xf>
    <xf numFmtId="0" fontId="5" fillId="0" borderId="0" xfId="4" applyFont="1" applyAlignment="1">
      <alignment horizontal="left" vertical="center"/>
    </xf>
    <xf numFmtId="0" fontId="5" fillId="4" borderId="5" xfId="4" applyFont="1" applyFill="1" applyBorder="1" applyAlignment="1">
      <alignment horizontal="center" vertical="center" wrapText="1"/>
    </xf>
    <xf numFmtId="0" fontId="13" fillId="0" borderId="0" xfId="4" applyFont="1" applyAlignment="1">
      <alignment horizontal="center" vertical="center"/>
    </xf>
    <xf numFmtId="10" fontId="13" fillId="0" borderId="0" xfId="4" applyNumberFormat="1" applyFont="1" applyAlignment="1">
      <alignment vertical="center"/>
    </xf>
    <xf numFmtId="167" fontId="7" fillId="0" borderId="0" xfId="4" applyNumberFormat="1" applyFont="1" applyAlignment="1">
      <alignment horizontal="center" vertical="center"/>
    </xf>
    <xf numFmtId="10" fontId="7" fillId="0" borderId="0" xfId="4" applyNumberFormat="1" applyFont="1" applyAlignment="1">
      <alignment vertical="center"/>
    </xf>
    <xf numFmtId="0" fontId="22" fillId="4" borderId="20" xfId="4" applyFont="1" applyFill="1" applyBorder="1" applyAlignment="1">
      <alignment horizontal="center" vertical="center"/>
    </xf>
    <xf numFmtId="0" fontId="22" fillId="4" borderId="21" xfId="4" applyFont="1" applyFill="1" applyBorder="1" applyAlignment="1">
      <alignment horizontal="center" vertical="center"/>
    </xf>
    <xf numFmtId="0" fontId="3" fillId="4" borderId="19" xfId="4" applyFill="1" applyBorder="1" applyAlignment="1">
      <alignment vertical="center"/>
    </xf>
    <xf numFmtId="10" fontId="12" fillId="0" borderId="51" xfId="4" applyNumberFormat="1" applyFont="1" applyBorder="1" applyAlignment="1">
      <alignment horizontal="left" vertical="center" wrapText="1"/>
    </xf>
    <xf numFmtId="10" fontId="12" fillId="0" borderId="52" xfId="4" applyNumberFormat="1" applyFont="1" applyBorder="1" applyAlignment="1">
      <alignment horizontal="left" vertical="center" wrapText="1"/>
    </xf>
    <xf numFmtId="0" fontId="22" fillId="0" borderId="0" xfId="4" applyFont="1" applyAlignment="1">
      <alignment horizontal="center" vertical="center"/>
    </xf>
    <xf numFmtId="10" fontId="12" fillId="0" borderId="29" xfId="4" applyNumberFormat="1" applyFont="1" applyBorder="1" applyAlignment="1">
      <alignment horizontal="left" vertical="center" wrapText="1"/>
    </xf>
    <xf numFmtId="10" fontId="12" fillId="0" borderId="0" xfId="4" applyNumberFormat="1" applyFont="1" applyAlignment="1">
      <alignment horizontal="left" vertical="center" wrapText="1"/>
    </xf>
    <xf numFmtId="10" fontId="4" fillId="0" borderId="8" xfId="4" applyNumberFormat="1" applyFont="1" applyBorder="1" applyAlignment="1">
      <alignment horizontal="center" vertical="center" wrapText="1"/>
    </xf>
    <xf numFmtId="0" fontId="42" fillId="0" borderId="9" xfId="4" applyFont="1" applyBorder="1" applyAlignment="1">
      <alignment vertical="center" wrapText="1"/>
    </xf>
    <xf numFmtId="10" fontId="4" fillId="0" borderId="5" xfId="4" applyNumberFormat="1" applyFont="1" applyBorder="1" applyAlignment="1">
      <alignment horizontal="center" vertical="center" wrapText="1"/>
    </xf>
    <xf numFmtId="167" fontId="4" fillId="0" borderId="14" xfId="7" applyNumberFormat="1" applyFont="1" applyBorder="1" applyAlignment="1">
      <alignment vertical="center"/>
    </xf>
    <xf numFmtId="10" fontId="4" fillId="0" borderId="0" xfId="4" applyNumberFormat="1" applyFont="1" applyAlignment="1">
      <alignment horizontal="left" vertical="center" wrapText="1"/>
    </xf>
    <xf numFmtId="167" fontId="4" fillId="0" borderId="14" xfId="7" applyNumberFormat="1" applyFont="1" applyBorder="1" applyAlignment="1">
      <alignment horizontal="center" vertical="center"/>
    </xf>
    <xf numFmtId="0" fontId="42" fillId="0" borderId="0" xfId="4" applyFont="1" applyAlignment="1">
      <alignment vertical="center" wrapText="1"/>
    </xf>
    <xf numFmtId="167" fontId="4" fillId="0" borderId="11" xfId="7" applyNumberFormat="1" applyFont="1" applyBorder="1" applyAlignment="1">
      <alignment horizontal="center" vertical="center"/>
    </xf>
    <xf numFmtId="171" fontId="12" fillId="0" borderId="19" xfId="7" applyNumberFormat="1" applyFont="1" applyBorder="1" applyAlignment="1">
      <alignment vertical="center"/>
    </xf>
    <xf numFmtId="171" fontId="12" fillId="0" borderId="20" xfId="7" applyNumberFormat="1" applyFont="1" applyBorder="1" applyAlignment="1">
      <alignment vertical="center"/>
    </xf>
    <xf numFmtId="171" fontId="12" fillId="0" borderId="19" xfId="7" applyNumberFormat="1" applyFont="1" applyBorder="1" applyAlignment="1">
      <alignment horizontal="center" vertical="center"/>
    </xf>
    <xf numFmtId="171" fontId="12" fillId="0" borderId="16" xfId="7" applyNumberFormat="1" applyFont="1" applyBorder="1" applyAlignment="1">
      <alignment horizontal="center" vertical="center"/>
    </xf>
    <xf numFmtId="0" fontId="43" fillId="0" borderId="0" xfId="4" applyFont="1" applyAlignment="1">
      <alignment horizontal="center" vertical="center" wrapText="1"/>
    </xf>
    <xf numFmtId="0" fontId="43" fillId="0" borderId="0" xfId="4" applyFont="1" applyAlignment="1">
      <alignment horizontal="left" vertical="center" wrapText="1"/>
    </xf>
    <xf numFmtId="10" fontId="22" fillId="0" borderId="0" xfId="4" applyNumberFormat="1" applyFont="1" applyAlignment="1">
      <alignment vertical="center"/>
    </xf>
    <xf numFmtId="0" fontId="41" fillId="0" borderId="0" xfId="4" applyFont="1" applyAlignment="1">
      <alignment vertical="top" wrapText="1"/>
    </xf>
    <xf numFmtId="0" fontId="22" fillId="0" borderId="0" xfId="4" applyFont="1"/>
    <xf numFmtId="0" fontId="45" fillId="0" borderId="0" xfId="4" applyFont="1" applyAlignment="1">
      <alignment horizontal="left" vertical="center" wrapText="1"/>
    </xf>
    <xf numFmtId="0" fontId="7" fillId="0" borderId="20" xfId="4" applyFont="1" applyBorder="1" applyAlignment="1">
      <alignment horizontal="left" vertical="top" wrapText="1"/>
    </xf>
    <xf numFmtId="0" fontId="45" fillId="0" borderId="20" xfId="4" applyFont="1" applyBorder="1" applyAlignment="1">
      <alignment horizontal="left" vertical="center" wrapText="1"/>
    </xf>
    <xf numFmtId="0" fontId="3" fillId="0" borderId="8" xfId="4" applyBorder="1"/>
    <xf numFmtId="0" fontId="3" fillId="0" borderId="9" xfId="4" applyBorder="1"/>
    <xf numFmtId="0" fontId="10" fillId="0" borderId="9" xfId="4" applyFont="1" applyBorder="1"/>
    <xf numFmtId="0" fontId="10" fillId="0" borderId="10" xfId="4" applyFont="1" applyBorder="1"/>
    <xf numFmtId="0" fontId="10" fillId="0" borderId="0" xfId="4" applyFont="1"/>
    <xf numFmtId="0" fontId="10" fillId="10" borderId="14" xfId="4" quotePrefix="1" applyFont="1" applyFill="1" applyBorder="1" applyAlignment="1">
      <alignment horizontal="center"/>
    </xf>
    <xf numFmtId="0" fontId="10" fillId="10" borderId="0" xfId="4" quotePrefix="1" applyFont="1" applyFill="1" applyAlignment="1">
      <alignment horizontal="center"/>
    </xf>
    <xf numFmtId="0" fontId="10" fillId="10" borderId="15" xfId="4" quotePrefix="1" applyFont="1" applyFill="1" applyBorder="1" applyAlignment="1">
      <alignment horizontal="center"/>
    </xf>
    <xf numFmtId="0" fontId="41" fillId="10" borderId="14" xfId="4" applyFont="1" applyFill="1" applyBorder="1" applyAlignment="1">
      <alignment horizontal="center"/>
    </xf>
    <xf numFmtId="0" fontId="41" fillId="10" borderId="0" xfId="4" applyFont="1" applyFill="1" applyAlignment="1">
      <alignment horizontal="center"/>
    </xf>
    <xf numFmtId="0" fontId="41" fillId="10" borderId="15" xfId="4" applyFont="1" applyFill="1" applyBorder="1" applyAlignment="1">
      <alignment horizontal="center"/>
    </xf>
    <xf numFmtId="0" fontId="41" fillId="0" borderId="14" xfId="4" applyFont="1" applyBorder="1"/>
    <xf numFmtId="0" fontId="41" fillId="0" borderId="0" xfId="4" applyFont="1"/>
    <xf numFmtId="0" fontId="41" fillId="0" borderId="15" xfId="4" applyFont="1" applyBorder="1"/>
    <xf numFmtId="0" fontId="41" fillId="0" borderId="14" xfId="4" applyFont="1" applyBorder="1" applyAlignment="1">
      <alignment horizontal="center"/>
    </xf>
    <xf numFmtId="0" fontId="41" fillId="0" borderId="0" xfId="4" applyFont="1" applyAlignment="1">
      <alignment horizontal="center"/>
    </xf>
    <xf numFmtId="0" fontId="41" fillId="0" borderId="15" xfId="4" applyFont="1" applyBorder="1" applyAlignment="1">
      <alignment horizontal="center"/>
    </xf>
    <xf numFmtId="0" fontId="5" fillId="0" borderId="14" xfId="4" applyFont="1" applyBorder="1"/>
    <xf numFmtId="0" fontId="5" fillId="0" borderId="15" xfId="4" applyFont="1" applyBorder="1"/>
    <xf numFmtId="0" fontId="5" fillId="10" borderId="53" xfId="4" applyFont="1" applyFill="1" applyBorder="1" applyAlignment="1">
      <alignment horizontal="center" vertical="center"/>
    </xf>
    <xf numFmtId="0" fontId="5" fillId="10" borderId="25" xfId="4" applyFont="1" applyFill="1" applyBorder="1" applyAlignment="1">
      <alignment horizontal="left" vertical="center" wrapText="1"/>
    </xf>
    <xf numFmtId="0" fontId="5" fillId="10" borderId="39" xfId="4" applyFont="1" applyFill="1" applyBorder="1" applyAlignment="1">
      <alignment horizontal="left" vertical="center" wrapText="1"/>
    </xf>
    <xf numFmtId="0" fontId="5" fillId="10" borderId="54" xfId="4" applyFont="1" applyFill="1" applyBorder="1" applyAlignment="1">
      <alignment horizontal="left" vertical="center" wrapText="1"/>
    </xf>
    <xf numFmtId="0" fontId="5" fillId="4" borderId="14" xfId="4" applyFont="1" applyFill="1" applyBorder="1"/>
    <xf numFmtId="0" fontId="5" fillId="4" borderId="0" xfId="4" applyFont="1" applyFill="1" applyAlignment="1">
      <alignment horizontal="left"/>
    </xf>
    <xf numFmtId="0" fontId="13" fillId="4" borderId="0" xfId="4" applyFont="1" applyFill="1" applyAlignment="1">
      <alignment horizontal="left"/>
    </xf>
    <xf numFmtId="0" fontId="5" fillId="4" borderId="15" xfId="4" applyFont="1" applyFill="1" applyBorder="1" applyAlignment="1">
      <alignment horizontal="left"/>
    </xf>
    <xf numFmtId="0" fontId="5" fillId="0" borderId="0" xfId="4" applyFont="1" applyAlignment="1">
      <alignment wrapText="1"/>
    </xf>
    <xf numFmtId="0" fontId="46" fillId="0" borderId="0" xfId="4" applyFont="1"/>
    <xf numFmtId="0" fontId="22" fillId="8" borderId="0" xfId="4" applyFont="1" applyFill="1" applyAlignment="1">
      <alignment horizontal="left" vertical="center"/>
    </xf>
    <xf numFmtId="167" fontId="11" fillId="8" borderId="15" xfId="4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center"/>
    </xf>
    <xf numFmtId="166" fontId="0" fillId="0" borderId="30" xfId="0" applyNumberFormat="1" applyBorder="1" applyAlignment="1">
      <alignment horizontal="center"/>
    </xf>
    <xf numFmtId="0" fontId="47" fillId="0" borderId="0" xfId="0" applyFont="1" applyAlignment="1">
      <alignment horizontal="center"/>
    </xf>
    <xf numFmtId="166" fontId="0" fillId="0" borderId="0" xfId="1" applyNumberFormat="1" applyFont="1" applyAlignment="1">
      <alignment horizontal="center"/>
    </xf>
    <xf numFmtId="9" fontId="0" fillId="0" borderId="0" xfId="3" applyFont="1" applyAlignment="1">
      <alignment horizontal="center"/>
    </xf>
    <xf numFmtId="172" fontId="0" fillId="0" borderId="0" xfId="0" applyNumberFormat="1"/>
    <xf numFmtId="166" fontId="0" fillId="0" borderId="0" xfId="0" applyNumberFormat="1"/>
    <xf numFmtId="166" fontId="2" fillId="10" borderId="55" xfId="1" applyNumberFormat="1" applyFont="1" applyFill="1" applyBorder="1"/>
    <xf numFmtId="166" fontId="0" fillId="10" borderId="0" xfId="1" applyNumberFormat="1" applyFont="1" applyFill="1"/>
    <xf numFmtId="166" fontId="0" fillId="10" borderId="0" xfId="1" applyNumberFormat="1" applyFont="1" applyFill="1" applyAlignment="1">
      <alignment horizontal="center"/>
    </xf>
    <xf numFmtId="9" fontId="0" fillId="10" borderId="55" xfId="3" applyFont="1" applyFill="1" applyBorder="1" applyAlignment="1">
      <alignment horizontal="center"/>
    </xf>
    <xf numFmtId="172" fontId="0" fillId="10" borderId="0" xfId="0" applyNumberFormat="1" applyFill="1"/>
    <xf numFmtId="43" fontId="0" fillId="0" borderId="0" xfId="1" applyFont="1" applyAlignment="1">
      <alignment horizontal="center"/>
    </xf>
    <xf numFmtId="43" fontId="0" fillId="10" borderId="0" xfId="1" applyFont="1" applyFill="1" applyAlignment="1">
      <alignment horizontal="center"/>
    </xf>
    <xf numFmtId="166" fontId="0" fillId="12" borderId="0" xfId="1" applyNumberFormat="1" applyFont="1" applyFill="1" applyAlignment="1">
      <alignment horizontal="center"/>
    </xf>
    <xf numFmtId="166" fontId="0" fillId="13" borderId="0" xfId="1" applyNumberFormat="1" applyFont="1" applyFill="1"/>
    <xf numFmtId="166" fontId="2" fillId="6" borderId="55" xfId="1" applyNumberFormat="1" applyFont="1" applyFill="1" applyBorder="1"/>
    <xf numFmtId="0" fontId="0" fillId="0" borderId="0" xfId="0" applyAlignment="1">
      <alignment horizontal="center"/>
    </xf>
    <xf numFmtId="164" fontId="48" fillId="0" borderId="0" xfId="1" applyNumberFormat="1" applyFont="1" applyAlignment="1">
      <alignment horizontal="center"/>
    </xf>
    <xf numFmtId="0" fontId="49" fillId="0" borderId="0" xfId="0" applyFont="1" applyAlignment="1">
      <alignment horizontal="center"/>
    </xf>
    <xf numFmtId="164" fontId="0" fillId="14" borderId="0" xfId="1" applyNumberFormat="1" applyFont="1" applyFill="1"/>
    <xf numFmtId="167" fontId="2" fillId="6" borderId="0" xfId="0" applyNumberFormat="1" applyFont="1" applyFill="1"/>
    <xf numFmtId="167" fontId="2" fillId="6" borderId="0" xfId="3" quotePrefix="1" applyNumberFormat="1" applyFont="1" applyFill="1" applyAlignment="1">
      <alignment horizontal="right"/>
    </xf>
    <xf numFmtId="0" fontId="0" fillId="15" borderId="0" xfId="0" applyFill="1"/>
    <xf numFmtId="167" fontId="0" fillId="0" borderId="0" xfId="0" applyNumberFormat="1"/>
    <xf numFmtId="167" fontId="0" fillId="0" borderId="0" xfId="3" applyNumberFormat="1" applyFont="1"/>
    <xf numFmtId="167" fontId="0" fillId="0" borderId="1" xfId="3" applyNumberFormat="1" applyFont="1" applyBorder="1"/>
    <xf numFmtId="43" fontId="0" fillId="0" borderId="0" xfId="0" applyNumberFormat="1"/>
    <xf numFmtId="164" fontId="2" fillId="10" borderId="0" xfId="1" applyNumberFormat="1" applyFont="1" applyFill="1"/>
    <xf numFmtId="2" fontId="0" fillId="15" borderId="0" xfId="0" applyNumberFormat="1" applyFill="1"/>
    <xf numFmtId="0" fontId="0" fillId="16" borderId="0" xfId="0" applyFill="1"/>
    <xf numFmtId="9" fontId="47" fillId="0" borderId="0" xfId="0" applyNumberFormat="1" applyFont="1" applyAlignment="1">
      <alignment horizontal="center"/>
    </xf>
    <xf numFmtId="164" fontId="0" fillId="0" borderId="56" xfId="0" applyNumberFormat="1" applyBorder="1"/>
    <xf numFmtId="164" fontId="2" fillId="0" borderId="0" xfId="1" applyNumberFormat="1" applyFont="1"/>
    <xf numFmtId="0" fontId="50" fillId="0" borderId="0" xfId="0" applyFont="1"/>
    <xf numFmtId="0" fontId="49" fillId="0" borderId="0" xfId="0" applyFont="1" applyBorder="1" applyAlignment="1">
      <alignment horizontal="center"/>
    </xf>
    <xf numFmtId="165" fontId="0" fillId="0" borderId="57" xfId="2" applyNumberFormat="1" applyFont="1" applyBorder="1"/>
    <xf numFmtId="165" fontId="0" fillId="0" borderId="0" xfId="0" applyNumberFormat="1"/>
    <xf numFmtId="0" fontId="50" fillId="10" borderId="0" xfId="0" applyFont="1" applyFill="1"/>
    <xf numFmtId="0" fontId="41" fillId="0" borderId="0" xfId="4" applyFont="1" applyAlignment="1">
      <alignment horizontal="left" vertical="center"/>
    </xf>
    <xf numFmtId="0" fontId="44" fillId="9" borderId="8" xfId="4" applyFont="1" applyFill="1" applyBorder="1" applyAlignment="1">
      <alignment horizontal="center" vertical="center" wrapText="1"/>
    </xf>
    <xf numFmtId="0" fontId="8" fillId="9" borderId="9" xfId="4" applyFont="1" applyFill="1" applyBorder="1" applyAlignment="1">
      <alignment horizontal="center" vertical="center"/>
    </xf>
    <xf numFmtId="0" fontId="8" fillId="9" borderId="10" xfId="4" applyFont="1" applyFill="1" applyBorder="1" applyAlignment="1">
      <alignment horizontal="center" vertical="center"/>
    </xf>
    <xf numFmtId="0" fontId="8" fillId="9" borderId="14" xfId="4" applyFont="1" applyFill="1" applyBorder="1" applyAlignment="1">
      <alignment horizontal="center" vertical="center"/>
    </xf>
    <xf numFmtId="0" fontId="8" fillId="9" borderId="0" xfId="4" applyFont="1" applyFill="1" applyAlignment="1">
      <alignment horizontal="center" vertical="center"/>
    </xf>
    <xf numFmtId="0" fontId="8" fillId="9" borderId="15" xfId="4" applyFont="1" applyFill="1" applyBorder="1" applyAlignment="1">
      <alignment horizontal="center" vertical="center"/>
    </xf>
    <xf numFmtId="0" fontId="8" fillId="9" borderId="19" xfId="4" applyFont="1" applyFill="1" applyBorder="1" applyAlignment="1">
      <alignment horizontal="center" vertical="center"/>
    </xf>
    <xf numFmtId="0" fontId="8" fillId="9" borderId="20" xfId="4" applyFont="1" applyFill="1" applyBorder="1" applyAlignment="1">
      <alignment horizontal="center" vertical="center"/>
    </xf>
    <xf numFmtId="0" fontId="8" fillId="9" borderId="21" xfId="4" applyFont="1" applyFill="1" applyBorder="1" applyAlignment="1">
      <alignment horizontal="center" vertical="center"/>
    </xf>
    <xf numFmtId="167" fontId="44" fillId="9" borderId="8" xfId="4" applyNumberFormat="1" applyFont="1" applyFill="1" applyBorder="1" applyAlignment="1">
      <alignment horizontal="center" vertical="center" wrapText="1"/>
    </xf>
    <xf numFmtId="167" fontId="44" fillId="9" borderId="9" xfId="4" applyNumberFormat="1" applyFont="1" applyFill="1" applyBorder="1" applyAlignment="1">
      <alignment horizontal="center" vertical="center" wrapText="1"/>
    </xf>
    <xf numFmtId="167" fontId="44" fillId="9" borderId="10" xfId="4" applyNumberFormat="1" applyFont="1" applyFill="1" applyBorder="1" applyAlignment="1">
      <alignment horizontal="center" vertical="center" wrapText="1"/>
    </xf>
    <xf numFmtId="167" fontId="44" fillId="9" borderId="14" xfId="4" applyNumberFormat="1" applyFont="1" applyFill="1" applyBorder="1" applyAlignment="1">
      <alignment horizontal="center" vertical="center" wrapText="1"/>
    </xf>
    <xf numFmtId="167" fontId="44" fillId="9" borderId="0" xfId="4" applyNumberFormat="1" applyFont="1" applyFill="1" applyAlignment="1">
      <alignment horizontal="center" vertical="center" wrapText="1"/>
    </xf>
    <xf numFmtId="167" fontId="44" fillId="9" borderId="15" xfId="4" applyNumberFormat="1" applyFont="1" applyFill="1" applyBorder="1" applyAlignment="1">
      <alignment horizontal="center" vertical="center" wrapText="1"/>
    </xf>
    <xf numFmtId="10" fontId="44" fillId="9" borderId="8" xfId="4" applyNumberFormat="1" applyFont="1" applyFill="1" applyBorder="1" applyAlignment="1">
      <alignment horizontal="center" vertical="center" wrapText="1"/>
    </xf>
    <xf numFmtId="10" fontId="44" fillId="9" borderId="9" xfId="4" applyNumberFormat="1" applyFont="1" applyFill="1" applyBorder="1" applyAlignment="1">
      <alignment horizontal="center" vertical="center" wrapText="1"/>
    </xf>
    <xf numFmtId="10" fontId="44" fillId="9" borderId="14" xfId="4" applyNumberFormat="1" applyFont="1" applyFill="1" applyBorder="1" applyAlignment="1">
      <alignment horizontal="center" vertical="center" wrapText="1"/>
    </xf>
    <xf numFmtId="10" fontId="44" fillId="9" borderId="0" xfId="4" applyNumberFormat="1" applyFont="1" applyFill="1" applyAlignment="1">
      <alignment horizontal="center" vertical="center" wrapText="1"/>
    </xf>
    <xf numFmtId="0" fontId="41" fillId="0" borderId="0" xfId="4" applyFont="1" applyAlignment="1">
      <alignment horizontal="left" vertical="top" wrapText="1"/>
    </xf>
    <xf numFmtId="171" fontId="44" fillId="9" borderId="19" xfId="4" applyNumberFormat="1" applyFont="1" applyFill="1" applyBorder="1" applyAlignment="1">
      <alignment horizontal="center" vertical="center" wrapText="1"/>
    </xf>
    <xf numFmtId="171" fontId="44" fillId="9" borderId="20" xfId="4" applyNumberFormat="1" applyFont="1" applyFill="1" applyBorder="1" applyAlignment="1">
      <alignment horizontal="center" vertical="center" wrapText="1"/>
    </xf>
    <xf numFmtId="171" fontId="44" fillId="9" borderId="21" xfId="4" applyNumberFormat="1" applyFont="1" applyFill="1" applyBorder="1" applyAlignment="1">
      <alignment horizontal="center" vertical="center" wrapText="1"/>
    </xf>
    <xf numFmtId="0" fontId="45" fillId="0" borderId="0" xfId="4" applyFont="1" applyAlignment="1">
      <alignment horizontal="left" vertical="center" wrapText="1"/>
    </xf>
    <xf numFmtId="0" fontId="45" fillId="0" borderId="20" xfId="4" applyFont="1" applyBorder="1" applyAlignment="1">
      <alignment horizontal="left" vertical="center" wrapText="1"/>
    </xf>
    <xf numFmtId="0" fontId="31" fillId="4" borderId="35" xfId="4" applyFont="1" applyFill="1" applyBorder="1" applyAlignment="1">
      <alignment wrapText="1"/>
    </xf>
    <xf numFmtId="0" fontId="31" fillId="4" borderId="36" xfId="4" applyFont="1" applyFill="1" applyBorder="1" applyAlignment="1">
      <alignment wrapText="1"/>
    </xf>
    <xf numFmtId="9" fontId="31" fillId="0" borderId="37" xfId="4" applyNumberFormat="1" applyFont="1" applyBorder="1" applyAlignment="1">
      <alignment horizontal="left" vertical="center" wrapText="1"/>
    </xf>
    <xf numFmtId="9" fontId="31" fillId="0" borderId="38" xfId="4" applyNumberFormat="1" applyFont="1" applyBorder="1" applyAlignment="1">
      <alignment horizontal="left" vertical="center" wrapText="1"/>
    </xf>
    <xf numFmtId="9" fontId="31" fillId="0" borderId="35" xfId="4" applyNumberFormat="1" applyFont="1" applyBorder="1" applyAlignment="1">
      <alignment horizontal="left" vertical="center" wrapText="1"/>
    </xf>
    <xf numFmtId="0" fontId="39" fillId="0" borderId="0" xfId="4" applyFont="1" applyAlignment="1">
      <alignment horizontal="left"/>
    </xf>
    <xf numFmtId="0" fontId="41" fillId="0" borderId="15" xfId="4" applyFont="1" applyBorder="1" applyAlignment="1">
      <alignment horizontal="left" vertical="top" wrapText="1"/>
    </xf>
    <xf numFmtId="0" fontId="12" fillId="4" borderId="8" xfId="4" applyFont="1" applyFill="1" applyBorder="1" applyAlignment="1">
      <alignment horizontal="center" vertical="center"/>
    </xf>
    <xf numFmtId="0" fontId="12" fillId="4" borderId="9" xfId="4" applyFont="1" applyFill="1" applyBorder="1" applyAlignment="1">
      <alignment horizontal="center" vertical="center"/>
    </xf>
    <xf numFmtId="0" fontId="12" fillId="4" borderId="10" xfId="4" applyFont="1" applyFill="1" applyBorder="1" applyAlignment="1">
      <alignment horizontal="center" vertical="center"/>
    </xf>
    <xf numFmtId="10" fontId="4" fillId="0" borderId="8" xfId="4" applyNumberFormat="1" applyFont="1" applyBorder="1" applyAlignment="1">
      <alignment horizontal="left" vertical="center" wrapText="1"/>
    </xf>
    <xf numFmtId="10" fontId="4" fillId="0" borderId="9" xfId="4" applyNumberFormat="1" applyFont="1" applyBorder="1" applyAlignment="1">
      <alignment horizontal="left" vertical="center" wrapText="1"/>
    </xf>
    <xf numFmtId="170" fontId="31" fillId="6" borderId="6" xfId="6" applyNumberFormat="1" applyFont="1" applyFill="1" applyBorder="1" applyAlignment="1" applyProtection="1">
      <alignment horizontal="center" vertical="center" wrapText="1"/>
      <protection locked="0"/>
    </xf>
    <xf numFmtId="170" fontId="31" fillId="6" borderId="12" xfId="6" applyNumberFormat="1" applyFont="1" applyFill="1" applyBorder="1" applyAlignment="1" applyProtection="1">
      <alignment horizontal="center" vertical="center" wrapText="1"/>
      <protection locked="0"/>
    </xf>
    <xf numFmtId="170" fontId="31" fillId="6" borderId="17" xfId="6" applyNumberFormat="1" applyFont="1" applyFill="1" applyBorder="1" applyAlignment="1" applyProtection="1">
      <alignment horizontal="center" vertical="center" wrapText="1"/>
      <protection locked="0"/>
    </xf>
    <xf numFmtId="9" fontId="4" fillId="0" borderId="7" xfId="4" applyNumberFormat="1" applyFont="1" applyBorder="1" applyAlignment="1">
      <alignment horizontal="center" vertical="center" wrapText="1"/>
    </xf>
    <xf numFmtId="9" fontId="4" fillId="0" borderId="13" xfId="4" applyNumberFormat="1" applyFont="1" applyBorder="1" applyAlignment="1">
      <alignment horizontal="center" vertical="center" wrapText="1"/>
    </xf>
    <xf numFmtId="9" fontId="4" fillId="0" borderId="18" xfId="4" applyNumberFormat="1" applyFont="1" applyBorder="1" applyAlignment="1">
      <alignment horizontal="center" vertical="center" wrapText="1"/>
    </xf>
    <xf numFmtId="169" fontId="32" fillId="4" borderId="49" xfId="4" applyNumberFormat="1" applyFont="1" applyFill="1" applyBorder="1" applyAlignment="1" applyProtection="1">
      <alignment horizontal="center" vertical="center"/>
      <protection locked="0"/>
    </xf>
    <xf numFmtId="169" fontId="32" fillId="4" borderId="40" xfId="4" applyNumberFormat="1" applyFont="1" applyFill="1" applyBorder="1" applyAlignment="1" applyProtection="1">
      <alignment horizontal="center" vertical="center"/>
      <protection locked="0"/>
    </xf>
    <xf numFmtId="169" fontId="32" fillId="4" borderId="50" xfId="4" applyNumberFormat="1" applyFont="1" applyFill="1" applyBorder="1" applyAlignment="1" applyProtection="1">
      <alignment horizontal="center" vertical="center"/>
      <protection locked="0"/>
    </xf>
    <xf numFmtId="169" fontId="32" fillId="4" borderId="34" xfId="4" applyNumberFormat="1" applyFont="1" applyFill="1" applyBorder="1" applyAlignment="1" applyProtection="1">
      <alignment horizontal="center" vertical="center"/>
      <protection locked="0"/>
    </xf>
    <xf numFmtId="169" fontId="32" fillId="4" borderId="42" xfId="4" applyNumberFormat="1" applyFont="1" applyFill="1" applyBorder="1" applyAlignment="1" applyProtection="1">
      <alignment horizontal="center" vertical="center"/>
      <protection locked="0"/>
    </xf>
    <xf numFmtId="169" fontId="32" fillId="4" borderId="43" xfId="4" applyNumberFormat="1" applyFont="1" applyFill="1" applyBorder="1" applyAlignment="1" applyProtection="1">
      <alignment horizontal="center" vertical="center"/>
      <protection locked="0"/>
    </xf>
    <xf numFmtId="167" fontId="24" fillId="4" borderId="28" xfId="4" applyNumberFormat="1" applyFont="1" applyFill="1" applyBorder="1" applyAlignment="1">
      <alignment horizontal="center" vertical="center" wrapText="1"/>
    </xf>
    <xf numFmtId="9" fontId="38" fillId="0" borderId="37" xfId="4" applyNumberFormat="1" applyFont="1" applyBorder="1" applyAlignment="1">
      <alignment horizontal="left" vertical="center" wrapText="1"/>
    </xf>
    <xf numFmtId="9" fontId="38" fillId="0" borderId="38" xfId="4" applyNumberFormat="1" applyFont="1" applyBorder="1" applyAlignment="1">
      <alignment horizontal="left" vertical="center" wrapText="1"/>
    </xf>
    <xf numFmtId="9" fontId="38" fillId="0" borderId="35" xfId="4" applyNumberFormat="1" applyFont="1" applyBorder="1" applyAlignment="1">
      <alignment horizontal="left" vertical="center" wrapText="1"/>
    </xf>
    <xf numFmtId="0" fontId="11" fillId="4" borderId="2" xfId="4" applyFont="1" applyFill="1" applyBorder="1" applyAlignment="1">
      <alignment horizontal="center" vertical="center" wrapText="1"/>
    </xf>
    <xf numFmtId="0" fontId="11" fillId="4" borderId="3" xfId="4" applyFont="1" applyFill="1" applyBorder="1" applyAlignment="1">
      <alignment horizontal="center" vertical="center" wrapText="1"/>
    </xf>
    <xf numFmtId="0" fontId="11" fillId="4" borderId="4" xfId="4" applyFont="1" applyFill="1" applyBorder="1" applyAlignment="1">
      <alignment horizontal="center" vertical="center" wrapText="1"/>
    </xf>
    <xf numFmtId="169" fontId="37" fillId="7" borderId="25" xfId="4" applyNumberFormat="1" applyFont="1" applyFill="1" applyBorder="1" applyAlignment="1">
      <alignment horizontal="center" vertical="center"/>
    </xf>
    <xf numFmtId="169" fontId="37" fillId="7" borderId="26" xfId="4" applyNumberFormat="1" applyFont="1" applyFill="1" applyBorder="1" applyAlignment="1">
      <alignment horizontal="center" vertical="center"/>
    </xf>
    <xf numFmtId="0" fontId="25" fillId="0" borderId="8" xfId="4" applyFont="1" applyBorder="1" applyAlignment="1">
      <alignment horizontal="center" vertical="center" wrapText="1"/>
    </xf>
    <xf numFmtId="0" fontId="30" fillId="0" borderId="14" xfId="4" applyFont="1" applyBorder="1" applyAlignment="1">
      <alignment horizontal="center" vertical="center" wrapText="1"/>
    </xf>
    <xf numFmtId="0" fontId="30" fillId="0" borderId="19" xfId="4" applyFont="1" applyBorder="1" applyAlignment="1">
      <alignment horizontal="center" vertical="center" wrapText="1"/>
    </xf>
    <xf numFmtId="0" fontId="26" fillId="0" borderId="22" xfId="4" applyFont="1" applyBorder="1" applyAlignment="1" applyProtection="1">
      <alignment horizontal="center" vertical="center" wrapText="1"/>
      <protection locked="0"/>
    </xf>
    <xf numFmtId="0" fontId="3" fillId="0" borderId="27" xfId="4" applyBorder="1" applyAlignment="1" applyProtection="1">
      <alignment horizontal="center" vertical="center" wrapText="1"/>
      <protection locked="0"/>
    </xf>
    <xf numFmtId="0" fontId="3" fillId="0" borderId="31" xfId="4" applyBorder="1" applyAlignment="1" applyProtection="1">
      <alignment horizontal="center" vertical="center" wrapText="1"/>
      <protection locked="0"/>
    </xf>
    <xf numFmtId="0" fontId="26" fillId="0" borderId="23" xfId="4" applyFont="1" applyBorder="1" applyAlignment="1" applyProtection="1">
      <alignment horizontal="center" vertical="center" wrapText="1"/>
      <protection locked="0"/>
    </xf>
    <xf numFmtId="0" fontId="3" fillId="0" borderId="28" xfId="4" applyBorder="1" applyAlignment="1" applyProtection="1">
      <alignment horizontal="center" vertical="center" wrapText="1"/>
      <protection locked="0"/>
    </xf>
    <xf numFmtId="0" fontId="3" fillId="0" borderId="32" xfId="4" applyBorder="1" applyAlignment="1" applyProtection="1">
      <alignment horizontal="center" vertical="center" wrapText="1"/>
      <protection locked="0"/>
    </xf>
    <xf numFmtId="9" fontId="13" fillId="5" borderId="5" xfId="4" applyNumberFormat="1" applyFont="1" applyFill="1" applyBorder="1" applyAlignment="1" applyProtection="1">
      <alignment horizontal="center" vertical="center" wrapText="1"/>
      <protection locked="0"/>
    </xf>
    <xf numFmtId="0" fontId="13" fillId="5" borderId="11" xfId="4" applyFont="1" applyFill="1" applyBorder="1" applyAlignment="1" applyProtection="1">
      <alignment horizontal="center" vertical="center" wrapText="1"/>
      <protection locked="0"/>
    </xf>
    <xf numFmtId="0" fontId="13" fillId="5" borderId="16" xfId="4" applyFont="1" applyFill="1" applyBorder="1" applyAlignment="1" applyProtection="1">
      <alignment horizontal="center" vertical="center" wrapText="1"/>
      <protection locked="0"/>
    </xf>
    <xf numFmtId="170" fontId="31" fillId="0" borderId="6" xfId="6" applyNumberFormat="1" applyFont="1" applyBorder="1" applyAlignment="1" applyProtection="1">
      <alignment horizontal="center" vertical="center" wrapText="1"/>
      <protection locked="0"/>
    </xf>
    <xf numFmtId="170" fontId="31" fillId="0" borderId="12" xfId="6" applyNumberFormat="1" applyFont="1" applyBorder="1" applyAlignment="1" applyProtection="1">
      <alignment horizontal="center" vertical="center" wrapText="1"/>
      <protection locked="0"/>
    </xf>
    <xf numFmtId="170" fontId="31" fillId="0" borderId="17" xfId="6" applyNumberFormat="1" applyFont="1" applyBorder="1" applyAlignment="1" applyProtection="1">
      <alignment horizontal="center" vertical="center" wrapText="1"/>
      <protection locked="0"/>
    </xf>
    <xf numFmtId="9" fontId="4" fillId="0" borderId="9" xfId="4" applyNumberFormat="1" applyFont="1" applyBorder="1" applyAlignment="1">
      <alignment horizontal="center" vertical="center" wrapText="1"/>
    </xf>
    <xf numFmtId="9" fontId="4" fillId="0" borderId="0" xfId="4" applyNumberFormat="1" applyFont="1" applyAlignment="1">
      <alignment horizontal="center" vertical="center" wrapText="1"/>
    </xf>
    <xf numFmtId="9" fontId="4" fillId="0" borderId="20" xfId="4" applyNumberFormat="1" applyFont="1" applyBorder="1" applyAlignment="1">
      <alignment horizontal="center" vertical="center" wrapText="1"/>
    </xf>
    <xf numFmtId="9" fontId="4" fillId="0" borderId="24" xfId="4" applyNumberFormat="1" applyFont="1" applyBorder="1" applyAlignment="1">
      <alignment horizontal="center" vertical="center" wrapText="1"/>
    </xf>
    <xf numFmtId="9" fontId="4" fillId="0" borderId="29" xfId="4" applyNumberFormat="1" applyFont="1" applyBorder="1" applyAlignment="1">
      <alignment horizontal="center" vertical="center" wrapText="1"/>
    </xf>
    <xf numFmtId="9" fontId="4" fillId="0" borderId="33" xfId="4" applyNumberFormat="1" applyFont="1" applyBorder="1" applyAlignment="1">
      <alignment horizontal="center" vertical="center" wrapText="1"/>
    </xf>
    <xf numFmtId="168" fontId="32" fillId="4" borderId="49" xfId="4" applyNumberFormat="1" applyFont="1" applyFill="1" applyBorder="1" applyAlignment="1" applyProtection="1">
      <alignment horizontal="center" vertical="center"/>
      <protection locked="0"/>
    </xf>
    <xf numFmtId="168" fontId="32" fillId="4" borderId="40" xfId="4" applyNumberFormat="1" applyFont="1" applyFill="1" applyBorder="1" applyAlignment="1" applyProtection="1">
      <alignment horizontal="center" vertical="center"/>
      <protection locked="0"/>
    </xf>
    <xf numFmtId="168" fontId="32" fillId="4" borderId="50" xfId="4" applyNumberFormat="1" applyFont="1" applyFill="1" applyBorder="1" applyAlignment="1" applyProtection="1">
      <alignment horizontal="center" vertical="center"/>
      <protection locked="0"/>
    </xf>
    <xf numFmtId="168" fontId="32" fillId="4" borderId="34" xfId="4" applyNumberFormat="1" applyFont="1" applyFill="1" applyBorder="1" applyAlignment="1" applyProtection="1">
      <alignment horizontal="center" vertical="center"/>
      <protection locked="0"/>
    </xf>
    <xf numFmtId="168" fontId="32" fillId="4" borderId="42" xfId="4" applyNumberFormat="1" applyFont="1" applyFill="1" applyBorder="1" applyAlignment="1" applyProtection="1">
      <alignment horizontal="center" vertical="center"/>
      <protection locked="0"/>
    </xf>
    <xf numFmtId="168" fontId="32" fillId="4" borderId="43" xfId="4" applyNumberFormat="1" applyFont="1" applyFill="1" applyBorder="1" applyAlignment="1" applyProtection="1">
      <alignment horizontal="center" vertical="center"/>
      <protection locked="0"/>
    </xf>
    <xf numFmtId="167" fontId="24" fillId="4" borderId="15" xfId="4" applyNumberFormat="1" applyFont="1" applyFill="1" applyBorder="1" applyAlignment="1">
      <alignment horizontal="center" vertical="center" wrapText="1"/>
    </xf>
    <xf numFmtId="9" fontId="33" fillId="0" borderId="25" xfId="4" applyNumberFormat="1" applyFont="1" applyBorder="1" applyAlignment="1">
      <alignment horizontal="left" vertical="center" wrapText="1"/>
    </xf>
    <xf numFmtId="9" fontId="33" fillId="0" borderId="39" xfId="4" applyNumberFormat="1" applyFont="1" applyBorder="1" applyAlignment="1">
      <alignment horizontal="left" vertical="center" wrapText="1"/>
    </xf>
    <xf numFmtId="9" fontId="33" fillId="0" borderId="26" xfId="4" applyNumberFormat="1" applyFont="1" applyBorder="1" applyAlignment="1">
      <alignment horizontal="left" vertical="center" wrapText="1"/>
    </xf>
    <xf numFmtId="0" fontId="26" fillId="0" borderId="22" xfId="4" applyFont="1" applyBorder="1" applyAlignment="1">
      <alignment horizontal="center" vertical="center" wrapText="1"/>
    </xf>
    <xf numFmtId="0" fontId="3" fillId="0" borderId="27" xfId="4" applyBorder="1" applyAlignment="1">
      <alignment horizontal="center" vertical="center" wrapText="1"/>
    </xf>
    <xf numFmtId="0" fontId="26" fillId="0" borderId="23" xfId="4" applyFont="1" applyBorder="1" applyAlignment="1">
      <alignment horizontal="center" vertical="center" wrapText="1"/>
    </xf>
    <xf numFmtId="0" fontId="18" fillId="0" borderId="28" xfId="4" applyFont="1" applyBorder="1" applyAlignment="1">
      <alignment horizontal="center" vertical="center" wrapText="1"/>
    </xf>
    <xf numFmtId="0" fontId="5" fillId="0" borderId="44" xfId="4" applyFont="1" applyBorder="1" applyAlignment="1">
      <alignment horizontal="left" vertical="center"/>
    </xf>
    <xf numFmtId="0" fontId="5" fillId="0" borderId="45" xfId="4" applyFont="1" applyBorder="1" applyAlignment="1">
      <alignment horizontal="left" vertical="center"/>
    </xf>
    <xf numFmtId="7" fontId="27" fillId="6" borderId="6" xfId="6" applyNumberFormat="1" applyFont="1" applyFill="1" applyBorder="1" applyAlignment="1" applyProtection="1">
      <alignment horizontal="center" vertical="center" wrapText="1"/>
      <protection locked="0"/>
    </xf>
    <xf numFmtId="7" fontId="27" fillId="6" borderId="12" xfId="6" applyNumberFormat="1" applyFont="1" applyFill="1" applyBorder="1" applyAlignment="1" applyProtection="1">
      <alignment horizontal="center" vertical="center" wrapText="1"/>
      <protection locked="0"/>
    </xf>
    <xf numFmtId="7" fontId="27" fillId="6" borderId="17" xfId="6" applyNumberFormat="1" applyFont="1" applyFill="1" applyBorder="1" applyAlignment="1" applyProtection="1">
      <alignment horizontal="center" vertical="center" wrapText="1"/>
      <protection locked="0"/>
    </xf>
    <xf numFmtId="7" fontId="27" fillId="0" borderId="6" xfId="6" applyNumberFormat="1" applyFont="1" applyBorder="1" applyAlignment="1" applyProtection="1">
      <alignment horizontal="center" vertical="center" wrapText="1"/>
      <protection locked="0"/>
    </xf>
    <xf numFmtId="7" fontId="27" fillId="0" borderId="12" xfId="6" applyNumberFormat="1" applyFont="1" applyBorder="1" applyAlignment="1" applyProtection="1">
      <alignment horizontal="center" vertical="center" wrapText="1"/>
      <protection locked="0"/>
    </xf>
    <xf numFmtId="7" fontId="27" fillId="0" borderId="17" xfId="6" applyNumberFormat="1" applyFont="1" applyBorder="1" applyAlignment="1" applyProtection="1">
      <alignment horizontal="center" vertical="center" wrapText="1"/>
      <protection locked="0"/>
    </xf>
    <xf numFmtId="0" fontId="29" fillId="7" borderId="25" xfId="4" applyFont="1" applyFill="1" applyBorder="1" applyAlignment="1">
      <alignment horizontal="center" vertical="center"/>
    </xf>
    <xf numFmtId="0" fontId="29" fillId="7" borderId="26" xfId="4" applyFont="1" applyFill="1" applyBorder="1" applyAlignment="1">
      <alignment horizontal="center" vertical="center"/>
    </xf>
    <xf numFmtId="0" fontId="36" fillId="0" borderId="46" xfId="4" applyFont="1" applyBorder="1" applyAlignment="1" applyProtection="1">
      <alignment horizontal="center" vertical="center" wrapText="1"/>
      <protection locked="0"/>
    </xf>
    <xf numFmtId="0" fontId="36" fillId="0" borderId="47" xfId="4" applyFont="1" applyBorder="1" applyAlignment="1" applyProtection="1">
      <alignment horizontal="center" vertical="center" wrapText="1"/>
      <protection locked="0"/>
    </xf>
    <xf numFmtId="9" fontId="13" fillId="5" borderId="11" xfId="4" applyNumberFormat="1" applyFont="1" applyFill="1" applyBorder="1" applyAlignment="1" applyProtection="1">
      <alignment horizontal="center" vertical="center" wrapText="1"/>
      <protection locked="0"/>
    </xf>
    <xf numFmtId="9" fontId="13" fillId="5" borderId="16" xfId="4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4" applyFont="1" applyBorder="1" applyAlignment="1" applyProtection="1">
      <alignment horizontal="center" vertical="center" wrapText="1"/>
      <protection locked="0"/>
    </xf>
    <xf numFmtId="0" fontId="5" fillId="4" borderId="5" xfId="4" applyFont="1" applyFill="1" applyBorder="1" applyAlignment="1">
      <alignment horizontal="center" vertical="center" wrapText="1"/>
    </xf>
    <xf numFmtId="0" fontId="5" fillId="4" borderId="11" xfId="4" applyFont="1" applyFill="1" applyBorder="1" applyAlignment="1">
      <alignment horizontal="center" vertical="center" wrapText="1"/>
    </xf>
    <xf numFmtId="0" fontId="5" fillId="4" borderId="16" xfId="4" applyFont="1" applyFill="1" applyBorder="1" applyAlignment="1">
      <alignment horizontal="center" vertical="center" wrapText="1"/>
    </xf>
    <xf numFmtId="0" fontId="31" fillId="4" borderId="39" xfId="4" applyFont="1" applyFill="1" applyBorder="1" applyAlignment="1">
      <alignment wrapText="1"/>
    </xf>
    <xf numFmtId="0" fontId="31" fillId="4" borderId="26" xfId="4" applyFont="1" applyFill="1" applyBorder="1" applyAlignment="1">
      <alignment wrapText="1"/>
    </xf>
    <xf numFmtId="0" fontId="31" fillId="4" borderId="30" xfId="4" applyFont="1" applyFill="1" applyBorder="1" applyAlignment="1">
      <alignment wrapText="1"/>
    </xf>
    <xf numFmtId="0" fontId="34" fillId="0" borderId="23" xfId="4" applyFont="1" applyBorder="1" applyAlignment="1" applyProtection="1">
      <alignment horizontal="center" vertical="center" wrapText="1"/>
      <protection locked="0"/>
    </xf>
    <xf numFmtId="0" fontId="34" fillId="0" borderId="28" xfId="4" applyFont="1" applyBorder="1" applyAlignment="1" applyProtection="1">
      <alignment horizontal="center" vertical="center" wrapText="1"/>
      <protection locked="0"/>
    </xf>
    <xf numFmtId="0" fontId="34" fillId="0" borderId="32" xfId="4" applyFont="1" applyBorder="1" applyAlignment="1" applyProtection="1">
      <alignment horizontal="center" vertical="center" wrapText="1"/>
      <protection locked="0"/>
    </xf>
    <xf numFmtId="9" fontId="33" fillId="0" borderId="38" xfId="4" applyNumberFormat="1" applyFont="1" applyBorder="1" applyAlignment="1">
      <alignment horizontal="left" vertical="center" wrapText="1"/>
    </xf>
    <xf numFmtId="9" fontId="33" fillId="0" borderId="35" xfId="4" applyNumberFormat="1" applyFont="1" applyBorder="1" applyAlignment="1">
      <alignment horizontal="left" vertical="center" wrapText="1"/>
    </xf>
    <xf numFmtId="0" fontId="33" fillId="0" borderId="42" xfId="4" applyFont="1" applyBorder="1" applyAlignment="1">
      <alignment horizontal="left" vertical="center" wrapText="1"/>
    </xf>
    <xf numFmtId="0" fontId="33" fillId="0" borderId="1" xfId="4" applyFont="1" applyBorder="1" applyAlignment="1">
      <alignment horizontal="left" vertical="center" wrapText="1"/>
    </xf>
    <xf numFmtId="0" fontId="33" fillId="0" borderId="43" xfId="4" applyFont="1" applyBorder="1" applyAlignment="1">
      <alignment horizontal="left" vertical="center" wrapText="1"/>
    </xf>
    <xf numFmtId="0" fontId="18" fillId="0" borderId="27" xfId="4" applyFont="1" applyBorder="1" applyAlignment="1" applyProtection="1">
      <alignment horizontal="center" vertical="center" wrapText="1"/>
      <protection locked="0"/>
    </xf>
    <xf numFmtId="0" fontId="18" fillId="0" borderId="31" xfId="4" applyFont="1" applyBorder="1" applyAlignment="1" applyProtection="1">
      <alignment horizontal="center" vertical="center" wrapText="1"/>
      <protection locked="0"/>
    </xf>
    <xf numFmtId="0" fontId="35" fillId="0" borderId="28" xfId="4" applyFont="1" applyBorder="1" applyAlignment="1" applyProtection="1">
      <alignment horizontal="center" vertical="center" wrapText="1"/>
      <protection locked="0"/>
    </xf>
    <xf numFmtId="0" fontId="35" fillId="0" borderId="32" xfId="4" applyFont="1" applyBorder="1" applyAlignment="1" applyProtection="1">
      <alignment horizontal="center" vertical="center" wrapText="1"/>
      <protection locked="0"/>
    </xf>
    <xf numFmtId="9" fontId="28" fillId="0" borderId="24" xfId="4" applyNumberFormat="1" applyFont="1" applyBorder="1" applyAlignment="1">
      <alignment horizontal="center" vertical="center" wrapText="1"/>
    </xf>
    <xf numFmtId="9" fontId="28" fillId="0" borderId="29" xfId="4" applyNumberFormat="1" applyFont="1" applyBorder="1" applyAlignment="1">
      <alignment horizontal="center" vertical="center" wrapText="1"/>
    </xf>
    <xf numFmtId="9" fontId="28" fillId="0" borderId="33" xfId="4" applyNumberFormat="1" applyFont="1" applyBorder="1" applyAlignment="1">
      <alignment horizontal="center" vertical="center" wrapText="1"/>
    </xf>
    <xf numFmtId="8" fontId="31" fillId="0" borderId="37" xfId="4" applyNumberFormat="1" applyFont="1" applyBorder="1" applyAlignment="1">
      <alignment horizontal="left" vertical="center" wrapText="1"/>
    </xf>
    <xf numFmtId="8" fontId="33" fillId="0" borderId="25" xfId="4" applyNumberFormat="1" applyFont="1" applyBorder="1" applyAlignment="1">
      <alignment horizontal="left" vertical="center" wrapText="1"/>
    </xf>
    <xf numFmtId="0" fontId="31" fillId="4" borderId="40" xfId="4" applyFont="1" applyFill="1" applyBorder="1" applyAlignment="1">
      <alignment wrapText="1"/>
    </xf>
    <xf numFmtId="0" fontId="31" fillId="4" borderId="41" xfId="4" applyFont="1" applyFill="1" applyBorder="1" applyAlignment="1">
      <alignment wrapText="1"/>
    </xf>
    <xf numFmtId="0" fontId="33" fillId="0" borderId="30" xfId="4" applyFont="1" applyBorder="1" applyAlignment="1">
      <alignment horizontal="left" vertical="center" wrapText="1"/>
    </xf>
    <xf numFmtId="0" fontId="33" fillId="0" borderId="25" xfId="4" applyFont="1" applyBorder="1" applyAlignment="1">
      <alignment horizontal="center" vertical="center" wrapText="1"/>
    </xf>
    <xf numFmtId="0" fontId="33" fillId="0" borderId="39" xfId="4" applyFont="1" applyBorder="1" applyAlignment="1">
      <alignment horizontal="center" vertical="center" wrapText="1"/>
    </xf>
    <xf numFmtId="0" fontId="33" fillId="0" borderId="26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4" fillId="0" borderId="18" xfId="4" applyFont="1" applyBorder="1" applyAlignment="1">
      <alignment horizontal="center" vertical="center" wrapText="1"/>
    </xf>
    <xf numFmtId="0" fontId="20" fillId="3" borderId="8" xfId="4" applyFont="1" applyFill="1" applyBorder="1" applyAlignment="1">
      <alignment horizontal="center"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0" fillId="3" borderId="10" xfId="4" applyFont="1" applyFill="1" applyBorder="1" applyAlignment="1">
      <alignment horizontal="center" vertical="center" wrapText="1"/>
    </xf>
    <xf numFmtId="0" fontId="20" fillId="3" borderId="14" xfId="4" applyFont="1" applyFill="1" applyBorder="1" applyAlignment="1">
      <alignment horizontal="center" vertical="center" wrapText="1"/>
    </xf>
    <xf numFmtId="0" fontId="20" fillId="3" borderId="0" xfId="4" applyFont="1" applyFill="1" applyAlignment="1">
      <alignment horizontal="center" vertical="center" wrapText="1"/>
    </xf>
    <xf numFmtId="0" fontId="20" fillId="3" borderId="15" xfId="4" applyFont="1" applyFill="1" applyBorder="1" applyAlignment="1">
      <alignment horizontal="center" vertical="center" wrapText="1"/>
    </xf>
    <xf numFmtId="0" fontId="20" fillId="3" borderId="19" xfId="4" applyFont="1" applyFill="1" applyBorder="1" applyAlignment="1">
      <alignment horizontal="center" vertical="center" wrapText="1"/>
    </xf>
    <xf numFmtId="0" fontId="20" fillId="3" borderId="20" xfId="4" applyFont="1" applyFill="1" applyBorder="1" applyAlignment="1">
      <alignment horizontal="center" vertical="center" wrapText="1"/>
    </xf>
    <xf numFmtId="0" fontId="20" fillId="3" borderId="21" xfId="4" applyFont="1" applyFill="1" applyBorder="1" applyAlignment="1">
      <alignment horizontal="center" vertical="center" wrapText="1"/>
    </xf>
    <xf numFmtId="0" fontId="20" fillId="3" borderId="15" xfId="4" applyFont="1" applyFill="1" applyBorder="1" applyAlignment="1">
      <alignment horizontal="center" vertical="center"/>
    </xf>
    <xf numFmtId="0" fontId="11" fillId="4" borderId="2" xfId="4" applyFont="1" applyFill="1" applyBorder="1" applyAlignment="1">
      <alignment horizontal="center" vertical="center"/>
    </xf>
    <xf numFmtId="0" fontId="11" fillId="4" borderId="3" xfId="4" applyFont="1" applyFill="1" applyBorder="1" applyAlignment="1">
      <alignment horizontal="center" vertical="center"/>
    </xf>
    <xf numFmtId="0" fontId="11" fillId="4" borderId="4" xfId="4" applyFont="1" applyFill="1" applyBorder="1" applyAlignment="1">
      <alignment horizontal="center" vertical="center"/>
    </xf>
    <xf numFmtId="0" fontId="26" fillId="0" borderId="27" xfId="4" applyFont="1" applyBorder="1" applyAlignment="1" applyProtection="1">
      <alignment horizontal="center" vertical="center" wrapText="1"/>
      <protection locked="0"/>
    </xf>
    <xf numFmtId="0" fontId="26" fillId="0" borderId="31" xfId="4" applyFont="1" applyBorder="1" applyAlignment="1" applyProtection="1">
      <alignment horizontal="center" vertical="center" wrapText="1"/>
      <protection locked="0"/>
    </xf>
    <xf numFmtId="0" fontId="26" fillId="0" borderId="28" xfId="4" applyFont="1" applyBorder="1" applyAlignment="1" applyProtection="1">
      <alignment horizontal="center" vertical="center" wrapText="1"/>
      <protection locked="0"/>
    </xf>
    <xf numFmtId="0" fontId="26" fillId="0" borderId="32" xfId="4" applyFont="1" applyBorder="1" applyAlignment="1" applyProtection="1">
      <alignment horizontal="center" vertical="center" wrapText="1"/>
      <protection locked="0"/>
    </xf>
    <xf numFmtId="0" fontId="19" fillId="2" borderId="5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/>
    </xf>
    <xf numFmtId="0" fontId="19" fillId="2" borderId="16" xfId="4" applyFont="1" applyFill="1" applyBorder="1" applyAlignment="1">
      <alignment horizontal="center" vertical="center"/>
    </xf>
    <xf numFmtId="0" fontId="4" fillId="0" borderId="5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19" fillId="3" borderId="6" xfId="4" applyFont="1" applyFill="1" applyBorder="1" applyAlignment="1">
      <alignment horizontal="center" vertical="center"/>
    </xf>
    <xf numFmtId="0" fontId="19" fillId="3" borderId="12" xfId="4" applyFont="1" applyFill="1" applyBorder="1" applyAlignment="1">
      <alignment horizontal="center" vertical="center"/>
    </xf>
    <xf numFmtId="0" fontId="19" fillId="3" borderId="17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 wrapText="1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6" fillId="0" borderId="4" xfId="4" applyFont="1" applyBorder="1" applyAlignment="1">
      <alignment horizontal="center"/>
    </xf>
    <xf numFmtId="0" fontId="7" fillId="0" borderId="0" xfId="4" applyFont="1" applyAlignment="1">
      <alignment horizontal="center" vertical="center" wrapText="1"/>
    </xf>
    <xf numFmtId="0" fontId="10" fillId="0" borderId="2" xfId="4" applyFont="1" applyBorder="1" applyAlignment="1" applyProtection="1">
      <alignment horizontal="left"/>
      <protection locked="0"/>
    </xf>
    <xf numFmtId="0" fontId="10" fillId="0" borderId="3" xfId="4" applyFont="1" applyBorder="1" applyAlignment="1" applyProtection="1">
      <alignment horizontal="left"/>
      <protection locked="0"/>
    </xf>
    <xf numFmtId="0" fontId="10" fillId="0" borderId="4" xfId="4" applyFont="1" applyBorder="1" applyAlignment="1" applyProtection="1">
      <alignment horizontal="left"/>
      <protection locked="0"/>
    </xf>
    <xf numFmtId="0" fontId="11" fillId="0" borderId="0" xfId="4" applyFont="1" applyAlignment="1">
      <alignment horizontal="center"/>
    </xf>
    <xf numFmtId="0" fontId="13" fillId="0" borderId="2" xfId="4" applyFont="1" applyBorder="1" applyAlignment="1">
      <alignment horizontal="left"/>
    </xf>
    <xf numFmtId="0" fontId="13" fillId="0" borderId="3" xfId="4" applyFont="1" applyBorder="1" applyAlignment="1">
      <alignment horizontal="left"/>
    </xf>
    <xf numFmtId="0" fontId="13" fillId="0" borderId="4" xfId="4" applyFont="1" applyBorder="1" applyAlignment="1">
      <alignment horizontal="left"/>
    </xf>
    <xf numFmtId="14" fontId="5" fillId="0" borderId="2" xfId="4" applyNumberFormat="1" applyFont="1" applyBorder="1" applyAlignment="1" applyProtection="1">
      <alignment horizontal="left"/>
      <protection locked="0"/>
    </xf>
    <xf numFmtId="0" fontId="5" fillId="0" borderId="3" xfId="4" applyFont="1" applyBorder="1" applyAlignment="1" applyProtection="1">
      <alignment horizontal="left"/>
      <protection locked="0"/>
    </xf>
    <xf numFmtId="0" fontId="5" fillId="0" borderId="4" xfId="4" applyFont="1" applyBorder="1" applyAlignment="1" applyProtection="1">
      <alignment horizontal="left"/>
      <protection locked="0"/>
    </xf>
    <xf numFmtId="0" fontId="17" fillId="0" borderId="0" xfId="4" applyFont="1" applyAlignment="1">
      <alignment horizontal="center"/>
    </xf>
    <xf numFmtId="0" fontId="17" fillId="0" borderId="0" xfId="4" applyFont="1" applyAlignment="1" applyProtection="1">
      <alignment horizontal="center"/>
      <protection locked="0"/>
    </xf>
    <xf numFmtId="170" fontId="31" fillId="11" borderId="6" xfId="6" applyNumberFormat="1" applyFont="1" applyFill="1" applyBorder="1" applyAlignment="1" applyProtection="1">
      <alignment horizontal="center" vertical="center" wrapText="1"/>
      <protection locked="0"/>
    </xf>
    <xf numFmtId="170" fontId="31" fillId="11" borderId="12" xfId="6" applyNumberFormat="1" applyFont="1" applyFill="1" applyBorder="1" applyAlignment="1" applyProtection="1">
      <alignment horizontal="center" vertical="center" wrapText="1"/>
      <protection locked="0"/>
    </xf>
    <xf numFmtId="170" fontId="31" fillId="11" borderId="17" xfId="6" applyNumberFormat="1" applyFont="1" applyFill="1" applyBorder="1" applyAlignment="1" applyProtection="1">
      <alignment horizontal="center" vertical="center" wrapText="1"/>
      <protection locked="0"/>
    </xf>
    <xf numFmtId="170" fontId="31" fillId="10" borderId="6" xfId="6" applyNumberFormat="1" applyFont="1" applyFill="1" applyBorder="1" applyAlignment="1" applyProtection="1">
      <alignment horizontal="center" vertical="center" wrapText="1"/>
      <protection locked="0"/>
    </xf>
    <xf numFmtId="170" fontId="31" fillId="10" borderId="12" xfId="6" applyNumberFormat="1" applyFont="1" applyFill="1" applyBorder="1" applyAlignment="1" applyProtection="1">
      <alignment horizontal="center" vertical="center" wrapText="1"/>
      <protection locked="0"/>
    </xf>
    <xf numFmtId="170" fontId="31" fillId="10" borderId="17" xfId="6" applyNumberFormat="1" applyFont="1" applyFill="1" applyBorder="1" applyAlignment="1" applyProtection="1">
      <alignment horizontal="center" vertical="center" wrapText="1"/>
      <protection locked="0"/>
    </xf>
    <xf numFmtId="7" fontId="27" fillId="11" borderId="6" xfId="6" applyNumberFormat="1" applyFont="1" applyFill="1" applyBorder="1" applyAlignment="1" applyProtection="1">
      <alignment horizontal="center" vertical="center" wrapText="1"/>
      <protection locked="0"/>
    </xf>
    <xf numFmtId="7" fontId="27" fillId="11" borderId="12" xfId="6" applyNumberFormat="1" applyFont="1" applyFill="1" applyBorder="1" applyAlignment="1" applyProtection="1">
      <alignment horizontal="center" vertical="center" wrapText="1"/>
      <protection locked="0"/>
    </xf>
    <xf numFmtId="7" fontId="27" fillId="11" borderId="17" xfId="6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Border="1" applyAlignment="1" applyProtection="1">
      <alignment horizontal="left"/>
      <protection locked="0"/>
    </xf>
  </cellXfs>
  <cellStyles count="8">
    <cellStyle name="Comma" xfId="1" builtinId="3"/>
    <cellStyle name="Comma 2" xfId="7" xr:uid="{1012119F-199F-4F20-A822-1240F0B584F7}"/>
    <cellStyle name="Currency" xfId="2" builtinId="4"/>
    <cellStyle name="Currency 2" xfId="6" xr:uid="{0D8138C4-8596-4D81-9059-181588433890}"/>
    <cellStyle name="Normal" xfId="0" builtinId="0"/>
    <cellStyle name="Normal 2" xfId="4" xr:uid="{41F33E17-04A6-4F44-B7E1-D394D45FBCB4}"/>
    <cellStyle name="Percent" xfId="3" builtinId="5"/>
    <cellStyle name="Percent 2" xfId="5" xr:uid="{7CCBEBFC-1FD5-451C-9324-E9DB8CD67B6C}"/>
  </cellStyles>
  <dxfs count="58">
    <dxf>
      <font>
        <b/>
        <i val="0"/>
        <color rgb="FFFFFF00"/>
      </font>
      <fill>
        <patternFill>
          <bgColor rgb="FF0000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lor rgb="FFFFFF00"/>
      </font>
      <fill>
        <patternFill>
          <bgColor rgb="FF0000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480579</xdr:colOff>
      <xdr:row>12</xdr:row>
      <xdr:rowOff>199159</xdr:rowOff>
    </xdr:from>
    <xdr:to>
      <xdr:col>0</xdr:col>
      <xdr:colOff>1847077</xdr:colOff>
      <xdr:row>16</xdr:row>
      <xdr:rowOff>131803</xdr:rowOff>
    </xdr:to>
    <xdr:pic>
      <xdr:nvPicPr>
        <xdr:cNvPr id="2" name="Picture 1" descr="Image result for safety pictures">
          <a:extLst>
            <a:ext uri="{FF2B5EF4-FFF2-40B4-BE49-F238E27FC236}">
              <a16:creationId xmlns:a16="http://schemas.microsoft.com/office/drawing/2014/main" id="{5CFBCD94-A018-4AE0-9B18-9FC47C386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341" y="3304309"/>
          <a:ext cx="1361736" cy="1132794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523874</xdr:colOff>
      <xdr:row>24</xdr:row>
      <xdr:rowOff>20</xdr:rowOff>
    </xdr:from>
    <xdr:to>
      <xdr:col>0</xdr:col>
      <xdr:colOff>1741591</xdr:colOff>
      <xdr:row>27</xdr:row>
      <xdr:rowOff>169408</xdr:rowOff>
    </xdr:to>
    <xdr:pic>
      <xdr:nvPicPr>
        <xdr:cNvPr id="3" name="Picture 2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BF1DF742-B246-4564-8457-1B2C60F27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5962670"/>
          <a:ext cx="1217717" cy="127428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583406</xdr:colOff>
      <xdr:row>64</xdr:row>
      <xdr:rowOff>23813</xdr:rowOff>
    </xdr:from>
    <xdr:to>
      <xdr:col>0</xdr:col>
      <xdr:colOff>1687429</xdr:colOff>
      <xdr:row>68</xdr:row>
      <xdr:rowOff>381002</xdr:rowOff>
    </xdr:to>
    <xdr:pic>
      <xdr:nvPicPr>
        <xdr:cNvPr id="4" name="Picture 3" descr="Image result for financial symbol">
          <a:extLst>
            <a:ext uri="{FF2B5EF4-FFF2-40B4-BE49-F238E27FC236}">
              <a16:creationId xmlns:a16="http://schemas.microsoft.com/office/drawing/2014/main" id="{D61B76FF-05EC-4184-A1A8-E7CE03D1A1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406" y="15106650"/>
          <a:ext cx="1104023" cy="109537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555627</xdr:colOff>
      <xdr:row>72</xdr:row>
      <xdr:rowOff>97858</xdr:rowOff>
    </xdr:from>
    <xdr:to>
      <xdr:col>0</xdr:col>
      <xdr:colOff>1686833</xdr:colOff>
      <xdr:row>76</xdr:row>
      <xdr:rowOff>516568</xdr:rowOff>
    </xdr:to>
    <xdr:pic>
      <xdr:nvPicPr>
        <xdr:cNvPr id="5" name="Picture 4" descr="Image result for financial symbol">
          <a:extLst>
            <a:ext uri="{FF2B5EF4-FFF2-40B4-BE49-F238E27FC236}">
              <a16:creationId xmlns:a16="http://schemas.microsoft.com/office/drawing/2014/main" id="{23F839F9-7255-4578-8AF0-8885452A35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0389" y="17295245"/>
          <a:ext cx="1126444" cy="108069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952499</xdr:colOff>
      <xdr:row>0</xdr:row>
      <xdr:rowOff>173181</xdr:rowOff>
    </xdr:from>
    <xdr:to>
      <xdr:col>4</xdr:col>
      <xdr:colOff>4283902</xdr:colOff>
      <xdr:row>3</xdr:row>
      <xdr:rowOff>210538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E1F305-2621-4D83-91A9-236EDA73C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4" y="173181"/>
          <a:ext cx="3331403" cy="789832"/>
        </a:xfrm>
        <a:prstGeom prst="rect">
          <a:avLst/>
        </a:prstGeom>
      </xdr:spPr>
    </xdr:pic>
    <xdr:clientData/>
  </xdr:twoCellAnchor>
  <xdr:twoCellAnchor editAs="oneCell">
    <xdr:from>
      <xdr:col>0</xdr:col>
      <xdr:colOff>249382</xdr:colOff>
      <xdr:row>42</xdr:row>
      <xdr:rowOff>124691</xdr:rowOff>
    </xdr:from>
    <xdr:to>
      <xdr:col>0</xdr:col>
      <xdr:colOff>1971974</xdr:colOff>
      <xdr:row>52</xdr:row>
      <xdr:rowOff>140586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577522-695D-4A29-A4ED-68C2870FC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382" y="10792691"/>
          <a:ext cx="1722592" cy="1911370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207818</xdr:colOff>
      <xdr:row>54</xdr:row>
      <xdr:rowOff>0</xdr:rowOff>
    </xdr:from>
    <xdr:to>
      <xdr:col>0</xdr:col>
      <xdr:colOff>1935853</xdr:colOff>
      <xdr:row>63</xdr:row>
      <xdr:rowOff>21338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0C2439A-A0B1-49C0-9929-1136F5C6E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818" y="12944475"/>
          <a:ext cx="1728035" cy="1926338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34</xdr:row>
      <xdr:rowOff>96982</xdr:rowOff>
    </xdr:from>
    <xdr:to>
      <xdr:col>0</xdr:col>
      <xdr:colOff>1734540</xdr:colOff>
      <xdr:row>38</xdr:row>
      <xdr:rowOff>275464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4EBD66D-7F92-4B6D-8CE0-492585F62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" y="8679007"/>
          <a:ext cx="1277340" cy="114050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480579</xdr:colOff>
      <xdr:row>12</xdr:row>
      <xdr:rowOff>199159</xdr:rowOff>
    </xdr:from>
    <xdr:to>
      <xdr:col>0</xdr:col>
      <xdr:colOff>1847077</xdr:colOff>
      <xdr:row>16</xdr:row>
      <xdr:rowOff>131803</xdr:rowOff>
    </xdr:to>
    <xdr:pic>
      <xdr:nvPicPr>
        <xdr:cNvPr id="2" name="Picture 1" descr="Image result for safety pictures">
          <a:extLst>
            <a:ext uri="{FF2B5EF4-FFF2-40B4-BE49-F238E27FC236}">
              <a16:creationId xmlns:a16="http://schemas.microsoft.com/office/drawing/2014/main" id="{1CC73C3B-F9A5-4262-BEBE-68AE17913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341" y="3304309"/>
          <a:ext cx="1361736" cy="1132794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523874</xdr:colOff>
      <xdr:row>24</xdr:row>
      <xdr:rowOff>20</xdr:rowOff>
    </xdr:from>
    <xdr:to>
      <xdr:col>0</xdr:col>
      <xdr:colOff>1741591</xdr:colOff>
      <xdr:row>27</xdr:row>
      <xdr:rowOff>169408</xdr:rowOff>
    </xdr:to>
    <xdr:pic>
      <xdr:nvPicPr>
        <xdr:cNvPr id="3" name="Picture 2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4663836F-2E09-4688-ADD7-BE7E0323D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5962670"/>
          <a:ext cx="1217717" cy="127428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583406</xdr:colOff>
      <xdr:row>64</xdr:row>
      <xdr:rowOff>23813</xdr:rowOff>
    </xdr:from>
    <xdr:to>
      <xdr:col>0</xdr:col>
      <xdr:colOff>1687429</xdr:colOff>
      <xdr:row>68</xdr:row>
      <xdr:rowOff>381002</xdr:rowOff>
    </xdr:to>
    <xdr:pic>
      <xdr:nvPicPr>
        <xdr:cNvPr id="4" name="Picture 3" descr="Image result for financial symbol">
          <a:extLst>
            <a:ext uri="{FF2B5EF4-FFF2-40B4-BE49-F238E27FC236}">
              <a16:creationId xmlns:a16="http://schemas.microsoft.com/office/drawing/2014/main" id="{D4B0E12E-22AD-4542-A293-22D610B7A6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406" y="15106650"/>
          <a:ext cx="1104023" cy="109537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555627</xdr:colOff>
      <xdr:row>72</xdr:row>
      <xdr:rowOff>97858</xdr:rowOff>
    </xdr:from>
    <xdr:to>
      <xdr:col>0</xdr:col>
      <xdr:colOff>1686833</xdr:colOff>
      <xdr:row>76</xdr:row>
      <xdr:rowOff>516568</xdr:rowOff>
    </xdr:to>
    <xdr:pic>
      <xdr:nvPicPr>
        <xdr:cNvPr id="5" name="Picture 4" descr="Image result for financial symbol">
          <a:extLst>
            <a:ext uri="{FF2B5EF4-FFF2-40B4-BE49-F238E27FC236}">
              <a16:creationId xmlns:a16="http://schemas.microsoft.com/office/drawing/2014/main" id="{6582785A-0E8F-48A7-BFEC-1ECA59D883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60389" y="17295245"/>
          <a:ext cx="1126444" cy="1080698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952499</xdr:colOff>
      <xdr:row>0</xdr:row>
      <xdr:rowOff>173181</xdr:rowOff>
    </xdr:from>
    <xdr:to>
      <xdr:col>4</xdr:col>
      <xdr:colOff>4283902</xdr:colOff>
      <xdr:row>3</xdr:row>
      <xdr:rowOff>210538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A58C16B-B2BF-49AE-8F53-4CDA18B0C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4" y="173181"/>
          <a:ext cx="3331403" cy="789832"/>
        </a:xfrm>
        <a:prstGeom prst="rect">
          <a:avLst/>
        </a:prstGeom>
      </xdr:spPr>
    </xdr:pic>
    <xdr:clientData/>
  </xdr:twoCellAnchor>
  <xdr:twoCellAnchor editAs="oneCell">
    <xdr:from>
      <xdr:col>0</xdr:col>
      <xdr:colOff>249382</xdr:colOff>
      <xdr:row>42</xdr:row>
      <xdr:rowOff>124691</xdr:rowOff>
    </xdr:from>
    <xdr:to>
      <xdr:col>0</xdr:col>
      <xdr:colOff>1971974</xdr:colOff>
      <xdr:row>52</xdr:row>
      <xdr:rowOff>140586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D9FC202-1CEE-4C4F-88F3-9D15AE38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382" y="10792691"/>
          <a:ext cx="1722592" cy="1911370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207818</xdr:colOff>
      <xdr:row>54</xdr:row>
      <xdr:rowOff>0</xdr:rowOff>
    </xdr:from>
    <xdr:to>
      <xdr:col>0</xdr:col>
      <xdr:colOff>1935853</xdr:colOff>
      <xdr:row>63</xdr:row>
      <xdr:rowOff>21338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EE410FE-2F97-4222-95B9-8DD893FAD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818" y="12944475"/>
          <a:ext cx="1728035" cy="1926338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34</xdr:row>
      <xdr:rowOff>96982</xdr:rowOff>
    </xdr:from>
    <xdr:to>
      <xdr:col>0</xdr:col>
      <xdr:colOff>1734540</xdr:colOff>
      <xdr:row>38</xdr:row>
      <xdr:rowOff>275464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C9F0-1EE0-4B91-BD28-D3C09BA17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" y="8679007"/>
          <a:ext cx="1277340" cy="114050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2</xdr:row>
      <xdr:rowOff>19050</xdr:rowOff>
    </xdr:from>
    <xdr:to>
      <xdr:col>23</xdr:col>
      <xdr:colOff>65169</xdr:colOff>
      <xdr:row>28</xdr:row>
      <xdr:rowOff>142271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27D035-E094-447A-B219-200F63B7FF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0300" y="381000"/>
          <a:ext cx="12047619" cy="4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4E793-5825-4FF5-AFD2-D1EBAC2342DC}">
  <dimension ref="A1:K22"/>
  <sheetViews>
    <sheetView tabSelected="1" workbookViewId="0">
      <selection activeCell="I21" sqref="I21"/>
    </sheetView>
  </sheetViews>
  <sheetFormatPr defaultRowHeight="15" x14ac:dyDescent="0.25"/>
  <cols>
    <col min="1" max="1" width="4.140625" customWidth="1"/>
    <col min="2" max="2" width="52.42578125" bestFit="1" customWidth="1"/>
    <col min="3" max="3" width="2.85546875" customWidth="1"/>
    <col min="4" max="4" width="10.85546875" bestFit="1" customWidth="1"/>
    <col min="6" max="6" width="32.85546875" bestFit="1" customWidth="1"/>
  </cols>
  <sheetData>
    <row r="1" spans="1:11" x14ac:dyDescent="0.25">
      <c r="A1" s="2" t="s">
        <v>1</v>
      </c>
    </row>
    <row r="2" spans="1:11" x14ac:dyDescent="0.25">
      <c r="A2" s="2" t="s">
        <v>2</v>
      </c>
    </row>
    <row r="5" spans="1:11" x14ac:dyDescent="0.25">
      <c r="E5" s="176" t="s">
        <v>4</v>
      </c>
      <c r="F5" s="160" t="s">
        <v>154</v>
      </c>
    </row>
    <row r="6" spans="1:11" x14ac:dyDescent="0.25">
      <c r="A6" s="158">
        <v>1</v>
      </c>
      <c r="B6" t="s">
        <v>3</v>
      </c>
      <c r="E6" s="3">
        <f>54979</f>
        <v>54979</v>
      </c>
      <c r="F6" s="175" t="s">
        <v>153</v>
      </c>
    </row>
    <row r="7" spans="1:11" x14ac:dyDescent="0.25">
      <c r="A7" s="158">
        <f>1+A6</f>
        <v>2</v>
      </c>
      <c r="E7" s="3"/>
    </row>
    <row r="8" spans="1:11" x14ac:dyDescent="0.25">
      <c r="A8" s="158">
        <f>1+A7</f>
        <v>3</v>
      </c>
      <c r="B8" t="s">
        <v>164</v>
      </c>
      <c r="D8" s="1">
        <f>-SUM(Support!B12:B20)</f>
        <v>-1164</v>
      </c>
      <c r="F8" s="175" t="s">
        <v>155</v>
      </c>
    </row>
    <row r="9" spans="1:11" x14ac:dyDescent="0.25">
      <c r="A9" s="158">
        <f t="shared" ref="A9:A22" si="0">1+A8</f>
        <v>4</v>
      </c>
      <c r="B9" t="s">
        <v>6</v>
      </c>
      <c r="D9" s="6">
        <f>-ROUND(0.245*D8,0)</f>
        <v>285</v>
      </c>
    </row>
    <row r="10" spans="1:11" x14ac:dyDescent="0.25">
      <c r="A10" s="158">
        <f t="shared" si="0"/>
        <v>5</v>
      </c>
      <c r="B10" t="s">
        <v>157</v>
      </c>
      <c r="D10" s="7">
        <f>+D8+D9</f>
        <v>-879</v>
      </c>
    </row>
    <row r="11" spans="1:11" x14ac:dyDescent="0.25">
      <c r="A11" s="158">
        <f t="shared" si="0"/>
        <v>6</v>
      </c>
    </row>
    <row r="12" spans="1:11" x14ac:dyDescent="0.25">
      <c r="A12" s="158">
        <f t="shared" si="0"/>
        <v>7</v>
      </c>
      <c r="B12" t="s">
        <v>165</v>
      </c>
      <c r="E12" s="3">
        <f>+E6+D10</f>
        <v>54100</v>
      </c>
    </row>
    <row r="13" spans="1:11" x14ac:dyDescent="0.25">
      <c r="A13" s="158">
        <f t="shared" si="0"/>
        <v>8</v>
      </c>
      <c r="F13" s="175"/>
      <c r="J13" s="165">
        <v>1.25</v>
      </c>
      <c r="K13" s="3">
        <v>0</v>
      </c>
    </row>
    <row r="14" spans="1:11" x14ac:dyDescent="0.25">
      <c r="A14" s="158">
        <f t="shared" si="0"/>
        <v>9</v>
      </c>
      <c r="B14" t="s">
        <v>5</v>
      </c>
      <c r="D14" s="1">
        <f>-K14</f>
        <v>-82.43831640058086</v>
      </c>
      <c r="F14" s="179" t="s">
        <v>166</v>
      </c>
      <c r="J14" s="165">
        <f>+'PGS  Key'!M87</f>
        <v>1.2952830188679247</v>
      </c>
      <c r="K14" s="3">
        <f>+(J14-J13)/(J15-J13)*K15</f>
        <v>82.43831640058086</v>
      </c>
    </row>
    <row r="15" spans="1:11" x14ac:dyDescent="0.25">
      <c r="A15" s="158">
        <f t="shared" si="0"/>
        <v>10</v>
      </c>
      <c r="B15" t="s">
        <v>6</v>
      </c>
      <c r="D15" s="6">
        <f>-ROUND(0.245*D14,0)</f>
        <v>20</v>
      </c>
      <c r="J15" s="165">
        <v>1.3280000000000001</v>
      </c>
      <c r="K15" s="3">
        <v>142</v>
      </c>
    </row>
    <row r="16" spans="1:11" x14ac:dyDescent="0.25">
      <c r="A16" s="158">
        <f t="shared" si="0"/>
        <v>11</v>
      </c>
      <c r="B16" t="s">
        <v>86</v>
      </c>
      <c r="D16" s="7">
        <f>+D14+D15</f>
        <v>-62.43831640058086</v>
      </c>
    </row>
    <row r="17" spans="1:6" x14ac:dyDescent="0.25">
      <c r="A17" s="158">
        <f t="shared" si="0"/>
        <v>12</v>
      </c>
    </row>
    <row r="18" spans="1:6" ht="15.75" thickBot="1" x14ac:dyDescent="0.3">
      <c r="A18" s="158">
        <f t="shared" si="0"/>
        <v>13</v>
      </c>
      <c r="B18" t="s">
        <v>156</v>
      </c>
      <c r="E18" s="177">
        <f>+E12+D16</f>
        <v>54037.561683599422</v>
      </c>
      <c r="F18" s="175" t="s">
        <v>159</v>
      </c>
    </row>
    <row r="19" spans="1:6" ht="15.75" thickTop="1" x14ac:dyDescent="0.25">
      <c r="A19" s="158">
        <f t="shared" si="0"/>
        <v>14</v>
      </c>
    </row>
    <row r="20" spans="1:6" x14ac:dyDescent="0.25">
      <c r="A20" s="158">
        <f t="shared" si="0"/>
        <v>15</v>
      </c>
      <c r="B20" t="s">
        <v>160</v>
      </c>
      <c r="E20" s="3">
        <v>54029</v>
      </c>
      <c r="F20" s="175" t="s">
        <v>163</v>
      </c>
    </row>
    <row r="21" spans="1:6" x14ac:dyDescent="0.25">
      <c r="A21" s="158">
        <f t="shared" si="0"/>
        <v>16</v>
      </c>
    </row>
    <row r="22" spans="1:6" x14ac:dyDescent="0.25">
      <c r="A22" s="158">
        <f t="shared" si="0"/>
        <v>17</v>
      </c>
      <c r="B22" t="s">
        <v>161</v>
      </c>
      <c r="E22" s="178">
        <f>+E20-E18</f>
        <v>-8.5616835994223948</v>
      </c>
      <c r="F22" s="175" t="s">
        <v>162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3338C-A235-49A5-A8CE-F307417F621B}">
  <sheetPr>
    <pageSetUpPr fitToPage="1"/>
  </sheetPr>
  <dimension ref="B1:S62"/>
  <sheetViews>
    <sheetView topLeftCell="A5" zoomScale="80" zoomScaleNormal="80" workbookViewId="0">
      <selection activeCell="Q29" sqref="Q29"/>
    </sheetView>
  </sheetViews>
  <sheetFormatPr defaultRowHeight="15" x14ac:dyDescent="0.25"/>
  <cols>
    <col min="2" max="2" width="11.42578125" customWidth="1"/>
    <col min="3" max="3" width="14.85546875" customWidth="1"/>
    <col min="4" max="5" width="13.7109375" customWidth="1"/>
    <col min="6" max="6" width="13.5703125" bestFit="1" customWidth="1"/>
    <col min="7" max="7" width="11.7109375" bestFit="1" customWidth="1"/>
    <col min="8" max="8" width="10.85546875" bestFit="1" customWidth="1"/>
    <col min="9" max="9" width="10.5703125" bestFit="1" customWidth="1"/>
    <col min="10" max="10" width="14.28515625" bestFit="1" customWidth="1"/>
    <col min="11" max="11" width="11.28515625" bestFit="1" customWidth="1"/>
    <col min="12" max="12" width="16.7109375" bestFit="1" customWidth="1"/>
    <col min="13" max="13" width="10.5703125" bestFit="1" customWidth="1"/>
    <col min="14" max="14" width="20.7109375" customWidth="1"/>
    <col min="15" max="15" width="4.7109375" customWidth="1"/>
    <col min="16" max="16" width="18.42578125" bestFit="1" customWidth="1"/>
    <col min="17" max="17" width="13.140625" bestFit="1" customWidth="1"/>
    <col min="18" max="18" width="11.5703125" bestFit="1" customWidth="1"/>
    <col min="19" max="19" width="15.85546875" customWidth="1"/>
    <col min="20" max="21" width="9.42578125" bestFit="1" customWidth="1"/>
    <col min="24" max="24" width="10.5703125" bestFit="1" customWidth="1"/>
  </cols>
  <sheetData>
    <row r="1" spans="2:19" x14ac:dyDescent="0.25">
      <c r="B1" s="2" t="s">
        <v>1</v>
      </c>
    </row>
    <row r="2" spans="2:19" s="2" customFormat="1" x14ac:dyDescent="0.25">
      <c r="B2" s="140"/>
      <c r="D2" s="140" t="s">
        <v>87</v>
      </c>
      <c r="E2" s="140" t="s">
        <v>88</v>
      </c>
      <c r="F2" s="140"/>
      <c r="G2" s="140"/>
      <c r="H2" s="140"/>
      <c r="I2" s="140"/>
      <c r="J2" s="140"/>
      <c r="K2" s="140" t="s">
        <v>88</v>
      </c>
      <c r="L2" s="140"/>
    </row>
    <row r="3" spans="2:19" s="2" customFormat="1" x14ac:dyDescent="0.25">
      <c r="B3" s="141" t="s">
        <v>89</v>
      </c>
      <c r="C3" s="140" t="s">
        <v>90</v>
      </c>
      <c r="D3" s="140" t="s">
        <v>91</v>
      </c>
      <c r="E3" s="140" t="s">
        <v>92</v>
      </c>
      <c r="G3" s="140" t="s">
        <v>93</v>
      </c>
      <c r="H3" s="2" t="s">
        <v>94</v>
      </c>
      <c r="J3" s="2" t="s">
        <v>95</v>
      </c>
      <c r="K3" s="140" t="s">
        <v>96</v>
      </c>
      <c r="L3" s="140" t="s">
        <v>97</v>
      </c>
      <c r="S3" s="140" t="s">
        <v>98</v>
      </c>
    </row>
    <row r="4" spans="2:19" x14ac:dyDescent="0.25">
      <c r="B4" s="142">
        <f>+C19</f>
        <v>52.9</v>
      </c>
      <c r="C4" s="140" t="s">
        <v>99</v>
      </c>
      <c r="D4" s="143" t="s">
        <v>100</v>
      </c>
      <c r="E4" s="143" t="s">
        <v>101</v>
      </c>
      <c r="F4" s="143" t="s">
        <v>102</v>
      </c>
      <c r="G4" s="143" t="s">
        <v>103</v>
      </c>
      <c r="H4" s="143" t="s">
        <v>103</v>
      </c>
      <c r="I4" s="143" t="s">
        <v>104</v>
      </c>
      <c r="J4" s="143" t="s">
        <v>105</v>
      </c>
      <c r="K4" s="143" t="s">
        <v>101</v>
      </c>
      <c r="L4" s="143" t="s">
        <v>99</v>
      </c>
      <c r="N4" s="143" t="s">
        <v>106</v>
      </c>
    </row>
    <row r="5" spans="2:19" ht="27" customHeight="1" x14ac:dyDescent="0.25">
      <c r="B5" s="5"/>
      <c r="C5" s="5">
        <f>+C6+$D$18</f>
        <v>58.420000000000009</v>
      </c>
      <c r="D5" s="5">
        <f>+D6+$D$18</f>
        <v>5.5200000000000005</v>
      </c>
      <c r="E5" s="144">
        <f>+E6</f>
        <v>2.3000000000000003</v>
      </c>
      <c r="F5" s="145">
        <v>0.05</v>
      </c>
      <c r="G5" s="144">
        <f t="shared" ref="G5:G10" si="0">+E5*P$36</f>
        <v>1.6321969777779273</v>
      </c>
      <c r="H5" s="144">
        <f t="shared" ref="H5:H10" si="1">+E5*P$33</f>
        <v>0.48826135466650106</v>
      </c>
      <c r="I5" s="144">
        <f t="shared" ref="I5:I10" si="2">+G5*$Q$29</f>
        <v>0.11425378844445493</v>
      </c>
      <c r="J5" s="144">
        <f t="shared" ref="J5:J10" si="3">+G5*$Q$28</f>
        <v>6.5287879111117095E-2</v>
      </c>
      <c r="K5" s="146">
        <f t="shared" ref="K5:K10" si="4">+L5-$L$19</f>
        <v>3.2200000000000131</v>
      </c>
      <c r="L5" s="5">
        <f>+C5-E5</f>
        <v>56.120000000000012</v>
      </c>
      <c r="M5" s="5">
        <f t="shared" ref="M5:M10" si="5">+C$19+D5-E5</f>
        <v>56.120000000000005</v>
      </c>
      <c r="N5" s="5">
        <f>+M5-L5</f>
        <v>0</v>
      </c>
      <c r="O5" s="5"/>
      <c r="P5" s="4">
        <f>+E5-G5-H5-I5-J5</f>
        <v>0</v>
      </c>
      <c r="Q5" s="147">
        <f>SUM(G5:J5)</f>
        <v>2.2999999999999998</v>
      </c>
      <c r="R5" s="146">
        <f>+Q5-E5</f>
        <v>0</v>
      </c>
      <c r="S5" s="5">
        <f>+Q5/0.74655</f>
        <v>3.0808385238764981</v>
      </c>
    </row>
    <row r="6" spans="2:19" ht="27" customHeight="1" thickBot="1" x14ac:dyDescent="0.3">
      <c r="B6" s="5"/>
      <c r="C6" s="5">
        <f>+C7+$D$18</f>
        <v>57.960000000000008</v>
      </c>
      <c r="D6" s="5">
        <f>+D7+$D$18</f>
        <v>5.0600000000000005</v>
      </c>
      <c r="E6" s="144">
        <f>+E7</f>
        <v>2.3000000000000003</v>
      </c>
      <c r="F6" s="145">
        <v>0.05</v>
      </c>
      <c r="G6" s="144">
        <f t="shared" si="0"/>
        <v>1.6321969777779273</v>
      </c>
      <c r="H6" s="144">
        <f t="shared" si="1"/>
        <v>0.48826135466650106</v>
      </c>
      <c r="I6" s="144">
        <f t="shared" si="2"/>
        <v>0.11425378844445493</v>
      </c>
      <c r="J6" s="144">
        <f t="shared" si="3"/>
        <v>6.5287879111117095E-2</v>
      </c>
      <c r="K6" s="146">
        <f t="shared" si="4"/>
        <v>2.7600000000000122</v>
      </c>
      <c r="L6" s="5">
        <f t="shared" ref="L6:L19" si="6">+C6-E6</f>
        <v>55.660000000000011</v>
      </c>
      <c r="M6" s="5">
        <f t="shared" si="5"/>
        <v>55.660000000000004</v>
      </c>
      <c r="N6" s="5">
        <f t="shared" ref="N6:N19" si="7">+M6-L6</f>
        <v>0</v>
      </c>
      <c r="O6" s="5"/>
      <c r="P6" s="4">
        <f t="shared" ref="P6:P19" si="8">+E6-G6-H6-I6-J6</f>
        <v>0</v>
      </c>
      <c r="Q6" s="147">
        <f t="shared" ref="Q6:Q19" si="9">SUM(G6:J6)</f>
        <v>2.2999999999999998</v>
      </c>
      <c r="R6" s="146">
        <f t="shared" ref="R6:R19" si="10">+Q6-E6</f>
        <v>0</v>
      </c>
      <c r="S6" s="5">
        <f t="shared" ref="S6:S19" si="11">+Q6/0.74655</f>
        <v>3.0808385238764981</v>
      </c>
    </row>
    <row r="7" spans="2:19" ht="27" customHeight="1" thickBot="1" x14ac:dyDescent="0.3">
      <c r="B7" s="5"/>
      <c r="C7" s="148">
        <f>C8+$D$18</f>
        <v>57.500000000000007</v>
      </c>
      <c r="D7" s="149">
        <f>+D8+$D$18</f>
        <v>4.6000000000000005</v>
      </c>
      <c r="E7" s="150">
        <f>+E8+$E$17</f>
        <v>2.3000000000000003</v>
      </c>
      <c r="F7" s="151">
        <v>0.05</v>
      </c>
      <c r="G7" s="150">
        <f t="shared" si="0"/>
        <v>1.6321969777779273</v>
      </c>
      <c r="H7" s="150">
        <f t="shared" si="1"/>
        <v>0.48826135466650106</v>
      </c>
      <c r="I7" s="150">
        <f t="shared" si="2"/>
        <v>0.11425378844445493</v>
      </c>
      <c r="J7" s="150">
        <f t="shared" si="3"/>
        <v>6.5287879111117095E-2</v>
      </c>
      <c r="K7" s="152">
        <f t="shared" si="4"/>
        <v>2.3000000000000114</v>
      </c>
      <c r="L7" s="149">
        <f t="shared" si="6"/>
        <v>55.20000000000001</v>
      </c>
      <c r="M7" s="5">
        <f t="shared" si="5"/>
        <v>55.2</v>
      </c>
      <c r="N7" s="5">
        <f t="shared" si="7"/>
        <v>0</v>
      </c>
      <c r="O7" s="5"/>
      <c r="P7" s="4">
        <f t="shared" si="8"/>
        <v>0</v>
      </c>
      <c r="Q7" s="147">
        <f t="shared" si="9"/>
        <v>2.2999999999999998</v>
      </c>
      <c r="R7" s="146">
        <f t="shared" si="10"/>
        <v>0</v>
      </c>
      <c r="S7" s="5">
        <f t="shared" si="11"/>
        <v>3.0808385238764981</v>
      </c>
    </row>
    <row r="8" spans="2:19" ht="27" customHeight="1" thickBot="1" x14ac:dyDescent="0.3">
      <c r="B8" s="5"/>
      <c r="C8" s="5">
        <f>+C9+$D$18</f>
        <v>57.040000000000006</v>
      </c>
      <c r="D8" s="5">
        <f>+D9+$D$18</f>
        <v>4.1400000000000006</v>
      </c>
      <c r="E8" s="144">
        <f>+E9</f>
        <v>1.84</v>
      </c>
      <c r="F8" s="145">
        <v>0.04</v>
      </c>
      <c r="G8" s="144">
        <f t="shared" si="0"/>
        <v>1.3057575822223417</v>
      </c>
      <c r="H8" s="144">
        <f t="shared" si="1"/>
        <v>0.3906090837332008</v>
      </c>
      <c r="I8" s="144">
        <f t="shared" si="2"/>
        <v>9.1403030755563927E-2</v>
      </c>
      <c r="J8" s="144">
        <f t="shared" si="3"/>
        <v>5.2230303288893672E-2</v>
      </c>
      <c r="K8" s="146">
        <f t="shared" si="4"/>
        <v>2.3000000000000043</v>
      </c>
      <c r="L8" s="5">
        <f t="shared" si="6"/>
        <v>55.2</v>
      </c>
      <c r="M8" s="5">
        <f t="shared" si="5"/>
        <v>55.199999999999996</v>
      </c>
      <c r="N8" s="5">
        <f t="shared" si="7"/>
        <v>0</v>
      </c>
      <c r="O8" s="5"/>
      <c r="P8" s="4">
        <f t="shared" si="8"/>
        <v>0</v>
      </c>
      <c r="Q8" s="147">
        <f t="shared" si="9"/>
        <v>1.8400000000000003</v>
      </c>
      <c r="R8" s="146">
        <f t="shared" si="10"/>
        <v>0</v>
      </c>
      <c r="S8" s="5">
        <f t="shared" si="11"/>
        <v>2.4646708191011992</v>
      </c>
    </row>
    <row r="9" spans="2:19" ht="27" customHeight="1" thickBot="1" x14ac:dyDescent="0.3">
      <c r="B9" s="5"/>
      <c r="C9" s="148">
        <f>C10+$D$18</f>
        <v>56.580000000000005</v>
      </c>
      <c r="D9" s="149">
        <f>+D10+$D$18</f>
        <v>3.68</v>
      </c>
      <c r="E9" s="150">
        <f>+E10+$E$17</f>
        <v>1.84</v>
      </c>
      <c r="F9" s="151">
        <v>0.04</v>
      </c>
      <c r="G9" s="150">
        <f t="shared" si="0"/>
        <v>1.3057575822223417</v>
      </c>
      <c r="H9" s="150">
        <f t="shared" si="1"/>
        <v>0.3906090837332008</v>
      </c>
      <c r="I9" s="150">
        <f t="shared" si="2"/>
        <v>9.1403030755563927E-2</v>
      </c>
      <c r="J9" s="150">
        <f t="shared" si="3"/>
        <v>5.2230303288893672E-2</v>
      </c>
      <c r="K9" s="152">
        <f t="shared" si="4"/>
        <v>1.8400000000000034</v>
      </c>
      <c r="L9" s="149">
        <f t="shared" si="6"/>
        <v>54.74</v>
      </c>
      <c r="M9" s="5">
        <f t="shared" si="5"/>
        <v>54.739999999999995</v>
      </c>
      <c r="N9" s="5">
        <f t="shared" si="7"/>
        <v>0</v>
      </c>
      <c r="O9" s="5"/>
      <c r="P9" s="4">
        <f t="shared" si="8"/>
        <v>0</v>
      </c>
      <c r="Q9" s="147">
        <f t="shared" si="9"/>
        <v>1.8400000000000003</v>
      </c>
      <c r="R9" s="146">
        <f t="shared" si="10"/>
        <v>0</v>
      </c>
      <c r="S9" s="5">
        <f t="shared" si="11"/>
        <v>2.4646708191011992</v>
      </c>
    </row>
    <row r="10" spans="2:19" ht="27" customHeight="1" x14ac:dyDescent="0.25">
      <c r="B10" s="5"/>
      <c r="C10" s="5">
        <f>+C12+$D$18</f>
        <v>56.120000000000005</v>
      </c>
      <c r="D10" s="5">
        <f>+D12+$D$18</f>
        <v>3.22</v>
      </c>
      <c r="E10" s="144">
        <f>+E12</f>
        <v>1.3800000000000001</v>
      </c>
      <c r="F10" s="145">
        <v>0.03</v>
      </c>
      <c r="G10" s="144">
        <f t="shared" si="0"/>
        <v>0.9793181866667563</v>
      </c>
      <c r="H10" s="144">
        <f t="shared" si="1"/>
        <v>0.29295681279990066</v>
      </c>
      <c r="I10" s="153">
        <f t="shared" si="2"/>
        <v>6.8552273066672942E-2</v>
      </c>
      <c r="J10" s="153">
        <f t="shared" si="3"/>
        <v>3.9172727466670255E-2</v>
      </c>
      <c r="K10" s="146">
        <f t="shared" si="4"/>
        <v>1.8400000000000034</v>
      </c>
      <c r="L10" s="5">
        <f t="shared" si="6"/>
        <v>54.74</v>
      </c>
      <c r="M10" s="5">
        <f t="shared" si="5"/>
        <v>54.739999999999995</v>
      </c>
      <c r="N10" s="5">
        <f t="shared" si="7"/>
        <v>0</v>
      </c>
      <c r="O10" s="5"/>
      <c r="P10" s="4">
        <f t="shared" si="8"/>
        <v>0</v>
      </c>
      <c r="Q10" s="147">
        <f t="shared" si="9"/>
        <v>1.3800000000000001</v>
      </c>
      <c r="R10" s="146">
        <f t="shared" si="10"/>
        <v>0</v>
      </c>
      <c r="S10" s="5">
        <f t="shared" si="11"/>
        <v>1.8485031143258992</v>
      </c>
    </row>
    <row r="11" spans="2:19" ht="4.9000000000000004" customHeight="1" thickBot="1" x14ac:dyDescent="0.3">
      <c r="B11" s="5"/>
      <c r="C11" s="5"/>
      <c r="D11" s="5"/>
      <c r="E11" s="144"/>
      <c r="F11" s="145"/>
      <c r="G11" s="144"/>
      <c r="H11" s="144"/>
      <c r="I11" s="153"/>
      <c r="J11" s="153"/>
      <c r="K11" s="146"/>
      <c r="L11" s="5"/>
      <c r="M11" s="5"/>
      <c r="N11" s="5"/>
      <c r="O11" s="5"/>
      <c r="P11" s="4"/>
      <c r="Q11" s="147"/>
      <c r="R11" s="146"/>
      <c r="S11" s="5">
        <f t="shared" si="11"/>
        <v>0</v>
      </c>
    </row>
    <row r="12" spans="2:19" ht="27" customHeight="1" thickBot="1" x14ac:dyDescent="0.3">
      <c r="B12" s="5"/>
      <c r="C12" s="148">
        <f>C13+$D$18</f>
        <v>55.660000000000004</v>
      </c>
      <c r="D12" s="149">
        <f>+D13+$D$18</f>
        <v>2.7600000000000002</v>
      </c>
      <c r="E12" s="150">
        <f>+E13+$E$17</f>
        <v>1.3800000000000001</v>
      </c>
      <c r="F12" s="151">
        <v>0.03</v>
      </c>
      <c r="G12" s="150">
        <f>+E12*P$36</f>
        <v>0.9793181866667563</v>
      </c>
      <c r="H12" s="150">
        <f>+E12*P$33</f>
        <v>0.29295681279990066</v>
      </c>
      <c r="I12" s="154">
        <f>+G12*$Q$29</f>
        <v>6.8552273066672942E-2</v>
      </c>
      <c r="J12" s="154">
        <f>+G12*$Q$28</f>
        <v>3.9172727466670255E-2</v>
      </c>
      <c r="K12" s="152">
        <f>+L12-$L$19</f>
        <v>1.3800000000000026</v>
      </c>
      <c r="L12" s="149">
        <f t="shared" si="6"/>
        <v>54.28</v>
      </c>
      <c r="M12" s="5">
        <f>+C$19+D12-E12</f>
        <v>54.279999999999994</v>
      </c>
      <c r="N12" s="5">
        <f t="shared" si="7"/>
        <v>0</v>
      </c>
      <c r="O12" s="5"/>
      <c r="P12" s="4">
        <f t="shared" si="8"/>
        <v>0</v>
      </c>
      <c r="Q12" s="147">
        <f t="shared" si="9"/>
        <v>1.3800000000000001</v>
      </c>
      <c r="R12" s="146">
        <f t="shared" si="10"/>
        <v>0</v>
      </c>
      <c r="S12" s="5">
        <f t="shared" si="11"/>
        <v>1.8485031143258992</v>
      </c>
    </row>
    <row r="13" spans="2:19" ht="27" customHeight="1" thickBot="1" x14ac:dyDescent="0.3">
      <c r="B13" s="5"/>
      <c r="C13" s="5">
        <f>+C14+$D$18</f>
        <v>55.2</v>
      </c>
      <c r="D13" s="5">
        <f>+D14+$D$18</f>
        <v>2.3000000000000003</v>
      </c>
      <c r="E13" s="144">
        <f>+E14</f>
        <v>0.92</v>
      </c>
      <c r="F13" s="145">
        <v>0.02</v>
      </c>
      <c r="G13" s="144">
        <f>+E13*P$36</f>
        <v>0.65287879111117086</v>
      </c>
      <c r="H13" s="144">
        <f>+E13*P$33</f>
        <v>0.1953045418666004</v>
      </c>
      <c r="I13" s="153">
        <f>+G13*$Q$29</f>
        <v>4.5701515377781964E-2</v>
      </c>
      <c r="J13" s="153">
        <f>+G13*$Q$28</f>
        <v>2.6115151644446836E-2</v>
      </c>
      <c r="K13" s="146">
        <f>+L13-$L$19</f>
        <v>1.3800000000000026</v>
      </c>
      <c r="L13" s="5">
        <f t="shared" si="6"/>
        <v>54.28</v>
      </c>
      <c r="M13" s="5">
        <f>+C$19+D13-E13</f>
        <v>54.279999999999994</v>
      </c>
      <c r="N13" s="5">
        <f t="shared" si="7"/>
        <v>0</v>
      </c>
      <c r="O13" s="5"/>
      <c r="P13" s="4">
        <f t="shared" si="8"/>
        <v>0</v>
      </c>
      <c r="Q13" s="147">
        <f t="shared" si="9"/>
        <v>0.92000000000000015</v>
      </c>
      <c r="R13" s="146">
        <f t="shared" si="10"/>
        <v>0</v>
      </c>
      <c r="S13" s="5">
        <f t="shared" si="11"/>
        <v>1.2323354095505996</v>
      </c>
    </row>
    <row r="14" spans="2:19" ht="27" customHeight="1" thickBot="1" x14ac:dyDescent="0.3">
      <c r="B14" s="5"/>
      <c r="C14" s="148">
        <f>C15+$D$18</f>
        <v>54.74</v>
      </c>
      <c r="D14" s="149">
        <f>+D15+$D$18</f>
        <v>1.84</v>
      </c>
      <c r="E14" s="150">
        <f>+E15+E17</f>
        <v>0.92</v>
      </c>
      <c r="F14" s="151">
        <v>0.02</v>
      </c>
      <c r="G14" s="150">
        <f>+E14*P$36</f>
        <v>0.65287879111117086</v>
      </c>
      <c r="H14" s="150">
        <f>+E14*P$33</f>
        <v>0.1953045418666004</v>
      </c>
      <c r="I14" s="154">
        <f>+G14*$Q$29</f>
        <v>4.5701515377781964E-2</v>
      </c>
      <c r="J14" s="154">
        <f>+G14*$Q$28</f>
        <v>2.6115151644446836E-2</v>
      </c>
      <c r="K14" s="152">
        <f>+L14-$L$19</f>
        <v>0.92000000000000171</v>
      </c>
      <c r="L14" s="149">
        <f t="shared" si="6"/>
        <v>53.82</v>
      </c>
      <c r="M14" s="5">
        <f>+C$19+D14-E14</f>
        <v>53.82</v>
      </c>
      <c r="N14" s="5">
        <f t="shared" si="7"/>
        <v>0</v>
      </c>
      <c r="O14" s="5"/>
      <c r="P14" s="4">
        <f t="shared" si="8"/>
        <v>0</v>
      </c>
      <c r="Q14" s="147">
        <f t="shared" si="9"/>
        <v>0.92000000000000015</v>
      </c>
      <c r="R14" s="146">
        <f t="shared" si="10"/>
        <v>0</v>
      </c>
      <c r="S14" s="5">
        <f t="shared" si="11"/>
        <v>1.2323354095505996</v>
      </c>
    </row>
    <row r="15" spans="2:19" ht="27" customHeight="1" x14ac:dyDescent="0.25">
      <c r="B15" s="5"/>
      <c r="C15" s="5">
        <f>+C17+$D$18</f>
        <v>54.28</v>
      </c>
      <c r="D15" s="5">
        <f>+D17+$D$18</f>
        <v>1.3800000000000001</v>
      </c>
      <c r="E15" s="144">
        <f>+E17</f>
        <v>0.46</v>
      </c>
      <c r="F15" s="145">
        <v>0.01</v>
      </c>
      <c r="G15" s="144">
        <f>+E15*P$36</f>
        <v>0.32643939555558543</v>
      </c>
      <c r="H15" s="144">
        <f>+E15*P$33</f>
        <v>9.76522709333002E-2</v>
      </c>
      <c r="I15" s="153">
        <f>+G15*$Q$29</f>
        <v>2.2850757688890982E-2</v>
      </c>
      <c r="J15" s="153">
        <f>+G15*$Q$28</f>
        <v>1.3057575822223418E-2</v>
      </c>
      <c r="K15" s="146">
        <f>+L15-$L$19</f>
        <v>0.92000000000000171</v>
      </c>
      <c r="L15" s="5">
        <f t="shared" si="6"/>
        <v>53.82</v>
      </c>
      <c r="M15" s="5">
        <f>+C$19+D15-E15</f>
        <v>53.82</v>
      </c>
      <c r="N15" s="5">
        <f t="shared" si="7"/>
        <v>0</v>
      </c>
      <c r="O15" s="5"/>
      <c r="P15" s="4">
        <f t="shared" si="8"/>
        <v>0</v>
      </c>
      <c r="Q15" s="147">
        <f t="shared" si="9"/>
        <v>0.46000000000000008</v>
      </c>
      <c r="R15" s="146">
        <f t="shared" si="10"/>
        <v>0</v>
      </c>
      <c r="S15" s="5">
        <f t="shared" si="11"/>
        <v>0.61616770477529981</v>
      </c>
    </row>
    <row r="16" spans="2:19" ht="4.9000000000000004" customHeight="1" thickBot="1" x14ac:dyDescent="0.3">
      <c r="B16" s="5"/>
      <c r="C16" s="5"/>
      <c r="D16" s="5"/>
      <c r="E16" s="144"/>
      <c r="F16" s="145"/>
      <c r="G16" s="144"/>
      <c r="H16" s="144"/>
      <c r="I16" s="153"/>
      <c r="J16" s="153"/>
      <c r="K16" s="146"/>
      <c r="L16" s="5"/>
      <c r="M16" s="5"/>
      <c r="N16" s="5"/>
      <c r="O16" s="5"/>
      <c r="P16" s="4"/>
      <c r="Q16" s="147"/>
      <c r="R16" s="146"/>
      <c r="S16" s="5">
        <f t="shared" si="11"/>
        <v>0</v>
      </c>
    </row>
    <row r="17" spans="2:19" ht="27" customHeight="1" thickBot="1" x14ac:dyDescent="0.3">
      <c r="B17" s="5"/>
      <c r="C17" s="148">
        <f>C18+$D$18</f>
        <v>53.82</v>
      </c>
      <c r="D17" s="149">
        <f>+D18*2</f>
        <v>0.92</v>
      </c>
      <c r="E17" s="155">
        <f>+R43</f>
        <v>0.46</v>
      </c>
      <c r="F17" s="151">
        <v>0.01</v>
      </c>
      <c r="G17" s="150">
        <f>+E17*P$36</f>
        <v>0.32643939555558543</v>
      </c>
      <c r="H17" s="150">
        <f>+E17*P$33</f>
        <v>9.76522709333002E-2</v>
      </c>
      <c r="I17" s="154">
        <f>+G17*$Q$29</f>
        <v>2.2850757688890982E-2</v>
      </c>
      <c r="J17" s="154">
        <f>+G17*$Q$28</f>
        <v>1.3057575822223418E-2</v>
      </c>
      <c r="K17" s="152">
        <f>+L17-$L$19</f>
        <v>0.46000000000000085</v>
      </c>
      <c r="L17" s="149">
        <f t="shared" si="6"/>
        <v>53.36</v>
      </c>
      <c r="M17" s="5">
        <f>+C$19+D17-E17</f>
        <v>53.36</v>
      </c>
      <c r="N17" s="5">
        <f t="shared" si="7"/>
        <v>0</v>
      </c>
      <c r="O17" s="5"/>
      <c r="P17" s="4">
        <f t="shared" si="8"/>
        <v>0</v>
      </c>
      <c r="Q17" s="147">
        <f t="shared" si="9"/>
        <v>0.46000000000000008</v>
      </c>
      <c r="R17" s="146">
        <f t="shared" si="10"/>
        <v>0</v>
      </c>
      <c r="S17" s="5">
        <f t="shared" si="11"/>
        <v>0.61616770477529981</v>
      </c>
    </row>
    <row r="18" spans="2:19" ht="27" customHeight="1" thickBot="1" x14ac:dyDescent="0.3">
      <c r="B18" s="5"/>
      <c r="C18" s="5">
        <f>+C19+D18</f>
        <v>53.36</v>
      </c>
      <c r="D18" s="156">
        <f>+R43</f>
        <v>0.46</v>
      </c>
      <c r="E18" s="144">
        <v>0</v>
      </c>
      <c r="F18" s="145">
        <v>0</v>
      </c>
      <c r="G18" s="144">
        <f>+E18*P$36</f>
        <v>0</v>
      </c>
      <c r="H18" s="144">
        <f>+E18*P$33</f>
        <v>0</v>
      </c>
      <c r="I18" s="144">
        <f>+G18*$Q$29</f>
        <v>0</v>
      </c>
      <c r="J18" s="144">
        <f>+G18*$Q$28</f>
        <v>0</v>
      </c>
      <c r="K18" s="146">
        <f>+L18-L19</f>
        <v>0.46000000000000085</v>
      </c>
      <c r="L18" s="5">
        <f t="shared" si="6"/>
        <v>53.36</v>
      </c>
      <c r="M18" s="5">
        <f>+C$19+D18-E18</f>
        <v>53.36</v>
      </c>
      <c r="N18" s="5">
        <f t="shared" si="7"/>
        <v>0</v>
      </c>
      <c r="O18" s="5"/>
      <c r="P18" s="4">
        <f t="shared" si="8"/>
        <v>0</v>
      </c>
      <c r="Q18" s="147">
        <f t="shared" si="9"/>
        <v>0</v>
      </c>
      <c r="R18" s="146">
        <f t="shared" si="10"/>
        <v>0</v>
      </c>
      <c r="S18" s="5">
        <f t="shared" si="11"/>
        <v>0</v>
      </c>
    </row>
    <row r="19" spans="2:19" ht="27" customHeight="1" thickBot="1" x14ac:dyDescent="0.3">
      <c r="B19" s="5"/>
      <c r="C19" s="157">
        <v>52.9</v>
      </c>
      <c r="D19" s="5">
        <v>0</v>
      </c>
      <c r="E19" s="144">
        <v>0</v>
      </c>
      <c r="F19" s="145">
        <v>0</v>
      </c>
      <c r="G19" s="144">
        <f>+E19*P$36</f>
        <v>0</v>
      </c>
      <c r="H19" s="144">
        <f>+E19*P$33</f>
        <v>0</v>
      </c>
      <c r="I19" s="144">
        <f>+G19*$Q$29</f>
        <v>0</v>
      </c>
      <c r="J19" s="144">
        <f>+G19*$Q$28</f>
        <v>0</v>
      </c>
      <c r="K19" s="5" t="s">
        <v>107</v>
      </c>
      <c r="L19" s="5">
        <f t="shared" si="6"/>
        <v>52.9</v>
      </c>
      <c r="M19" s="5">
        <f>+C$19+D19-E19</f>
        <v>52.9</v>
      </c>
      <c r="N19" s="5">
        <f t="shared" si="7"/>
        <v>0</v>
      </c>
      <c r="O19" s="5"/>
      <c r="P19" s="4">
        <f t="shared" si="8"/>
        <v>0</v>
      </c>
      <c r="Q19" s="147">
        <f t="shared" si="9"/>
        <v>0</v>
      </c>
      <c r="R19" s="146">
        <f t="shared" si="10"/>
        <v>0</v>
      </c>
      <c r="S19" s="5">
        <f t="shared" si="11"/>
        <v>0</v>
      </c>
    </row>
    <row r="20" spans="2:19" x14ac:dyDescent="0.25">
      <c r="B20" s="5"/>
      <c r="C20" s="5"/>
      <c r="D20" s="5"/>
      <c r="E20" s="5"/>
      <c r="K20" s="5"/>
      <c r="L20" s="5"/>
      <c r="N20" s="5"/>
      <c r="O20" s="5"/>
    </row>
    <row r="21" spans="2:19" x14ac:dyDescent="0.25">
      <c r="B21" s="5"/>
      <c r="C21" s="5"/>
      <c r="D21" s="5"/>
      <c r="E21" s="5"/>
    </row>
    <row r="22" spans="2:19" x14ac:dyDescent="0.25">
      <c r="B22" s="5" t="str">
        <f ca="1">CELL("filename")</f>
        <v>H:\Regulatory Filings with FPSC\Docket No. 20XXXXXX-GU (Potential GAS RC)\Discovery\OPC 1st POD (Nos. 1-45)\CW\[OPC POD 14.3 - 2019 PGS BSC.xlsx]Summary</v>
      </c>
      <c r="C22" s="5"/>
      <c r="D22" s="5"/>
      <c r="E22" s="5"/>
    </row>
    <row r="23" spans="2:19" x14ac:dyDescent="0.25">
      <c r="B23" s="5"/>
      <c r="C23" s="5"/>
      <c r="D23" s="5"/>
      <c r="E23" s="5"/>
      <c r="N23" s="146"/>
      <c r="O23" s="146"/>
    </row>
    <row r="24" spans="2:19" x14ac:dyDescent="0.25">
      <c r="B24" s="5"/>
      <c r="C24" s="5"/>
      <c r="D24" s="5"/>
      <c r="E24" s="5"/>
    </row>
    <row r="25" spans="2:19" ht="21" customHeight="1" x14ac:dyDescent="0.25">
      <c r="B25" s="5"/>
      <c r="C25" s="5"/>
      <c r="D25" s="5"/>
      <c r="E25" s="5"/>
      <c r="G25" s="2" t="s">
        <v>108</v>
      </c>
      <c r="I25" s="140" t="s">
        <v>93</v>
      </c>
      <c r="J25" s="158"/>
      <c r="K25" s="158" t="s">
        <v>109</v>
      </c>
      <c r="M25" s="158"/>
      <c r="P25" s="143" t="s">
        <v>110</v>
      </c>
    </row>
    <row r="26" spans="2:19" ht="21" customHeight="1" x14ac:dyDescent="0.4">
      <c r="B26" s="5"/>
      <c r="F26" s="5"/>
      <c r="G26" s="159" t="s">
        <v>111</v>
      </c>
      <c r="I26" s="143" t="s">
        <v>112</v>
      </c>
      <c r="J26" s="160"/>
      <c r="K26" s="160" t="s">
        <v>113</v>
      </c>
      <c r="M26" s="160" t="s">
        <v>114</v>
      </c>
      <c r="P26" s="143" t="s">
        <v>115</v>
      </c>
    </row>
    <row r="27" spans="2:19" ht="21" customHeight="1" x14ac:dyDescent="0.25">
      <c r="B27" s="5"/>
      <c r="F27" s="5" t="s">
        <v>109</v>
      </c>
      <c r="G27" s="161">
        <v>1971750</v>
      </c>
      <c r="H27" t="s">
        <v>116</v>
      </c>
      <c r="I27" s="1"/>
      <c r="J27" s="1" t="str">
        <f>+F27</f>
        <v>401K</v>
      </c>
      <c r="K27" s="1">
        <f>+G27/75</f>
        <v>26290</v>
      </c>
      <c r="M27" s="1">
        <f>+K27*0.74655</f>
        <v>19626.799500000001</v>
      </c>
      <c r="N27" t="s">
        <v>117</v>
      </c>
      <c r="O27" t="s">
        <v>118</v>
      </c>
      <c r="P27" s="1">
        <f>+K27*25</f>
        <v>657250</v>
      </c>
      <c r="Q27" t="s">
        <v>119</v>
      </c>
      <c r="R27" s="1"/>
    </row>
    <row r="28" spans="2:19" ht="21" customHeight="1" x14ac:dyDescent="0.25">
      <c r="B28" s="5"/>
      <c r="F28" s="5"/>
      <c r="G28" s="5"/>
      <c r="H28" s="5"/>
      <c r="I28" s="1"/>
      <c r="J28" s="1"/>
      <c r="K28" s="1"/>
      <c r="M28" s="1"/>
      <c r="N28" t="s">
        <v>120</v>
      </c>
      <c r="O28" t="s">
        <v>121</v>
      </c>
      <c r="P28" s="1">
        <f>+P30*Q28</f>
        <v>87884.2</v>
      </c>
      <c r="Q28" s="162">
        <v>0.04</v>
      </c>
      <c r="R28" t="s">
        <v>122</v>
      </c>
      <c r="S28" s="4"/>
    </row>
    <row r="29" spans="2:19" ht="21" customHeight="1" x14ac:dyDescent="0.25">
      <c r="B29" s="5"/>
      <c r="F29" s="5"/>
      <c r="G29" s="5"/>
      <c r="H29" s="5"/>
      <c r="I29" s="1"/>
      <c r="J29" s="1"/>
      <c r="K29" s="1"/>
      <c r="N29" t="s">
        <v>123</v>
      </c>
      <c r="O29" t="s">
        <v>124</v>
      </c>
      <c r="P29" s="1">
        <f>+P30*Q29</f>
        <v>153797.35</v>
      </c>
      <c r="Q29" s="163">
        <v>7.0000000000000007E-2</v>
      </c>
      <c r="R29" t="s">
        <v>122</v>
      </c>
    </row>
    <row r="30" spans="2:19" ht="21" customHeight="1" x14ac:dyDescent="0.25">
      <c r="B30" s="5"/>
      <c r="E30" s="164"/>
      <c r="F30" s="5" t="s">
        <v>125</v>
      </c>
      <c r="G30" s="161">
        <f>2811470+264477</f>
        <v>3075947</v>
      </c>
      <c r="H30" t="s">
        <v>116</v>
      </c>
      <c r="I30" s="161">
        <f>+G30/7</f>
        <v>439421</v>
      </c>
      <c r="J30" s="1" t="str">
        <f>+F30</f>
        <v>PSP @ 7%</v>
      </c>
      <c r="K30" s="1"/>
      <c r="M30" s="1">
        <f>+I30*0.74655</f>
        <v>328049.74755000003</v>
      </c>
      <c r="N30" t="s">
        <v>126</v>
      </c>
      <c r="O30" t="s">
        <v>127</v>
      </c>
      <c r="P30" s="6">
        <f>+I30*5</f>
        <v>2197105</v>
      </c>
      <c r="Q30" s="165">
        <v>0.05</v>
      </c>
      <c r="R30" t="s">
        <v>128</v>
      </c>
    </row>
    <row r="31" spans="2:19" ht="21" customHeight="1" x14ac:dyDescent="0.25">
      <c r="B31" s="5"/>
      <c r="F31" s="5" t="s">
        <v>129</v>
      </c>
      <c r="G31" s="161">
        <f>692592+383953+89103</f>
        <v>1165648</v>
      </c>
      <c r="H31" t="s">
        <v>116</v>
      </c>
      <c r="I31" s="1"/>
      <c r="J31" s="1"/>
      <c r="K31" s="1"/>
      <c r="M31" s="1"/>
      <c r="N31" t="s">
        <v>130</v>
      </c>
      <c r="O31" t="s">
        <v>131</v>
      </c>
      <c r="P31" s="7">
        <f>SUM(P27:P30)</f>
        <v>3096036.55</v>
      </c>
    </row>
    <row r="32" spans="2:19" ht="21" customHeight="1" x14ac:dyDescent="0.25">
      <c r="F32" t="s">
        <v>132</v>
      </c>
      <c r="G32" s="1">
        <f>+G30+G31</f>
        <v>4241595</v>
      </c>
      <c r="H32" s="1"/>
      <c r="I32" s="1"/>
      <c r="J32" s="1"/>
      <c r="K32" s="1"/>
      <c r="M32" s="1"/>
    </row>
    <row r="33" spans="3:19" ht="21" customHeight="1" x14ac:dyDescent="0.25">
      <c r="G33" s="1"/>
      <c r="H33" s="1"/>
      <c r="I33" s="1"/>
      <c r="J33" s="1"/>
      <c r="K33" s="1"/>
      <c r="M33" s="1"/>
      <c r="N33" t="s">
        <v>117</v>
      </c>
      <c r="O33" t="s">
        <v>133</v>
      </c>
      <c r="P33" s="166">
        <f>+P27/P31</f>
        <v>0.21228754550717435</v>
      </c>
    </row>
    <row r="34" spans="3:19" ht="21" customHeight="1" x14ac:dyDescent="0.25">
      <c r="F34" s="5" t="s">
        <v>134</v>
      </c>
      <c r="G34" s="1">
        <f>+G30+G27</f>
        <v>5047697</v>
      </c>
      <c r="H34" s="1"/>
      <c r="I34" s="1"/>
      <c r="J34" s="1"/>
      <c r="K34" s="1"/>
      <c r="M34" s="1"/>
      <c r="N34" t="s">
        <v>120</v>
      </c>
      <c r="O34" t="s">
        <v>135</v>
      </c>
      <c r="P34" s="166">
        <f>+P28/P31</f>
        <v>2.8386034396137863E-2</v>
      </c>
    </row>
    <row r="35" spans="3:19" ht="21" customHeight="1" x14ac:dyDescent="0.25">
      <c r="G35" s="1"/>
      <c r="H35" s="1"/>
      <c r="I35" s="1"/>
      <c r="J35" s="1"/>
      <c r="K35" s="1"/>
      <c r="M35" s="1"/>
      <c r="N35" t="s">
        <v>123</v>
      </c>
      <c r="O35" t="s">
        <v>136</v>
      </c>
      <c r="P35" s="166">
        <f>+P29/P31</f>
        <v>4.9675560193241264E-2</v>
      </c>
    </row>
    <row r="36" spans="3:19" ht="21" customHeight="1" x14ac:dyDescent="0.25">
      <c r="F36" t="s">
        <v>137</v>
      </c>
      <c r="G36" s="166">
        <f>+G27/G34</f>
        <v>0.39062368442479806</v>
      </c>
      <c r="H36" s="1"/>
      <c r="I36" s="1"/>
      <c r="J36" s="1"/>
      <c r="K36" s="1"/>
      <c r="M36" s="1"/>
      <c r="N36" t="s">
        <v>138</v>
      </c>
      <c r="O36" t="s">
        <v>139</v>
      </c>
      <c r="P36" s="167">
        <f>+P30/P31</f>
        <v>0.70965085990344656</v>
      </c>
      <c r="Q36" s="168"/>
    </row>
    <row r="37" spans="3:19" ht="21" customHeight="1" x14ac:dyDescent="0.25">
      <c r="F37" t="s">
        <v>140</v>
      </c>
      <c r="G37" s="166">
        <f>+G30/G34</f>
        <v>0.60937631557520189</v>
      </c>
      <c r="H37" s="1"/>
      <c r="I37" s="1"/>
      <c r="J37" s="1"/>
      <c r="K37" s="1"/>
      <c r="M37" s="1"/>
      <c r="P37" s="165">
        <f>SUM(P33:P36)</f>
        <v>1</v>
      </c>
    </row>
    <row r="38" spans="3:19" ht="21" customHeight="1" x14ac:dyDescent="0.25"/>
    <row r="39" spans="3:19" ht="21" customHeight="1" x14ac:dyDescent="0.25">
      <c r="P39" s="1">
        <f>+P31*P36</f>
        <v>2197105</v>
      </c>
    </row>
    <row r="40" spans="3:19" x14ac:dyDescent="0.25">
      <c r="P40" s="1">
        <f>+P39/5</f>
        <v>439421</v>
      </c>
    </row>
    <row r="41" spans="3:19" x14ac:dyDescent="0.25">
      <c r="P41" s="1"/>
    </row>
    <row r="42" spans="3:19" x14ac:dyDescent="0.25">
      <c r="N42" t="s">
        <v>141</v>
      </c>
      <c r="P42" s="169">
        <f>+P31/5</f>
        <v>619207.30999999994</v>
      </c>
    </row>
    <row r="43" spans="3:19" x14ac:dyDescent="0.25">
      <c r="N43" t="s">
        <v>98</v>
      </c>
      <c r="P43" s="169">
        <f>+P42*0.74655</f>
        <v>462269.21728049999</v>
      </c>
      <c r="R43" s="170">
        <f>ROUND(P43/1000000,2)</f>
        <v>0.46</v>
      </c>
      <c r="S43" t="s">
        <v>142</v>
      </c>
    </row>
    <row r="44" spans="3:19" x14ac:dyDescent="0.25">
      <c r="R44" s="171">
        <f>+R43/2</f>
        <v>0.23</v>
      </c>
      <c r="S44" t="s">
        <v>142</v>
      </c>
    </row>
    <row r="46" spans="3:19" ht="26.45" customHeight="1" x14ac:dyDescent="0.25"/>
    <row r="47" spans="3:19" ht="26.45" customHeight="1" x14ac:dyDescent="0.25">
      <c r="C47" s="2" t="s">
        <v>143</v>
      </c>
      <c r="D47" s="2"/>
    </row>
    <row r="48" spans="3:19" ht="26.45" customHeight="1" x14ac:dyDescent="0.25">
      <c r="C48" s="2" t="s">
        <v>144</v>
      </c>
      <c r="D48" s="2"/>
    </row>
    <row r="49" spans="3:8" ht="26.45" customHeight="1" x14ac:dyDescent="0.25">
      <c r="C49" s="2" t="s">
        <v>145</v>
      </c>
      <c r="D49" s="2"/>
    </row>
    <row r="50" spans="3:8" ht="26.45" customHeight="1" x14ac:dyDescent="0.25">
      <c r="D50" s="172">
        <v>0.01</v>
      </c>
      <c r="E50" s="172">
        <v>0.02</v>
      </c>
      <c r="F50" s="172">
        <v>0.03</v>
      </c>
      <c r="G50" s="172">
        <v>0.04</v>
      </c>
      <c r="H50" s="172">
        <v>0.05</v>
      </c>
    </row>
    <row r="51" spans="3:8" ht="26.45" customHeight="1" x14ac:dyDescent="0.25">
      <c r="C51" t="s">
        <v>146</v>
      </c>
      <c r="D51" s="1">
        <f>+I30/1000</f>
        <v>439.42099999999999</v>
      </c>
      <c r="E51" s="1">
        <f>+D$51*2</f>
        <v>878.84199999999998</v>
      </c>
      <c r="F51" s="7">
        <f>+E51+D51</f>
        <v>1318.2629999999999</v>
      </c>
      <c r="G51" s="7">
        <f>+$F$51+D51</f>
        <v>1757.684</v>
      </c>
      <c r="H51" s="7">
        <f>+$F$51+E51</f>
        <v>2197.105</v>
      </c>
    </row>
    <row r="52" spans="3:8" ht="26.45" customHeight="1" x14ac:dyDescent="0.25"/>
    <row r="53" spans="3:8" ht="26.45" customHeight="1" x14ac:dyDescent="0.25">
      <c r="D53" s="143" t="s">
        <v>147</v>
      </c>
      <c r="E53" s="143" t="s">
        <v>148</v>
      </c>
      <c r="F53" s="143" t="s">
        <v>149</v>
      </c>
      <c r="G53" s="143" t="s">
        <v>150</v>
      </c>
      <c r="H53" s="143" t="s">
        <v>119</v>
      </c>
    </row>
    <row r="54" spans="3:8" ht="26.45" customHeight="1" x14ac:dyDescent="0.25">
      <c r="C54" t="s">
        <v>94</v>
      </c>
      <c r="D54" s="1">
        <f>+K27*5/1000</f>
        <v>131.44999999999999</v>
      </c>
      <c r="E54" s="1">
        <f>+D54*2</f>
        <v>262.89999999999998</v>
      </c>
      <c r="F54" s="7">
        <f>+E54+D54</f>
        <v>394.34999999999997</v>
      </c>
      <c r="G54" s="7">
        <f>+F54+D54</f>
        <v>525.79999999999995</v>
      </c>
      <c r="H54" s="7">
        <f>+G54+D54</f>
        <v>657.25</v>
      </c>
    </row>
    <row r="55" spans="3:8" ht="26.45" customHeight="1" x14ac:dyDescent="0.25"/>
    <row r="56" spans="3:8" ht="26.45" customHeight="1" x14ac:dyDescent="0.25">
      <c r="C56" t="s">
        <v>151</v>
      </c>
      <c r="D56" s="1">
        <f>+D51*$Q$29</f>
        <v>30.759470000000004</v>
      </c>
      <c r="E56" s="1">
        <f>+E51*$Q$29</f>
        <v>61.518940000000008</v>
      </c>
      <c r="F56" s="1">
        <f>+F51*$Q$29</f>
        <v>92.278410000000008</v>
      </c>
      <c r="G56" s="1">
        <f>+G51*$Q$29</f>
        <v>123.03788000000002</v>
      </c>
      <c r="H56" s="1">
        <f>+H51*$Q$29</f>
        <v>153.79735000000002</v>
      </c>
    </row>
    <row r="57" spans="3:8" ht="26.45" customHeight="1" x14ac:dyDescent="0.25"/>
    <row r="58" spans="3:8" ht="26.45" customHeight="1" x14ac:dyDescent="0.25">
      <c r="C58" t="s">
        <v>95</v>
      </c>
      <c r="D58" s="1">
        <f>+D51*$Q$28</f>
        <v>17.576840000000001</v>
      </c>
      <c r="E58" s="1">
        <f t="shared" ref="E58:H58" si="12">+E51*$Q$28</f>
        <v>35.153680000000001</v>
      </c>
      <c r="F58" s="1">
        <f t="shared" si="12"/>
        <v>52.730519999999999</v>
      </c>
      <c r="G58" s="1">
        <f t="shared" si="12"/>
        <v>70.307360000000003</v>
      </c>
      <c r="H58" s="1">
        <f t="shared" si="12"/>
        <v>87.884200000000007</v>
      </c>
    </row>
    <row r="59" spans="3:8" ht="15.75" thickBot="1" x14ac:dyDescent="0.3">
      <c r="D59" s="173">
        <f>+D58+D56+D54+D51</f>
        <v>619.20731000000001</v>
      </c>
      <c r="E59" s="173">
        <f t="shared" ref="E59:H59" si="13">+E58+E56+E54+E51</f>
        <v>1238.41462</v>
      </c>
      <c r="F59" s="173">
        <f t="shared" si="13"/>
        <v>1857.6219299999998</v>
      </c>
      <c r="G59" s="173">
        <f t="shared" si="13"/>
        <v>2476.82924</v>
      </c>
      <c r="H59" s="173">
        <f t="shared" si="13"/>
        <v>3096.0365499999998</v>
      </c>
    </row>
    <row r="60" spans="3:8" ht="15.75" thickTop="1" x14ac:dyDescent="0.25"/>
    <row r="61" spans="3:8" x14ac:dyDescent="0.25">
      <c r="C61" t="s">
        <v>152</v>
      </c>
      <c r="H61" s="174">
        <f>+P31/1000</f>
        <v>3096.0365499999998</v>
      </c>
    </row>
    <row r="62" spans="3:8" x14ac:dyDescent="0.25">
      <c r="H62" s="7">
        <f>+H61-H59</f>
        <v>0</v>
      </c>
    </row>
  </sheetData>
  <printOptions horizontalCentered="1"/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2051-2F93-4FC4-BEB7-9C5727F09808}">
  <sheetPr>
    <pageSetUpPr fitToPage="1"/>
  </sheetPr>
  <dimension ref="A1:U105"/>
  <sheetViews>
    <sheetView showGridLines="0" topLeftCell="A45" zoomScale="55" zoomScaleNormal="55" zoomScaleSheetLayoutView="25" workbookViewId="0">
      <selection activeCell="M70" sqref="M70"/>
    </sheetView>
  </sheetViews>
  <sheetFormatPr defaultColWidth="11.42578125" defaultRowHeight="12.75" x14ac:dyDescent="0.2"/>
  <cols>
    <col min="1" max="1" width="36.42578125" style="9" customWidth="1"/>
    <col min="2" max="2" width="49.85546875" style="9" customWidth="1"/>
    <col min="3" max="3" width="52.5703125" style="9" customWidth="1"/>
    <col min="4" max="4" width="11" style="9" customWidth="1"/>
    <col min="5" max="5" width="70.42578125" style="9" customWidth="1"/>
    <col min="6" max="6" width="15" style="16" customWidth="1"/>
    <col min="7" max="7" width="66.85546875" style="9" customWidth="1"/>
    <col min="8" max="8" width="11.5703125" style="16" customWidth="1"/>
    <col min="9" max="9" width="69.85546875" style="9" customWidth="1"/>
    <col min="10" max="10" width="17.140625" style="16" bestFit="1" customWidth="1"/>
    <col min="11" max="12" width="0.85546875" style="9" customWidth="1"/>
    <col min="13" max="13" width="9.5703125" style="9" bestFit="1" customWidth="1"/>
    <col min="14" max="14" width="16" style="9" customWidth="1"/>
    <col min="15" max="15" width="18.42578125" style="9" customWidth="1"/>
    <col min="16" max="16" width="17.140625" style="9" hidden="1" customWidth="1"/>
    <col min="17" max="18" width="0" style="9" hidden="1" customWidth="1"/>
    <col min="19" max="19" width="29.5703125" style="9" customWidth="1"/>
    <col min="20" max="20" width="11.42578125" style="9" customWidth="1"/>
    <col min="21" max="21" width="21.42578125" style="9" customWidth="1"/>
    <col min="22" max="16384" width="11.42578125" style="9"/>
  </cols>
  <sheetData>
    <row r="1" spans="1:21" ht="18" customHeight="1" thickBot="1" x14ac:dyDescent="0.3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8" t="s">
        <v>7</v>
      </c>
      <c r="Q1" s="9">
        <v>1</v>
      </c>
    </row>
    <row r="2" spans="1:21" ht="18.75" customHeight="1" thickBot="1" x14ac:dyDescent="0.3">
      <c r="A2" s="348"/>
      <c r="B2" s="349"/>
      <c r="C2" s="350"/>
      <c r="D2" s="10"/>
      <c r="E2" s="351"/>
      <c r="F2" s="351"/>
      <c r="G2" s="351"/>
      <c r="H2" s="11" t="s">
        <v>8</v>
      </c>
      <c r="I2" s="12"/>
      <c r="J2" s="13">
        <v>1</v>
      </c>
      <c r="K2" s="10"/>
      <c r="L2" s="10"/>
      <c r="M2" s="10"/>
      <c r="N2" s="14"/>
      <c r="O2" s="14"/>
      <c r="P2" s="8" t="s">
        <v>9</v>
      </c>
    </row>
    <row r="3" spans="1:21" ht="22.5" customHeight="1" thickBot="1" x14ac:dyDescent="0.35">
      <c r="A3" s="352" t="s">
        <v>10</v>
      </c>
      <c r="B3" s="353"/>
      <c r="C3" s="354"/>
      <c r="D3" s="355"/>
      <c r="E3" s="355"/>
      <c r="F3" s="355"/>
      <c r="G3" s="15"/>
      <c r="P3" s="17" t="s">
        <v>11</v>
      </c>
    </row>
    <row r="4" spans="1:21" ht="20.25" customHeight="1" thickBot="1" x14ac:dyDescent="0.4">
      <c r="A4" s="356"/>
      <c r="B4" s="357"/>
      <c r="C4" s="358"/>
      <c r="D4" s="18"/>
      <c r="F4" s="19"/>
      <c r="G4" s="20"/>
      <c r="I4" s="21"/>
      <c r="J4" s="22"/>
      <c r="L4" s="22"/>
      <c r="P4" s="17" t="s">
        <v>12</v>
      </c>
    </row>
    <row r="5" spans="1:21" ht="20.25" customHeight="1" thickBot="1" x14ac:dyDescent="0.3">
      <c r="A5" s="359" t="s">
        <v>13</v>
      </c>
      <c r="B5" s="360"/>
      <c r="C5" s="361"/>
      <c r="D5" s="8"/>
      <c r="E5" s="362" t="s">
        <v>14</v>
      </c>
      <c r="F5" s="362"/>
      <c r="G5" s="362"/>
      <c r="H5" s="22"/>
      <c r="I5" s="22"/>
      <c r="J5" s="22"/>
      <c r="K5" s="22"/>
      <c r="L5" s="22"/>
      <c r="M5" s="22"/>
      <c r="P5" s="8" t="s">
        <v>15</v>
      </c>
    </row>
    <row r="6" spans="1:21" ht="19.5" customHeight="1" x14ac:dyDescent="0.25">
      <c r="A6" s="23"/>
      <c r="B6" s="24"/>
      <c r="C6" s="25"/>
      <c r="D6" s="8"/>
      <c r="E6" s="363">
        <v>2019</v>
      </c>
      <c r="F6" s="363"/>
      <c r="G6" s="363"/>
      <c r="H6" s="22"/>
      <c r="I6" s="22"/>
      <c r="J6" s="22"/>
      <c r="K6" s="22"/>
      <c r="L6" s="22"/>
      <c r="M6" s="22"/>
      <c r="P6" s="8" t="s">
        <v>16</v>
      </c>
    </row>
    <row r="7" spans="1:21" ht="18.75" thickBot="1" x14ac:dyDescent="0.3">
      <c r="I7" s="16"/>
      <c r="K7" s="16"/>
      <c r="L7" s="16"/>
      <c r="M7" s="16"/>
      <c r="N7" s="16"/>
      <c r="O7" s="16"/>
      <c r="P7" s="8" t="s">
        <v>17</v>
      </c>
    </row>
    <row r="8" spans="1:21" s="26" customFormat="1" ht="18.75" customHeight="1" x14ac:dyDescent="0.25">
      <c r="A8" s="338" t="s">
        <v>18</v>
      </c>
      <c r="B8" s="338" t="s">
        <v>19</v>
      </c>
      <c r="C8" s="338" t="s">
        <v>20</v>
      </c>
      <c r="D8" s="341" t="s">
        <v>21</v>
      </c>
      <c r="E8" s="344" t="s">
        <v>17</v>
      </c>
      <c r="F8" s="318" t="s">
        <v>22</v>
      </c>
      <c r="G8" s="344" t="s">
        <v>23</v>
      </c>
      <c r="H8" s="318" t="s">
        <v>22</v>
      </c>
      <c r="I8" s="344" t="s">
        <v>24</v>
      </c>
      <c r="J8" s="318" t="s">
        <v>22</v>
      </c>
      <c r="L8" s="321" t="s">
        <v>25</v>
      </c>
      <c r="M8" s="322"/>
      <c r="N8" s="323"/>
      <c r="O8" s="323" t="s">
        <v>26</v>
      </c>
      <c r="P8" s="27" t="s">
        <v>23</v>
      </c>
      <c r="Q8" s="26">
        <v>1</v>
      </c>
    </row>
    <row r="9" spans="1:21" s="26" customFormat="1" ht="18" x14ac:dyDescent="0.25">
      <c r="A9" s="339"/>
      <c r="B9" s="339"/>
      <c r="C9" s="339"/>
      <c r="D9" s="342"/>
      <c r="E9" s="345"/>
      <c r="F9" s="319"/>
      <c r="G9" s="345"/>
      <c r="H9" s="319"/>
      <c r="I9" s="345"/>
      <c r="J9" s="319"/>
      <c r="L9" s="324"/>
      <c r="M9" s="325"/>
      <c r="N9" s="326"/>
      <c r="O9" s="330"/>
      <c r="P9" s="27" t="s">
        <v>24</v>
      </c>
      <c r="Q9" s="26">
        <v>1</v>
      </c>
    </row>
    <row r="10" spans="1:21" s="26" customFormat="1" ht="34.5" customHeight="1" thickBot="1" x14ac:dyDescent="0.3">
      <c r="A10" s="340"/>
      <c r="B10" s="340"/>
      <c r="C10" s="340"/>
      <c r="D10" s="343"/>
      <c r="E10" s="346"/>
      <c r="F10" s="320"/>
      <c r="G10" s="346"/>
      <c r="H10" s="320"/>
      <c r="I10" s="346"/>
      <c r="J10" s="320"/>
      <c r="L10" s="327"/>
      <c r="M10" s="328"/>
      <c r="N10" s="329"/>
      <c r="O10" s="330"/>
    </row>
    <row r="11" spans="1:21" s="26" customFormat="1" ht="16.5" thickBot="1" x14ac:dyDescent="0.3">
      <c r="A11" s="28"/>
      <c r="B11" s="29"/>
      <c r="C11" s="29"/>
      <c r="D11" s="30"/>
      <c r="E11" s="31"/>
      <c r="F11" s="32"/>
      <c r="G11" s="31"/>
      <c r="H11" s="32"/>
      <c r="I11" s="31"/>
      <c r="J11" s="32"/>
      <c r="L11" s="33"/>
      <c r="M11" s="34"/>
      <c r="N11" s="34"/>
      <c r="O11" s="35"/>
    </row>
    <row r="12" spans="1:21" s="26" customFormat="1" ht="20.25" customHeight="1" thickBot="1" x14ac:dyDescent="0.3">
      <c r="A12" s="331" t="s">
        <v>27</v>
      </c>
      <c r="B12" s="332"/>
      <c r="C12" s="333"/>
      <c r="D12" s="36"/>
      <c r="E12" s="37"/>
      <c r="F12" s="38"/>
      <c r="G12" s="37"/>
      <c r="H12" s="38"/>
      <c r="I12" s="37"/>
      <c r="J12" s="38"/>
      <c r="L12" s="39"/>
      <c r="M12" s="34"/>
      <c r="N12" s="34"/>
      <c r="O12" s="266">
        <f>IF(M14&lt;&gt;"",F13*D13*$J$2,IF(M15&lt;&gt;"",H13*D13*$J$2,IF(M16&lt;&gt;"",J13*D13*$J$2,"")))</f>
        <v>0.3</v>
      </c>
    </row>
    <row r="13" spans="1:21" s="40" customFormat="1" ht="24" customHeight="1" x14ac:dyDescent="0.25">
      <c r="A13" s="239"/>
      <c r="B13" s="242" t="s">
        <v>28</v>
      </c>
      <c r="C13" s="245" t="s">
        <v>29</v>
      </c>
      <c r="D13" s="248">
        <v>0.15</v>
      </c>
      <c r="E13" s="279" t="s">
        <v>30</v>
      </c>
      <c r="F13" s="307">
        <v>0.5</v>
      </c>
      <c r="G13" s="279" t="s">
        <v>31</v>
      </c>
      <c r="H13" s="307">
        <v>1</v>
      </c>
      <c r="I13" s="276" t="s">
        <v>32</v>
      </c>
      <c r="J13" s="221">
        <v>2</v>
      </c>
      <c r="L13" s="41"/>
      <c r="M13" s="282" t="s">
        <v>33</v>
      </c>
      <c r="N13" s="283"/>
      <c r="O13" s="266"/>
    </row>
    <row r="14" spans="1:21" s="40" customFormat="1" ht="20.25" customHeight="1" x14ac:dyDescent="0.25">
      <c r="A14" s="240"/>
      <c r="B14" s="334"/>
      <c r="C14" s="336"/>
      <c r="D14" s="286"/>
      <c r="E14" s="280"/>
      <c r="F14" s="308"/>
      <c r="G14" s="280"/>
      <c r="H14" s="308"/>
      <c r="I14" s="277"/>
      <c r="J14" s="222"/>
      <c r="L14" s="41"/>
      <c r="M14" s="42"/>
      <c r="N14" s="43" t="s">
        <v>17</v>
      </c>
      <c r="O14" s="266"/>
      <c r="P14" s="44"/>
      <c r="Q14" s="44"/>
      <c r="U14" s="23"/>
    </row>
    <row r="15" spans="1:21" s="40" customFormat="1" ht="22.5" customHeight="1" x14ac:dyDescent="0.25">
      <c r="A15" s="240"/>
      <c r="B15" s="334"/>
      <c r="C15" s="336"/>
      <c r="D15" s="286"/>
      <c r="E15" s="280"/>
      <c r="F15" s="308"/>
      <c r="G15" s="280"/>
      <c r="H15" s="308"/>
      <c r="I15" s="277"/>
      <c r="J15" s="222"/>
      <c r="L15" s="41"/>
      <c r="M15" s="42"/>
      <c r="N15" s="43" t="s">
        <v>23</v>
      </c>
      <c r="O15" s="266"/>
      <c r="P15" s="44">
        <v>2</v>
      </c>
      <c r="Q15" s="44"/>
      <c r="U15" s="23"/>
    </row>
    <row r="16" spans="1:21" s="40" customFormat="1" ht="27.75" customHeight="1" x14ac:dyDescent="0.25">
      <c r="A16" s="240"/>
      <c r="B16" s="334"/>
      <c r="C16" s="336"/>
      <c r="D16" s="286"/>
      <c r="E16" s="280"/>
      <c r="F16" s="308"/>
      <c r="G16" s="280"/>
      <c r="H16" s="308"/>
      <c r="I16" s="277"/>
      <c r="J16" s="222"/>
      <c r="L16" s="41"/>
      <c r="M16" s="42" t="s">
        <v>34</v>
      </c>
      <c r="N16" s="43" t="s">
        <v>24</v>
      </c>
      <c r="O16" s="266"/>
      <c r="P16" s="44"/>
      <c r="Q16" s="44"/>
      <c r="U16" s="23"/>
    </row>
    <row r="17" spans="1:21" s="40" customFormat="1" ht="42.75" customHeight="1" thickBot="1" x14ac:dyDescent="0.3">
      <c r="A17" s="241"/>
      <c r="B17" s="335"/>
      <c r="C17" s="337"/>
      <c r="D17" s="287"/>
      <c r="E17" s="281"/>
      <c r="F17" s="309"/>
      <c r="G17" s="281"/>
      <c r="H17" s="309"/>
      <c r="I17" s="278"/>
      <c r="J17" s="223"/>
      <c r="L17" s="41"/>
      <c r="M17" s="45"/>
      <c r="N17" s="45"/>
      <c r="O17" s="46"/>
      <c r="P17" s="44"/>
      <c r="Q17" s="44"/>
      <c r="U17" s="23"/>
    </row>
    <row r="18" spans="1:21" s="47" customFormat="1" ht="38.25" customHeight="1" x14ac:dyDescent="0.25">
      <c r="A18" s="289"/>
      <c r="B18" s="206" t="s">
        <v>35</v>
      </c>
      <c r="C18" s="207"/>
      <c r="D18" s="310" t="s">
        <v>36</v>
      </c>
      <c r="E18" s="209"/>
      <c r="F18" s="209"/>
      <c r="G18" s="209"/>
      <c r="H18" s="209"/>
      <c r="I18" s="209"/>
      <c r="J18" s="210"/>
      <c r="L18" s="48"/>
      <c r="M18" s="49"/>
      <c r="N18" s="49"/>
      <c r="O18" s="50"/>
      <c r="U18" s="51"/>
    </row>
    <row r="19" spans="1:21" s="47" customFormat="1" ht="30" hidden="1" customHeight="1" x14ac:dyDescent="0.25">
      <c r="A19" s="290"/>
      <c r="B19" s="292" t="s">
        <v>37</v>
      </c>
      <c r="C19" s="293"/>
      <c r="D19" s="311"/>
      <c r="E19" s="268"/>
      <c r="F19" s="268"/>
      <c r="G19" s="268"/>
      <c r="H19" s="268"/>
      <c r="I19" s="268"/>
      <c r="J19" s="269"/>
      <c r="L19" s="48"/>
      <c r="M19" s="52"/>
      <c r="N19" s="52"/>
      <c r="O19" s="53"/>
      <c r="U19" s="51"/>
    </row>
    <row r="20" spans="1:21" s="47" customFormat="1" ht="27" hidden="1" customHeight="1" x14ac:dyDescent="0.25">
      <c r="A20" s="290"/>
      <c r="B20" s="312" t="s">
        <v>38</v>
      </c>
      <c r="C20" s="313"/>
      <c r="D20" s="314"/>
      <c r="E20" s="314"/>
      <c r="F20" s="314"/>
      <c r="G20" s="314"/>
      <c r="H20" s="314"/>
      <c r="I20" s="314"/>
      <c r="J20" s="314"/>
      <c r="L20" s="48"/>
      <c r="M20" s="52"/>
      <c r="N20" s="52"/>
      <c r="O20" s="54"/>
      <c r="P20" s="55"/>
      <c r="U20" s="51"/>
    </row>
    <row r="21" spans="1:21" s="47" customFormat="1" ht="27" hidden="1" customHeight="1" x14ac:dyDescent="0.25">
      <c r="A21" s="291"/>
      <c r="B21" s="292" t="s">
        <v>39</v>
      </c>
      <c r="C21" s="293"/>
      <c r="D21" s="315"/>
      <c r="E21" s="316"/>
      <c r="F21" s="316"/>
      <c r="G21" s="316"/>
      <c r="H21" s="316"/>
      <c r="I21" s="316"/>
      <c r="J21" s="317"/>
      <c r="L21" s="48"/>
      <c r="M21" s="56"/>
      <c r="N21" s="56"/>
      <c r="O21" s="54"/>
      <c r="P21" s="55"/>
      <c r="U21" s="51"/>
    </row>
    <row r="22" spans="1:21" s="40" customFormat="1" ht="16.5" customHeight="1" thickBot="1" x14ac:dyDescent="0.3">
      <c r="A22" s="14"/>
      <c r="B22" s="10"/>
      <c r="C22" s="10"/>
      <c r="D22" s="57"/>
      <c r="E22" s="58"/>
      <c r="F22" s="57"/>
      <c r="G22" s="58"/>
      <c r="H22" s="57"/>
      <c r="I22" s="58"/>
      <c r="J22" s="57"/>
      <c r="L22" s="41"/>
      <c r="M22" s="56"/>
      <c r="N22" s="56"/>
      <c r="O22" s="59"/>
      <c r="P22" s="60">
        <f>IF(M26&lt;&gt;"",F24*D24*$F$4,IF(M27&lt;&gt;"",H24*D24*$F$4,IF(M28&lt;&gt;"",J24*D24*$F$4,IF(M25&lt;&gt;"",0,""))))</f>
        <v>0</v>
      </c>
      <c r="Q22" s="44"/>
      <c r="U22" s="23"/>
    </row>
    <row r="23" spans="1:21" s="40" customFormat="1" ht="18" customHeight="1" thickBot="1" x14ac:dyDescent="0.3">
      <c r="A23" s="234" t="s">
        <v>40</v>
      </c>
      <c r="B23" s="235"/>
      <c r="C23" s="236"/>
      <c r="D23" s="36"/>
      <c r="E23" s="37"/>
      <c r="F23" s="61"/>
      <c r="G23" s="37"/>
      <c r="H23" s="61"/>
      <c r="I23" s="37"/>
      <c r="J23" s="61"/>
      <c r="L23" s="41"/>
      <c r="M23" s="34"/>
      <c r="N23" s="34"/>
      <c r="O23" s="266">
        <f>IF(M25&lt;&gt;"",F24*D24*$J$2,IF(M26&lt;&gt;"",H24*D24*$J$2,IF(M27&lt;&gt;"",J24*D24*$J$2,"")))</f>
        <v>0.2</v>
      </c>
      <c r="P23" s="44"/>
      <c r="Q23" s="44"/>
      <c r="U23" s="23"/>
    </row>
    <row r="24" spans="1:21" s="40" customFormat="1" ht="15" customHeight="1" x14ac:dyDescent="0.25">
      <c r="A24" s="239"/>
      <c r="B24" s="242" t="s">
        <v>41</v>
      </c>
      <c r="C24" s="295" t="s">
        <v>42</v>
      </c>
      <c r="D24" s="248">
        <v>0.1</v>
      </c>
      <c r="E24" s="279" t="s">
        <v>43</v>
      </c>
      <c r="F24" s="307">
        <v>0.5</v>
      </c>
      <c r="G24" s="279" t="s">
        <v>44</v>
      </c>
      <c r="H24" s="307">
        <v>1</v>
      </c>
      <c r="I24" s="276" t="s">
        <v>45</v>
      </c>
      <c r="J24" s="221">
        <v>2</v>
      </c>
      <c r="L24" s="41"/>
      <c r="M24" s="282" t="s">
        <v>33</v>
      </c>
      <c r="N24" s="283"/>
      <c r="O24" s="266"/>
      <c r="P24" s="44"/>
      <c r="Q24" s="44"/>
      <c r="U24" s="23"/>
    </row>
    <row r="25" spans="1:21" s="40" customFormat="1" ht="30" customHeight="1" x14ac:dyDescent="0.25">
      <c r="A25" s="240"/>
      <c r="B25" s="303"/>
      <c r="C25" s="305"/>
      <c r="D25" s="249"/>
      <c r="E25" s="280"/>
      <c r="F25" s="308"/>
      <c r="G25" s="280"/>
      <c r="H25" s="308"/>
      <c r="I25" s="277"/>
      <c r="J25" s="222"/>
      <c r="L25" s="41"/>
      <c r="M25" s="42"/>
      <c r="N25" s="43" t="s">
        <v>17</v>
      </c>
      <c r="O25" s="266"/>
      <c r="P25" s="44"/>
      <c r="Q25" s="44"/>
      <c r="U25" s="23"/>
    </row>
    <row r="26" spans="1:21" s="40" customFormat="1" ht="30" customHeight="1" x14ac:dyDescent="0.25">
      <c r="A26" s="240"/>
      <c r="B26" s="303"/>
      <c r="C26" s="305"/>
      <c r="D26" s="249"/>
      <c r="E26" s="280"/>
      <c r="F26" s="308"/>
      <c r="G26" s="280"/>
      <c r="H26" s="308"/>
      <c r="I26" s="277"/>
      <c r="J26" s="222"/>
      <c r="L26" s="41"/>
      <c r="M26" s="62"/>
      <c r="N26" s="63" t="s">
        <v>23</v>
      </c>
      <c r="O26" s="266"/>
      <c r="P26" s="44">
        <v>2</v>
      </c>
      <c r="Q26" s="44"/>
      <c r="U26" s="23"/>
    </row>
    <row r="27" spans="1:21" s="40" customFormat="1" ht="27" customHeight="1" x14ac:dyDescent="0.25">
      <c r="A27" s="240"/>
      <c r="B27" s="303"/>
      <c r="C27" s="305"/>
      <c r="D27" s="249"/>
      <c r="E27" s="280"/>
      <c r="F27" s="308"/>
      <c r="G27" s="280"/>
      <c r="H27" s="308"/>
      <c r="I27" s="277"/>
      <c r="J27" s="222"/>
      <c r="L27" s="41"/>
      <c r="M27" s="42" t="s">
        <v>34</v>
      </c>
      <c r="N27" s="43" t="s">
        <v>24</v>
      </c>
      <c r="O27" s="266"/>
      <c r="P27" s="44"/>
      <c r="Q27" s="44"/>
      <c r="U27" s="23"/>
    </row>
    <row r="28" spans="1:21" s="40" customFormat="1" ht="34.5" customHeight="1" thickBot="1" x14ac:dyDescent="0.3">
      <c r="A28" s="241"/>
      <c r="B28" s="304"/>
      <c r="C28" s="306"/>
      <c r="D28" s="250"/>
      <c r="E28" s="281"/>
      <c r="F28" s="309"/>
      <c r="G28" s="281"/>
      <c r="H28" s="309"/>
      <c r="I28" s="278"/>
      <c r="J28" s="223"/>
      <c r="L28" s="41"/>
      <c r="M28" s="64"/>
      <c r="N28" s="64"/>
      <c r="O28" s="65"/>
      <c r="P28" s="44"/>
      <c r="Q28" s="44"/>
    </row>
    <row r="29" spans="1:21" s="47" customFormat="1" ht="39" customHeight="1" x14ac:dyDescent="0.25">
      <c r="A29" s="289"/>
      <c r="B29" s="206" t="s">
        <v>35</v>
      </c>
      <c r="C29" s="207"/>
      <c r="D29" s="208"/>
      <c r="E29" s="298"/>
      <c r="F29" s="298"/>
      <c r="G29" s="298"/>
      <c r="H29" s="298"/>
      <c r="I29" s="298"/>
      <c r="J29" s="299"/>
      <c r="L29" s="48"/>
      <c r="M29" s="64"/>
      <c r="N29" s="64"/>
      <c r="O29" s="53"/>
      <c r="U29" s="51"/>
    </row>
    <row r="30" spans="1:21" s="47" customFormat="1" ht="27.75" hidden="1" customHeight="1" x14ac:dyDescent="0.25">
      <c r="A30" s="290"/>
      <c r="B30" s="292" t="s">
        <v>37</v>
      </c>
      <c r="C30" s="293"/>
      <c r="D30" s="267"/>
      <c r="E30" s="268"/>
      <c r="F30" s="268"/>
      <c r="G30" s="268"/>
      <c r="H30" s="268"/>
      <c r="I30" s="268"/>
      <c r="J30" s="269"/>
      <c r="L30" s="48"/>
      <c r="M30" s="52"/>
      <c r="N30" s="52"/>
      <c r="O30" s="53"/>
      <c r="U30" s="51"/>
    </row>
    <row r="31" spans="1:21" s="47" customFormat="1" ht="27.75" hidden="1" customHeight="1" x14ac:dyDescent="0.25">
      <c r="A31" s="290"/>
      <c r="B31" s="293" t="s">
        <v>38</v>
      </c>
      <c r="C31" s="294"/>
      <c r="D31" s="300"/>
      <c r="E31" s="301"/>
      <c r="F31" s="301"/>
      <c r="G31" s="301"/>
      <c r="H31" s="301"/>
      <c r="I31" s="301"/>
      <c r="J31" s="302"/>
      <c r="L31" s="48"/>
      <c r="M31" s="52"/>
      <c r="N31" s="52"/>
      <c r="O31" s="54"/>
      <c r="P31" s="55"/>
      <c r="U31" s="51"/>
    </row>
    <row r="32" spans="1:21" s="47" customFormat="1" ht="27.75" hidden="1" customHeight="1" x14ac:dyDescent="0.25">
      <c r="A32" s="291"/>
      <c r="B32" s="292" t="s">
        <v>39</v>
      </c>
      <c r="C32" s="293"/>
      <c r="D32" s="66"/>
      <c r="E32" s="66"/>
      <c r="F32" s="66"/>
      <c r="G32" s="66"/>
      <c r="H32" s="66"/>
      <c r="I32" s="66"/>
      <c r="J32" s="66"/>
      <c r="L32" s="48"/>
      <c r="M32" s="56"/>
      <c r="N32" s="56"/>
      <c r="O32" s="54"/>
      <c r="P32" s="55"/>
      <c r="U32" s="51"/>
    </row>
    <row r="33" spans="1:21" s="47" customFormat="1" ht="27.75" customHeight="1" thickBot="1" x14ac:dyDescent="0.3">
      <c r="A33" s="67"/>
      <c r="B33" s="68"/>
      <c r="C33" s="68"/>
      <c r="D33" s="66"/>
      <c r="E33" s="66"/>
      <c r="F33" s="66"/>
      <c r="G33" s="66"/>
      <c r="H33" s="66"/>
      <c r="I33" s="66"/>
      <c r="J33" s="66"/>
      <c r="L33" s="69"/>
      <c r="M33" s="70"/>
      <c r="N33" s="70"/>
      <c r="O33" s="71"/>
      <c r="P33" s="55"/>
      <c r="U33" s="51"/>
    </row>
    <row r="34" spans="1:21" s="40" customFormat="1" ht="18" customHeight="1" thickBot="1" x14ac:dyDescent="0.3">
      <c r="A34" s="234" t="s">
        <v>46</v>
      </c>
      <c r="B34" s="235"/>
      <c r="C34" s="236"/>
      <c r="D34" s="36"/>
      <c r="E34" s="37"/>
      <c r="F34" s="61"/>
      <c r="G34" s="37"/>
      <c r="H34" s="61"/>
      <c r="I34" s="37"/>
      <c r="J34" s="61"/>
      <c r="L34" s="41"/>
      <c r="M34" s="56"/>
      <c r="N34" s="56"/>
      <c r="O34" s="72"/>
      <c r="P34" s="44"/>
      <c r="Q34" s="44"/>
    </row>
    <row r="35" spans="1:21" s="40" customFormat="1" ht="12" customHeight="1" x14ac:dyDescent="0.25">
      <c r="A35" s="239"/>
      <c r="B35" s="242" t="s">
        <v>47</v>
      </c>
      <c r="C35" s="295" t="s">
        <v>48</v>
      </c>
      <c r="D35" s="248">
        <v>0.1</v>
      </c>
      <c r="E35" s="279" t="s">
        <v>49</v>
      </c>
      <c r="F35" s="254">
        <v>0.5</v>
      </c>
      <c r="G35" s="279" t="s">
        <v>50</v>
      </c>
      <c r="H35" s="257">
        <v>1</v>
      </c>
      <c r="I35" s="276" t="s">
        <v>51</v>
      </c>
      <c r="J35" s="221">
        <v>2</v>
      </c>
      <c r="L35" s="41"/>
      <c r="M35" s="73"/>
      <c r="N35" s="73"/>
      <c r="O35" s="266">
        <f>IF(M37&lt;&gt;"",F35*D35*$J$2,IF(M38&lt;&gt;"",H35*D35*$J$2,IF(M39&lt;&gt;"",J35*D35*$J$2,"")))</f>
        <v>0.2</v>
      </c>
      <c r="P35" s="44"/>
      <c r="Q35" s="44"/>
    </row>
    <row r="36" spans="1:21" s="40" customFormat="1" ht="15" customHeight="1" x14ac:dyDescent="0.25">
      <c r="A36" s="240"/>
      <c r="B36" s="243"/>
      <c r="C36" s="296"/>
      <c r="D36" s="286"/>
      <c r="E36" s="280"/>
      <c r="F36" s="255"/>
      <c r="G36" s="280"/>
      <c r="H36" s="258"/>
      <c r="I36" s="277"/>
      <c r="J36" s="222"/>
      <c r="L36" s="41"/>
      <c r="M36" s="282" t="s">
        <v>33</v>
      </c>
      <c r="N36" s="283"/>
      <c r="O36" s="266"/>
      <c r="P36" s="44"/>
      <c r="Q36" s="44"/>
    </row>
    <row r="37" spans="1:21" s="40" customFormat="1" ht="18" customHeight="1" x14ac:dyDescent="0.25">
      <c r="A37" s="240"/>
      <c r="B37" s="243"/>
      <c r="C37" s="296"/>
      <c r="D37" s="286"/>
      <c r="E37" s="280"/>
      <c r="F37" s="255"/>
      <c r="G37" s="280"/>
      <c r="H37" s="258"/>
      <c r="I37" s="277"/>
      <c r="J37" s="222"/>
      <c r="L37" s="41"/>
      <c r="M37" s="42"/>
      <c r="N37" s="43" t="s">
        <v>17</v>
      </c>
      <c r="O37" s="266"/>
      <c r="P37" s="44">
        <v>2</v>
      </c>
      <c r="Q37" s="44"/>
    </row>
    <row r="38" spans="1:21" s="40" customFormat="1" ht="30.75" customHeight="1" x14ac:dyDescent="0.25">
      <c r="A38" s="240"/>
      <c r="B38" s="243"/>
      <c r="C38" s="296"/>
      <c r="D38" s="286"/>
      <c r="E38" s="280"/>
      <c r="F38" s="255"/>
      <c r="G38" s="280"/>
      <c r="H38" s="258"/>
      <c r="I38" s="277"/>
      <c r="J38" s="222"/>
      <c r="L38" s="41"/>
      <c r="M38" s="42"/>
      <c r="N38" s="43" t="s">
        <v>23</v>
      </c>
      <c r="O38" s="266"/>
    </row>
    <row r="39" spans="1:21" s="40" customFormat="1" ht="27" customHeight="1" thickBot="1" x14ac:dyDescent="0.3">
      <c r="A39" s="241"/>
      <c r="B39" s="244"/>
      <c r="C39" s="297"/>
      <c r="D39" s="287"/>
      <c r="E39" s="281"/>
      <c r="F39" s="256"/>
      <c r="G39" s="281"/>
      <c r="H39" s="259"/>
      <c r="I39" s="278"/>
      <c r="J39" s="223"/>
      <c r="L39" s="41"/>
      <c r="M39" s="42" t="s">
        <v>34</v>
      </c>
      <c r="N39" s="43" t="s">
        <v>24</v>
      </c>
      <c r="O39" s="266"/>
    </row>
    <row r="40" spans="1:21" s="47" customFormat="1" ht="30" customHeight="1" thickBot="1" x14ac:dyDescent="0.3">
      <c r="A40" s="28"/>
      <c r="B40" s="206" t="s">
        <v>35</v>
      </c>
      <c r="C40" s="207"/>
      <c r="D40" s="208"/>
      <c r="E40" s="209"/>
      <c r="F40" s="209"/>
      <c r="G40" s="209"/>
      <c r="H40" s="209"/>
      <c r="I40" s="209"/>
      <c r="J40" s="210"/>
      <c r="K40" s="74"/>
      <c r="L40" s="52"/>
      <c r="M40" s="45"/>
      <c r="N40" s="45"/>
      <c r="O40" s="53"/>
      <c r="U40" s="51"/>
    </row>
    <row r="41" spans="1:21" s="40" customFormat="1" ht="13.35" customHeight="1" thickBot="1" x14ac:dyDescent="0.25">
      <c r="A41" s="28"/>
      <c r="B41" s="29"/>
      <c r="C41" s="29"/>
      <c r="D41" s="57"/>
      <c r="E41" s="58"/>
      <c r="F41" s="57"/>
      <c r="G41" s="58"/>
      <c r="H41" s="57"/>
      <c r="I41" s="58"/>
      <c r="J41" s="57"/>
      <c r="L41" s="41"/>
      <c r="M41" s="52"/>
      <c r="N41" s="52"/>
      <c r="O41" s="59"/>
      <c r="P41" s="44"/>
      <c r="Q41" s="44"/>
    </row>
    <row r="42" spans="1:21" s="40" customFormat="1" ht="18" customHeight="1" thickBot="1" x14ac:dyDescent="0.3">
      <c r="A42" s="234" t="s">
        <v>52</v>
      </c>
      <c r="B42" s="235"/>
      <c r="C42" s="236"/>
      <c r="D42" s="36"/>
      <c r="E42" s="37"/>
      <c r="F42" s="61"/>
      <c r="G42" s="37"/>
      <c r="H42" s="61"/>
      <c r="I42" s="37"/>
      <c r="J42" s="61"/>
      <c r="L42" s="41"/>
      <c r="M42" s="34"/>
      <c r="N42" s="34"/>
      <c r="O42" s="72"/>
      <c r="P42" s="44"/>
      <c r="Q42" s="44"/>
    </row>
    <row r="43" spans="1:21" s="40" customFormat="1" ht="12" customHeight="1" x14ac:dyDescent="0.25">
      <c r="A43" s="239"/>
      <c r="B43" s="242" t="s">
        <v>53</v>
      </c>
      <c r="C43" s="295" t="s">
        <v>54</v>
      </c>
      <c r="D43" s="248">
        <v>0.1</v>
      </c>
      <c r="E43" s="279" t="s">
        <v>55</v>
      </c>
      <c r="F43" s="254">
        <v>0.5</v>
      </c>
      <c r="G43" s="279" t="s">
        <v>56</v>
      </c>
      <c r="H43" s="257">
        <v>1</v>
      </c>
      <c r="I43" s="276" t="s">
        <v>57</v>
      </c>
      <c r="J43" s="221">
        <v>2</v>
      </c>
      <c r="L43" s="41"/>
      <c r="M43" s="73"/>
      <c r="N43" s="73"/>
      <c r="O43" s="266">
        <f>IF(M45&lt;&gt;"",F43*D43*$J$2,IF(M46&lt;&gt;"",H43*D43*$J$2,IF(M47&lt;&gt;"",J43*D43*$J$2,"")))</f>
        <v>0.2</v>
      </c>
      <c r="P43" s="44"/>
      <c r="Q43" s="44"/>
    </row>
    <row r="44" spans="1:21" s="40" customFormat="1" ht="15" customHeight="1" x14ac:dyDescent="0.25">
      <c r="A44" s="240"/>
      <c r="B44" s="243"/>
      <c r="C44" s="246"/>
      <c r="D44" s="286"/>
      <c r="E44" s="280"/>
      <c r="F44" s="255"/>
      <c r="G44" s="280"/>
      <c r="H44" s="258"/>
      <c r="I44" s="277"/>
      <c r="J44" s="222"/>
      <c r="L44" s="41"/>
      <c r="M44" s="282" t="s">
        <v>33</v>
      </c>
      <c r="N44" s="283"/>
      <c r="O44" s="266"/>
      <c r="P44" s="44"/>
      <c r="Q44" s="44"/>
    </row>
    <row r="45" spans="1:21" s="40" customFormat="1" ht="18" customHeight="1" x14ac:dyDescent="0.25">
      <c r="A45" s="240"/>
      <c r="B45" s="243"/>
      <c r="C45" s="246"/>
      <c r="D45" s="286"/>
      <c r="E45" s="280"/>
      <c r="F45" s="255"/>
      <c r="G45" s="280"/>
      <c r="H45" s="258"/>
      <c r="I45" s="277"/>
      <c r="J45" s="222"/>
      <c r="L45" s="41"/>
      <c r="M45" s="42"/>
      <c r="N45" s="43" t="s">
        <v>17</v>
      </c>
      <c r="O45" s="266"/>
      <c r="P45" s="44">
        <v>2</v>
      </c>
      <c r="Q45" s="44"/>
    </row>
    <row r="46" spans="1:21" s="40" customFormat="1" ht="30.75" customHeight="1" x14ac:dyDescent="0.25">
      <c r="A46" s="240"/>
      <c r="B46" s="243"/>
      <c r="C46" s="246"/>
      <c r="D46" s="286"/>
      <c r="E46" s="280"/>
      <c r="F46" s="255"/>
      <c r="G46" s="280"/>
      <c r="H46" s="258"/>
      <c r="I46" s="277"/>
      <c r="J46" s="222"/>
      <c r="L46" s="41"/>
      <c r="M46" s="42"/>
      <c r="N46" s="43" t="s">
        <v>23</v>
      </c>
      <c r="O46" s="266"/>
    </row>
    <row r="47" spans="1:21" s="40" customFormat="1" ht="27" customHeight="1" thickBot="1" x14ac:dyDescent="0.3">
      <c r="A47" s="241"/>
      <c r="B47" s="244"/>
      <c r="C47" s="247"/>
      <c r="D47" s="287"/>
      <c r="E47" s="281"/>
      <c r="F47" s="256"/>
      <c r="G47" s="281"/>
      <c r="H47" s="259"/>
      <c r="I47" s="278"/>
      <c r="J47" s="223"/>
      <c r="L47" s="41"/>
      <c r="M47" s="42" t="s">
        <v>58</v>
      </c>
      <c r="N47" s="43" t="s">
        <v>24</v>
      </c>
      <c r="O47" s="266"/>
    </row>
    <row r="48" spans="1:21" s="47" customFormat="1" ht="30" customHeight="1" x14ac:dyDescent="0.25">
      <c r="A48" s="289"/>
      <c r="B48" s="206" t="s">
        <v>35</v>
      </c>
      <c r="C48" s="207"/>
      <c r="D48" s="208"/>
      <c r="E48" s="209"/>
      <c r="F48" s="209"/>
      <c r="G48" s="209"/>
      <c r="H48" s="209"/>
      <c r="I48" s="209"/>
      <c r="J48" s="210"/>
      <c r="K48" s="74"/>
      <c r="L48" s="52"/>
      <c r="M48" s="45"/>
      <c r="N48" s="45"/>
      <c r="O48" s="53"/>
      <c r="U48" s="51"/>
    </row>
    <row r="49" spans="1:21" s="47" customFormat="1" ht="26.25" hidden="1" customHeight="1" x14ac:dyDescent="0.25">
      <c r="A49" s="290"/>
      <c r="B49" s="292" t="s">
        <v>37</v>
      </c>
      <c r="C49" s="293"/>
      <c r="D49" s="267"/>
      <c r="E49" s="268"/>
      <c r="F49" s="268"/>
      <c r="G49" s="268"/>
      <c r="H49" s="268"/>
      <c r="I49" s="268"/>
      <c r="J49" s="269"/>
      <c r="K49" s="74"/>
      <c r="L49" s="52"/>
      <c r="M49" s="52"/>
      <c r="N49" s="52"/>
      <c r="O49" s="53"/>
      <c r="U49" s="51"/>
    </row>
    <row r="50" spans="1:21" s="47" customFormat="1" ht="27" hidden="1" customHeight="1" x14ac:dyDescent="0.25">
      <c r="A50" s="290"/>
      <c r="B50" s="293" t="s">
        <v>38</v>
      </c>
      <c r="C50" s="294"/>
      <c r="D50" s="274"/>
      <c r="E50" s="275"/>
      <c r="F50" s="275"/>
      <c r="G50" s="275"/>
      <c r="H50" s="275"/>
      <c r="I50" s="275"/>
      <c r="J50" s="275"/>
      <c r="L50" s="48"/>
      <c r="M50" s="52"/>
      <c r="N50" s="52"/>
      <c r="O50" s="54"/>
      <c r="P50" s="55"/>
      <c r="U50" s="51"/>
    </row>
    <row r="51" spans="1:21" s="47" customFormat="1" ht="27" hidden="1" customHeight="1" x14ac:dyDescent="0.25">
      <c r="A51" s="291"/>
      <c r="B51" s="292" t="s">
        <v>39</v>
      </c>
      <c r="C51" s="293"/>
      <c r="D51" s="75"/>
      <c r="E51" s="75"/>
      <c r="F51" s="75"/>
      <c r="G51" s="75"/>
      <c r="H51" s="75"/>
      <c r="I51" s="75"/>
      <c r="J51" s="75"/>
      <c r="L51" s="48"/>
      <c r="M51" s="56"/>
      <c r="N51" s="56"/>
      <c r="O51" s="54"/>
      <c r="P51" s="55"/>
      <c r="U51" s="51"/>
    </row>
    <row r="52" spans="1:21" s="40" customFormat="1" ht="16.5" customHeight="1" thickBot="1" x14ac:dyDescent="0.3">
      <c r="A52" s="14"/>
      <c r="B52" s="10"/>
      <c r="C52" s="10"/>
      <c r="D52" s="57"/>
      <c r="E52" s="58"/>
      <c r="F52" s="57"/>
      <c r="G52" s="58"/>
      <c r="H52" s="57"/>
      <c r="I52" s="58"/>
      <c r="J52" s="57"/>
      <c r="L52" s="41"/>
      <c r="M52" s="56"/>
      <c r="N52" s="56"/>
      <c r="O52" s="59"/>
      <c r="P52" s="60"/>
      <c r="Q52" s="44"/>
      <c r="U52" s="23"/>
    </row>
    <row r="53" spans="1:21" s="40" customFormat="1" ht="18" customHeight="1" thickBot="1" x14ac:dyDescent="0.3">
      <c r="A53" s="234" t="s">
        <v>59</v>
      </c>
      <c r="B53" s="235"/>
      <c r="C53" s="236"/>
      <c r="D53" s="36"/>
      <c r="E53" s="37"/>
      <c r="F53" s="61"/>
      <c r="G53" s="37"/>
      <c r="H53" s="61"/>
      <c r="I53" s="37"/>
      <c r="J53" s="61"/>
      <c r="L53" s="41"/>
      <c r="M53" s="34"/>
      <c r="N53" s="34"/>
      <c r="O53" s="72"/>
      <c r="P53" s="44"/>
      <c r="Q53" s="44"/>
    </row>
    <row r="54" spans="1:21" s="40" customFormat="1" ht="12" customHeight="1" x14ac:dyDescent="0.25">
      <c r="A54" s="239"/>
      <c r="B54" s="242" t="s">
        <v>60</v>
      </c>
      <c r="C54" s="284" t="s">
        <v>61</v>
      </c>
      <c r="D54" s="248">
        <v>0.1</v>
      </c>
      <c r="E54" s="279" t="s">
        <v>62</v>
      </c>
      <c r="F54" s="254">
        <v>0.5</v>
      </c>
      <c r="G54" s="276" t="s">
        <v>63</v>
      </c>
      <c r="H54" s="257">
        <v>1</v>
      </c>
      <c r="I54" s="279" t="s">
        <v>64</v>
      </c>
      <c r="J54" s="221">
        <v>2</v>
      </c>
      <c r="L54" s="41"/>
      <c r="M54" s="73"/>
      <c r="N54" s="73"/>
      <c r="O54" s="266">
        <f>IF(M56&lt;&gt;"",F54*D54*$J$2,IF(M57&lt;&gt;"",H54*D54*$J$2,IF(M58&lt;&gt;"",J54*D54*$J$2,"")))</f>
        <v>0.1</v>
      </c>
      <c r="P54" s="44"/>
      <c r="Q54" s="44"/>
    </row>
    <row r="55" spans="1:21" s="40" customFormat="1" ht="15" customHeight="1" x14ac:dyDescent="0.25">
      <c r="A55" s="240"/>
      <c r="B55" s="243"/>
      <c r="C55" s="285"/>
      <c r="D55" s="286"/>
      <c r="E55" s="280"/>
      <c r="F55" s="255"/>
      <c r="G55" s="277"/>
      <c r="H55" s="258"/>
      <c r="I55" s="280"/>
      <c r="J55" s="222"/>
      <c r="L55" s="41"/>
      <c r="M55" s="282" t="s">
        <v>33</v>
      </c>
      <c r="N55" s="283"/>
      <c r="O55" s="266"/>
      <c r="P55" s="44"/>
      <c r="Q55" s="44"/>
    </row>
    <row r="56" spans="1:21" s="40" customFormat="1" ht="23.25" customHeight="1" x14ac:dyDescent="0.25">
      <c r="A56" s="240"/>
      <c r="B56" s="243"/>
      <c r="C56" s="285"/>
      <c r="D56" s="286"/>
      <c r="E56" s="280"/>
      <c r="F56" s="255"/>
      <c r="G56" s="277"/>
      <c r="H56" s="258"/>
      <c r="I56" s="280"/>
      <c r="J56" s="222"/>
      <c r="L56" s="41"/>
      <c r="M56" s="42"/>
      <c r="N56" s="43" t="s">
        <v>17</v>
      </c>
      <c r="O56" s="266"/>
      <c r="P56" s="44">
        <v>2</v>
      </c>
      <c r="Q56" s="44"/>
    </row>
    <row r="57" spans="1:21" s="40" customFormat="1" ht="24.75" customHeight="1" x14ac:dyDescent="0.25">
      <c r="A57" s="240"/>
      <c r="B57" s="243"/>
      <c r="C57" s="285" t="s">
        <v>65</v>
      </c>
      <c r="D57" s="286"/>
      <c r="E57" s="280"/>
      <c r="F57" s="255"/>
      <c r="G57" s="277"/>
      <c r="H57" s="258"/>
      <c r="I57" s="280"/>
      <c r="J57" s="222"/>
      <c r="L57" s="41"/>
      <c r="M57" s="42" t="s">
        <v>34</v>
      </c>
      <c r="N57" s="43" t="s">
        <v>23</v>
      </c>
      <c r="O57" s="266"/>
    </row>
    <row r="58" spans="1:21" s="40" customFormat="1" ht="40.5" customHeight="1" thickBot="1" x14ac:dyDescent="0.3">
      <c r="A58" s="241"/>
      <c r="B58" s="244"/>
      <c r="C58" s="288"/>
      <c r="D58" s="287"/>
      <c r="E58" s="281"/>
      <c r="F58" s="256"/>
      <c r="G58" s="278"/>
      <c r="H58" s="259"/>
      <c r="I58" s="281"/>
      <c r="J58" s="223"/>
      <c r="L58" s="41"/>
      <c r="M58" s="42"/>
      <c r="N58" s="43" t="s">
        <v>24</v>
      </c>
      <c r="O58" s="266"/>
    </row>
    <row r="59" spans="1:21" s="47" customFormat="1" ht="30" customHeight="1" x14ac:dyDescent="0.25">
      <c r="A59" s="76"/>
      <c r="B59" s="206" t="s">
        <v>35</v>
      </c>
      <c r="C59" s="207"/>
      <c r="D59" s="208"/>
      <c r="E59" s="209"/>
      <c r="F59" s="209"/>
      <c r="G59" s="209"/>
      <c r="H59" s="209"/>
      <c r="I59" s="209"/>
      <c r="J59" s="210"/>
      <c r="K59" s="74"/>
      <c r="L59" s="52"/>
      <c r="M59" s="45"/>
      <c r="N59" s="45"/>
      <c r="O59" s="53"/>
      <c r="U59" s="51"/>
    </row>
    <row r="60" spans="1:21" s="47" customFormat="1" ht="72" hidden="1" customHeight="1" x14ac:dyDescent="0.2">
      <c r="A60" s="234"/>
      <c r="B60" s="235" t="s">
        <v>37</v>
      </c>
      <c r="C60" s="236"/>
      <c r="D60" s="267"/>
      <c r="E60" s="268"/>
      <c r="F60" s="268"/>
      <c r="G60" s="268"/>
      <c r="H60" s="268"/>
      <c r="I60" s="268"/>
      <c r="J60" s="269"/>
      <c r="K60" s="74"/>
      <c r="L60" s="52"/>
      <c r="M60" s="52"/>
      <c r="N60" s="52"/>
      <c r="O60" s="53"/>
      <c r="U60" s="51"/>
    </row>
    <row r="61" spans="1:21" s="47" customFormat="1" ht="72" hidden="1" customHeight="1" x14ac:dyDescent="0.2">
      <c r="A61" s="239"/>
      <c r="B61" s="270" t="s">
        <v>38</v>
      </c>
      <c r="C61" s="272"/>
      <c r="D61" s="274"/>
      <c r="E61" s="275"/>
      <c r="F61" s="275"/>
      <c r="G61" s="275"/>
      <c r="H61" s="275"/>
      <c r="I61" s="275"/>
      <c r="J61" s="275"/>
      <c r="L61" s="48"/>
      <c r="M61" s="52"/>
      <c r="N61" s="52"/>
      <c r="O61" s="54"/>
      <c r="P61" s="55"/>
      <c r="U61" s="51"/>
    </row>
    <row r="62" spans="1:21" s="47" customFormat="1" ht="72" hidden="1" customHeight="1" x14ac:dyDescent="0.25">
      <c r="A62" s="240"/>
      <c r="B62" s="271" t="s">
        <v>39</v>
      </c>
      <c r="C62" s="273"/>
      <c r="D62" s="75"/>
      <c r="E62" s="75"/>
      <c r="F62" s="75"/>
      <c r="G62" s="75"/>
      <c r="H62" s="75"/>
      <c r="I62" s="75"/>
      <c r="J62" s="75"/>
      <c r="L62" s="48"/>
      <c r="M62" s="56"/>
      <c r="N62" s="56"/>
      <c r="O62" s="54"/>
      <c r="P62" s="55"/>
      <c r="U62" s="51"/>
    </row>
    <row r="63" spans="1:21" s="40" customFormat="1" ht="16.5" customHeight="1" thickBot="1" x14ac:dyDescent="0.3">
      <c r="A63" s="14"/>
      <c r="B63" s="10"/>
      <c r="C63" s="10"/>
      <c r="D63" s="57"/>
      <c r="E63" s="58"/>
      <c r="F63" s="57"/>
      <c r="G63" s="58"/>
      <c r="H63" s="57"/>
      <c r="I63" s="58"/>
      <c r="J63" s="57"/>
      <c r="L63" s="41"/>
      <c r="M63" s="56"/>
      <c r="N63" s="56"/>
      <c r="O63" s="59"/>
      <c r="P63" s="60"/>
      <c r="Q63" s="44"/>
      <c r="U63" s="23"/>
    </row>
    <row r="64" spans="1:21" s="40" customFormat="1" ht="18" customHeight="1" thickBot="1" x14ac:dyDescent="0.3">
      <c r="A64" s="234" t="s">
        <v>66</v>
      </c>
      <c r="B64" s="235"/>
      <c r="C64" s="236"/>
      <c r="D64" s="36"/>
      <c r="E64" s="37"/>
      <c r="F64" s="61"/>
      <c r="G64" s="37"/>
      <c r="H64" s="61"/>
      <c r="I64" s="37"/>
      <c r="J64" s="61"/>
      <c r="L64" s="41"/>
      <c r="M64" s="237" t="s">
        <v>67</v>
      </c>
      <c r="N64" s="238"/>
      <c r="O64" s="72"/>
      <c r="P64" s="44"/>
      <c r="Q64" s="44"/>
    </row>
    <row r="65" spans="1:21" s="40" customFormat="1" ht="12" customHeight="1" x14ac:dyDescent="0.25">
      <c r="A65" s="239"/>
      <c r="B65" s="242" t="s">
        <v>68</v>
      </c>
      <c r="C65" s="245" t="s">
        <v>69</v>
      </c>
      <c r="D65" s="248">
        <v>0.4</v>
      </c>
      <c r="E65" s="251">
        <v>47.6</v>
      </c>
      <c r="F65" s="254">
        <v>0.5</v>
      </c>
      <c r="G65" s="218">
        <v>52.9</v>
      </c>
      <c r="H65" s="257">
        <v>1</v>
      </c>
      <c r="I65" s="251">
        <v>58.2</v>
      </c>
      <c r="J65" s="221">
        <v>2</v>
      </c>
      <c r="L65" s="41"/>
      <c r="M65" s="260">
        <v>54.1</v>
      </c>
      <c r="N65" s="261"/>
      <c r="O65" s="266">
        <f>IF(M65&gt;=I65,J65*D65*$J$2,IF(M65&gt;=G65,H65*D65*$J$2+(M65-G65)/(I65-G65)*(J65*D65*$J$2-H65*D65*$J$2),IF(M65&gt;=E65,F65*D65*$J$2+(M65-E65)/(G65-E65)*(H65*D65*$J$2-F65*D65*$J$2),IF(M65&lt;E65,0,""))))</f>
        <v>0.49056603773584923</v>
      </c>
      <c r="P65" s="44"/>
      <c r="Q65" s="44"/>
    </row>
    <row r="66" spans="1:21" s="40" customFormat="1" ht="15" customHeight="1" x14ac:dyDescent="0.25">
      <c r="A66" s="240"/>
      <c r="B66" s="243"/>
      <c r="C66" s="246"/>
      <c r="D66" s="249"/>
      <c r="E66" s="252"/>
      <c r="F66" s="255"/>
      <c r="G66" s="219"/>
      <c r="H66" s="258"/>
      <c r="I66" s="252"/>
      <c r="J66" s="222"/>
      <c r="L66" s="41"/>
      <c r="M66" s="262"/>
      <c r="N66" s="263"/>
      <c r="O66" s="266"/>
      <c r="P66" s="44"/>
      <c r="Q66" s="44"/>
    </row>
    <row r="67" spans="1:21" s="40" customFormat="1" ht="13.5" customHeight="1" x14ac:dyDescent="0.25">
      <c r="A67" s="240"/>
      <c r="B67" s="243"/>
      <c r="C67" s="246"/>
      <c r="D67" s="249"/>
      <c r="E67" s="252"/>
      <c r="F67" s="255"/>
      <c r="G67" s="219"/>
      <c r="H67" s="258"/>
      <c r="I67" s="252"/>
      <c r="J67" s="222"/>
      <c r="L67" s="41"/>
      <c r="M67" s="262"/>
      <c r="N67" s="263"/>
      <c r="O67" s="266"/>
      <c r="P67" s="44">
        <v>2</v>
      </c>
      <c r="Q67" s="44"/>
      <c r="S67" s="77"/>
      <c r="T67" s="27"/>
    </row>
    <row r="68" spans="1:21" s="40" customFormat="1" ht="18" x14ac:dyDescent="0.25">
      <c r="A68" s="240"/>
      <c r="B68" s="243"/>
      <c r="C68" s="246"/>
      <c r="D68" s="249"/>
      <c r="E68" s="252"/>
      <c r="F68" s="255"/>
      <c r="G68" s="219"/>
      <c r="H68" s="258"/>
      <c r="I68" s="252"/>
      <c r="J68" s="222"/>
      <c r="L68" s="41"/>
      <c r="M68" s="262"/>
      <c r="N68" s="263"/>
      <c r="O68" s="266"/>
      <c r="S68" s="78"/>
    </row>
    <row r="69" spans="1:21" s="40" customFormat="1" ht="33.75" customHeight="1" thickBot="1" x14ac:dyDescent="0.3">
      <c r="A69" s="241"/>
      <c r="B69" s="244"/>
      <c r="C69" s="247"/>
      <c r="D69" s="250"/>
      <c r="E69" s="253"/>
      <c r="F69" s="256"/>
      <c r="G69" s="220"/>
      <c r="H69" s="259"/>
      <c r="I69" s="253"/>
      <c r="J69" s="223"/>
      <c r="L69" s="41"/>
      <c r="M69" s="264"/>
      <c r="N69" s="265"/>
      <c r="O69" s="266"/>
      <c r="S69" s="79"/>
      <c r="T69" s="80"/>
    </row>
    <row r="70" spans="1:21" s="47" customFormat="1" ht="39.75" customHeight="1" x14ac:dyDescent="0.25">
      <c r="A70" s="76"/>
      <c r="B70" s="206" t="s">
        <v>35</v>
      </c>
      <c r="C70" s="207"/>
      <c r="D70" s="231"/>
      <c r="E70" s="232"/>
      <c r="F70" s="232"/>
      <c r="G70" s="232"/>
      <c r="H70" s="232"/>
      <c r="I70" s="232"/>
      <c r="J70" s="233"/>
      <c r="K70" s="74"/>
      <c r="L70" s="52"/>
      <c r="M70" s="52"/>
      <c r="N70" s="52"/>
      <c r="O70" s="53"/>
      <c r="U70" s="51"/>
    </row>
    <row r="71" spans="1:21" s="40" customFormat="1" ht="16.5" customHeight="1" thickBot="1" x14ac:dyDescent="0.3">
      <c r="A71" s="14"/>
      <c r="B71" s="10"/>
      <c r="C71" s="10"/>
      <c r="D71" s="57"/>
      <c r="E71" s="58"/>
      <c r="F71" s="57"/>
      <c r="G71" s="58"/>
      <c r="H71" s="57"/>
      <c r="I71" s="58"/>
      <c r="J71" s="57"/>
      <c r="L71" s="41"/>
      <c r="M71" s="34"/>
      <c r="N71" s="34"/>
      <c r="O71" s="59"/>
      <c r="P71" s="60"/>
      <c r="Q71" s="44"/>
      <c r="U71" s="23"/>
    </row>
    <row r="72" spans="1:21" s="40" customFormat="1" ht="18" customHeight="1" thickBot="1" x14ac:dyDescent="0.3">
      <c r="A72" s="234" t="s">
        <v>70</v>
      </c>
      <c r="B72" s="235"/>
      <c r="C72" s="236"/>
      <c r="D72" s="36"/>
      <c r="E72" s="37"/>
      <c r="F72" s="61"/>
      <c r="G72" s="37"/>
      <c r="H72" s="61"/>
      <c r="I72" s="37"/>
      <c r="J72" s="61"/>
      <c r="L72" s="41"/>
      <c r="M72" s="237" t="s">
        <v>67</v>
      </c>
      <c r="N72" s="238"/>
      <c r="O72" s="72"/>
      <c r="P72" s="44"/>
      <c r="Q72" s="44"/>
    </row>
    <row r="73" spans="1:21" s="40" customFormat="1" ht="12" customHeight="1" x14ac:dyDescent="0.25">
      <c r="A73" s="239"/>
      <c r="B73" s="242" t="s">
        <v>71</v>
      </c>
      <c r="C73" s="245" t="s">
        <v>72</v>
      </c>
      <c r="D73" s="248">
        <v>0.05</v>
      </c>
      <c r="E73" s="251">
        <v>86.9</v>
      </c>
      <c r="F73" s="254">
        <v>0.5</v>
      </c>
      <c r="G73" s="251">
        <v>91.5</v>
      </c>
      <c r="H73" s="257">
        <v>1</v>
      </c>
      <c r="I73" s="218">
        <v>96.1</v>
      </c>
      <c r="J73" s="221">
        <v>2</v>
      </c>
      <c r="L73" s="41"/>
      <c r="M73" s="224">
        <v>121.8</v>
      </c>
      <c r="N73" s="225"/>
      <c r="O73" s="230">
        <f>IF(M73&gt;=I73,J73*D73*$J$2,IF(M73&gt;=G73,H73*D73*$J$2+(M73-G73)/(I73-G73)*(J73*D73*$J$2-H73*D73*$J$2),IF(M73&gt;=E73,F73*D73*$J$2+(M73-E73)/(G73-E73)*(H73*D73*$J$2-F73*D73*$J$2),IF(M73&lt;E73,0,""))))</f>
        <v>0.1</v>
      </c>
      <c r="P73" s="44"/>
      <c r="Q73" s="44"/>
    </row>
    <row r="74" spans="1:21" s="40" customFormat="1" ht="15" customHeight="1" x14ac:dyDescent="0.25">
      <c r="A74" s="240"/>
      <c r="B74" s="243"/>
      <c r="C74" s="246"/>
      <c r="D74" s="249"/>
      <c r="E74" s="252"/>
      <c r="F74" s="255"/>
      <c r="G74" s="252"/>
      <c r="H74" s="258"/>
      <c r="I74" s="219"/>
      <c r="J74" s="222"/>
      <c r="L74" s="41"/>
      <c r="M74" s="226"/>
      <c r="N74" s="227"/>
      <c r="O74" s="230"/>
      <c r="P74" s="44"/>
      <c r="Q74" s="44"/>
    </row>
    <row r="75" spans="1:21" s="40" customFormat="1" ht="13.5" customHeight="1" x14ac:dyDescent="0.25">
      <c r="A75" s="240"/>
      <c r="B75" s="243"/>
      <c r="C75" s="246"/>
      <c r="D75" s="249"/>
      <c r="E75" s="252"/>
      <c r="F75" s="255"/>
      <c r="G75" s="252"/>
      <c r="H75" s="258"/>
      <c r="I75" s="219"/>
      <c r="J75" s="222"/>
      <c r="L75" s="41"/>
      <c r="M75" s="226"/>
      <c r="N75" s="227"/>
      <c r="O75" s="230"/>
      <c r="P75" s="44">
        <v>2</v>
      </c>
      <c r="Q75" s="44"/>
    </row>
    <row r="76" spans="1:21" s="40" customFormat="1" ht="12" customHeight="1" x14ac:dyDescent="0.25">
      <c r="A76" s="240"/>
      <c r="B76" s="243"/>
      <c r="C76" s="246"/>
      <c r="D76" s="249"/>
      <c r="E76" s="252"/>
      <c r="F76" s="255"/>
      <c r="G76" s="252"/>
      <c r="H76" s="258"/>
      <c r="I76" s="219"/>
      <c r="J76" s="222"/>
      <c r="L76" s="41"/>
      <c r="M76" s="226"/>
      <c r="N76" s="227"/>
      <c r="O76" s="230"/>
    </row>
    <row r="77" spans="1:21" s="40" customFormat="1" ht="48" customHeight="1" thickBot="1" x14ac:dyDescent="0.3">
      <c r="A77" s="241"/>
      <c r="B77" s="244"/>
      <c r="C77" s="247"/>
      <c r="D77" s="250"/>
      <c r="E77" s="253"/>
      <c r="F77" s="256"/>
      <c r="G77" s="253"/>
      <c r="H77" s="259"/>
      <c r="I77" s="220"/>
      <c r="J77" s="223"/>
      <c r="L77" s="41"/>
      <c r="M77" s="228"/>
      <c r="N77" s="229"/>
      <c r="O77" s="230"/>
    </row>
    <row r="78" spans="1:21" s="47" customFormat="1" ht="30" customHeight="1" thickBot="1" x14ac:dyDescent="0.3">
      <c r="A78" s="76"/>
      <c r="B78" s="206" t="s">
        <v>35</v>
      </c>
      <c r="C78" s="207"/>
      <c r="D78" s="231"/>
      <c r="E78" s="232"/>
      <c r="F78" s="232"/>
      <c r="G78" s="232"/>
      <c r="H78" s="232"/>
      <c r="I78" s="232"/>
      <c r="J78" s="233"/>
      <c r="K78" s="74"/>
      <c r="L78" s="52"/>
      <c r="M78" s="81"/>
      <c r="N78" s="81"/>
      <c r="O78" s="53"/>
      <c r="U78" s="51"/>
    </row>
    <row r="79" spans="1:21" s="47" customFormat="1" ht="30" customHeight="1" thickBot="1" x14ac:dyDescent="0.3">
      <c r="A79" s="76"/>
      <c r="B79" s="206" t="s">
        <v>35</v>
      </c>
      <c r="C79" s="207"/>
      <c r="D79" s="208"/>
      <c r="E79" s="209"/>
      <c r="F79" s="209"/>
      <c r="G79" s="209"/>
      <c r="H79" s="209"/>
      <c r="I79" s="209"/>
      <c r="J79" s="210"/>
      <c r="K79" s="74"/>
      <c r="L79" s="52"/>
      <c r="M79" s="81"/>
      <c r="N79" s="81"/>
      <c r="O79" s="82"/>
      <c r="U79" s="51"/>
    </row>
    <row r="80" spans="1:21" s="40" customFormat="1" ht="12" customHeight="1" thickBot="1" x14ac:dyDescent="0.3">
      <c r="A80" s="211" t="s">
        <v>73</v>
      </c>
      <c r="B80" s="211"/>
      <c r="C80" s="211"/>
      <c r="D80" s="211"/>
      <c r="E80" s="211"/>
      <c r="F80" s="30"/>
      <c r="G80" s="31"/>
      <c r="H80" s="30"/>
      <c r="I80" s="31"/>
      <c r="J80" s="30"/>
      <c r="L80" s="83"/>
      <c r="M80" s="84" t="s">
        <v>74</v>
      </c>
      <c r="N80" s="85"/>
      <c r="O80" s="86"/>
    </row>
    <row r="81" spans="1:20" s="40" customFormat="1" ht="12" customHeight="1" thickBot="1" x14ac:dyDescent="0.3">
      <c r="A81" s="211"/>
      <c r="B81" s="211"/>
      <c r="C81" s="211"/>
      <c r="D81" s="211"/>
      <c r="E81" s="211"/>
      <c r="F81" s="57"/>
      <c r="G81" s="58"/>
      <c r="H81" s="57"/>
      <c r="I81" s="58"/>
      <c r="J81" s="57"/>
    </row>
    <row r="82" spans="1:20" s="40" customFormat="1" ht="12" customHeight="1" thickBot="1" x14ac:dyDescent="0.3">
      <c r="A82" s="200" t="s">
        <v>75</v>
      </c>
      <c r="B82" s="200"/>
      <c r="C82" s="200"/>
      <c r="D82" s="200"/>
      <c r="E82" s="212"/>
      <c r="F82" s="213" t="s">
        <v>76</v>
      </c>
      <c r="G82" s="214"/>
      <c r="H82" s="214"/>
      <c r="I82" s="214"/>
      <c r="J82" s="215"/>
      <c r="M82" s="87"/>
      <c r="O82" s="88"/>
    </row>
    <row r="83" spans="1:20" s="40" customFormat="1" ht="16.5" customHeight="1" x14ac:dyDescent="0.25">
      <c r="A83" s="200"/>
      <c r="B83" s="200"/>
      <c r="C83" s="200"/>
      <c r="D83" s="200"/>
      <c r="E83" s="212"/>
      <c r="F83" s="216" t="str">
        <f>E8</f>
        <v>Threshold</v>
      </c>
      <c r="G83" s="217"/>
      <c r="H83" s="89" t="str">
        <f>G8</f>
        <v>Target</v>
      </c>
      <c r="I83" s="90"/>
      <c r="J83" s="91" t="str">
        <f>I8</f>
        <v>Stretch</v>
      </c>
      <c r="M83" s="87"/>
      <c r="N83" s="88"/>
      <c r="O83" s="88"/>
    </row>
    <row r="84" spans="1:20" s="40" customFormat="1" ht="16.5" customHeight="1" x14ac:dyDescent="0.25">
      <c r="A84" s="200"/>
      <c r="B84" s="200"/>
      <c r="C84" s="200"/>
      <c r="D84" s="200"/>
      <c r="E84" s="212"/>
      <c r="F84" s="92">
        <f>((F13*$D$13)+(F24*$D$24)+(F35*$D$35)+(F43*$D$43)+(F54*$D$54)+(F65*$D$65)+(F73*$D$73))*$J$2</f>
        <v>0.5</v>
      </c>
      <c r="G84" s="93"/>
      <c r="H84" s="94">
        <f>((H13*$D$13)+(H24*$D$24)+(H35*$D$35)+(H43*$D$43)+(H54*$D$54)+(H65*$D$65)+(H73*$D$73))*$J$2</f>
        <v>1</v>
      </c>
      <c r="I84" s="95"/>
      <c r="J84" s="96">
        <f>((J13*$D$13)+(J24*$D$24)+(J35*$D$35)+(J43*$D$43)+(J54*$D$54)+(J65*$D$65)+(J73*$D$73))*$J$2</f>
        <v>2</v>
      </c>
      <c r="M84" s="87"/>
      <c r="N84" s="88"/>
      <c r="O84" s="88"/>
    </row>
    <row r="85" spans="1:20" s="40" customFormat="1" ht="15" customHeight="1" thickBot="1" x14ac:dyDescent="0.3">
      <c r="A85" s="200"/>
      <c r="B85" s="200"/>
      <c r="C85" s="200"/>
      <c r="D85" s="200"/>
      <c r="E85" s="212"/>
      <c r="F85" s="97">
        <f>((F13*$D$13)+(F24*$D$24)+(F35*$D$35)+(F43*$D$43)+(F54*$D$54)+(F65*$D$65)+(F73*$D$73))*$B$6*$F$4</f>
        <v>0</v>
      </c>
      <c r="G85" s="98"/>
      <c r="H85" s="99">
        <f>((H13*$D$13)+(H24*$D$24)+(H35*$D$35)+(H43*$D$43)+(H54*$D$54)+(H65*$D$65)+(H73*$D$73))*$B$6*$F$4</f>
        <v>0</v>
      </c>
      <c r="I85" s="98"/>
      <c r="J85" s="100">
        <f>((J13*$D$13)+(J24*$D$24)+(J35*$D$35)+(J43*$D$43)+(J54*$D$54)+(J65*$D$65)+(J73*$D$73))*$B$6*$F$4</f>
        <v>0</v>
      </c>
      <c r="M85" s="87"/>
      <c r="N85" s="88"/>
      <c r="O85" s="88"/>
    </row>
    <row r="86" spans="1:20" s="40" customFormat="1" ht="30" customHeight="1" thickBot="1" x14ac:dyDescent="0.3">
      <c r="A86" s="180" t="s">
        <v>77</v>
      </c>
      <c r="B86" s="180"/>
      <c r="C86" s="180"/>
      <c r="D86" s="180"/>
      <c r="E86" s="180"/>
      <c r="F86" s="57"/>
      <c r="G86" s="101"/>
      <c r="H86" s="57"/>
      <c r="I86" s="102"/>
      <c r="J86" s="57"/>
      <c r="M86" s="103"/>
      <c r="N86" s="103"/>
      <c r="O86" s="103"/>
      <c r="S86" s="44"/>
      <c r="T86" s="44"/>
    </row>
    <row r="87" spans="1:20" s="40" customFormat="1" ht="12" customHeight="1" x14ac:dyDescent="0.2">
      <c r="A87" s="180"/>
      <c r="B87" s="180"/>
      <c r="C87" s="180"/>
      <c r="D87" s="180"/>
      <c r="E87" s="180"/>
      <c r="F87" s="181" t="s">
        <v>78</v>
      </c>
      <c r="G87" s="182"/>
      <c r="H87" s="182"/>
      <c r="I87" s="182"/>
      <c r="J87" s="183"/>
      <c r="M87" s="190">
        <f>SUM(O12:O79)</f>
        <v>1.5905660377358493</v>
      </c>
      <c r="N87" s="191"/>
      <c r="O87" s="192"/>
      <c r="P87" s="196"/>
      <c r="Q87" s="197"/>
      <c r="R87" s="197"/>
      <c r="S87" s="9"/>
      <c r="T87" s="9"/>
    </row>
    <row r="88" spans="1:20" s="40" customFormat="1" ht="16.5" customHeight="1" x14ac:dyDescent="0.2">
      <c r="A88" s="104"/>
      <c r="B88" s="104"/>
      <c r="C88" s="104"/>
      <c r="D88" s="104"/>
      <c r="E88" s="104"/>
      <c r="F88" s="184"/>
      <c r="G88" s="185"/>
      <c r="H88" s="185"/>
      <c r="I88" s="185"/>
      <c r="J88" s="186"/>
      <c r="M88" s="193"/>
      <c r="N88" s="194"/>
      <c r="O88" s="195"/>
      <c r="P88" s="198"/>
      <c r="Q88" s="199"/>
      <c r="R88" s="199"/>
      <c r="S88" s="9"/>
      <c r="T88" s="9"/>
    </row>
    <row r="89" spans="1:20" s="40" customFormat="1" ht="21.75" customHeight="1" thickBot="1" x14ac:dyDescent="0.25">
      <c r="A89" s="200" t="s">
        <v>79</v>
      </c>
      <c r="B89" s="200"/>
      <c r="C89" s="200"/>
      <c r="D89" s="200"/>
      <c r="E89" s="200"/>
      <c r="F89" s="187"/>
      <c r="G89" s="188"/>
      <c r="H89" s="188"/>
      <c r="I89" s="188"/>
      <c r="J89" s="189"/>
      <c r="M89" s="201">
        <f>M87*B6</f>
        <v>0</v>
      </c>
      <c r="N89" s="202"/>
      <c r="O89" s="203"/>
      <c r="S89" s="9"/>
      <c r="T89" s="9"/>
    </row>
    <row r="90" spans="1:20" ht="8.25" customHeight="1" x14ac:dyDescent="0.2">
      <c r="A90" s="200"/>
      <c r="B90" s="200"/>
      <c r="C90" s="200"/>
      <c r="D90" s="200"/>
      <c r="E90" s="200"/>
      <c r="M90" s="105"/>
      <c r="N90" s="105"/>
      <c r="O90" s="105"/>
    </row>
    <row r="91" spans="1:20" ht="17.25" customHeight="1" x14ac:dyDescent="0.2">
      <c r="A91" s="200"/>
      <c r="B91" s="200"/>
      <c r="C91" s="200"/>
      <c r="D91" s="200"/>
      <c r="E91" s="200"/>
      <c r="F91" s="204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Final Incentive calculations will be subject to audit review of all formulas.</v>
      </c>
      <c r="G91" s="204"/>
      <c r="H91" s="204"/>
      <c r="I91" s="204"/>
      <c r="J91" s="106"/>
      <c r="K91" s="106"/>
      <c r="L91" s="106"/>
      <c r="M91" s="106"/>
      <c r="N91" s="106"/>
      <c r="O91" s="106"/>
    </row>
    <row r="92" spans="1:20" ht="17.25" customHeight="1" thickBot="1" x14ac:dyDescent="0.25">
      <c r="A92" s="107"/>
      <c r="B92" s="107"/>
      <c r="C92" s="107"/>
      <c r="D92" s="107"/>
      <c r="E92" s="107"/>
      <c r="F92" s="205"/>
      <c r="G92" s="205"/>
      <c r="H92" s="205"/>
      <c r="I92" s="205"/>
      <c r="J92" s="108"/>
      <c r="K92" s="108"/>
      <c r="L92" s="108"/>
      <c r="M92" s="108"/>
      <c r="N92" s="108"/>
      <c r="O92" s="108"/>
    </row>
    <row r="93" spans="1:20" ht="20.25" x14ac:dyDescent="0.3">
      <c r="A93" s="109"/>
      <c r="B93" s="110"/>
      <c r="C93" s="110"/>
      <c r="D93" s="110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113"/>
      <c r="Q93" s="113"/>
      <c r="R93" s="113"/>
      <c r="S93" s="113"/>
    </row>
    <row r="94" spans="1:20" ht="18.75" customHeight="1" x14ac:dyDescent="0.3">
      <c r="A94" s="114" t="s">
        <v>80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6"/>
      <c r="P94" s="113"/>
      <c r="Q94" s="113"/>
      <c r="R94" s="113"/>
      <c r="S94" s="113"/>
    </row>
    <row r="95" spans="1:20" ht="20.25" x14ac:dyDescent="0.3">
      <c r="A95" s="117" t="s">
        <v>81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9"/>
    </row>
    <row r="96" spans="1:20" ht="20.25" x14ac:dyDescent="0.3">
      <c r="A96" s="120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2"/>
    </row>
    <row r="97" spans="1:15" ht="20.25" x14ac:dyDescent="0.3">
      <c r="A97" s="123" t="s">
        <v>82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5"/>
    </row>
    <row r="98" spans="1:15" ht="18" x14ac:dyDescent="0.25">
      <c r="A98" s="126"/>
      <c r="B98" s="8"/>
      <c r="C98" s="8"/>
      <c r="D98" s="8"/>
      <c r="E98" s="8"/>
      <c r="F98" s="17"/>
      <c r="G98" s="8"/>
      <c r="H98" s="17"/>
      <c r="I98" s="8"/>
      <c r="J98" s="17"/>
      <c r="K98" s="8"/>
      <c r="L98" s="8"/>
      <c r="M98" s="8"/>
      <c r="N98" s="8"/>
      <c r="O98" s="127"/>
    </row>
    <row r="99" spans="1:15" ht="143.25" customHeight="1" x14ac:dyDescent="0.2">
      <c r="A99" s="128" t="s">
        <v>83</v>
      </c>
      <c r="B99" s="129" t="s">
        <v>84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1"/>
    </row>
    <row r="100" spans="1:15" ht="47.25" customHeight="1" x14ac:dyDescent="0.25">
      <c r="A100" s="132"/>
      <c r="B100" s="133"/>
      <c r="C100" s="133"/>
      <c r="D100" s="133"/>
      <c r="E100" s="133"/>
      <c r="F100" s="134"/>
      <c r="G100" s="133"/>
      <c r="H100" s="134"/>
      <c r="I100" s="133"/>
      <c r="J100" s="134"/>
      <c r="K100" s="133"/>
      <c r="L100" s="133"/>
      <c r="M100" s="133"/>
      <c r="N100" s="133"/>
      <c r="O100" s="135"/>
    </row>
    <row r="101" spans="1:15" ht="119.25" customHeight="1" x14ac:dyDescent="0.2">
      <c r="A101" s="128" t="s">
        <v>83</v>
      </c>
      <c r="B101" s="129" t="s">
        <v>84</v>
      </c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1"/>
    </row>
    <row r="102" spans="1:15" ht="36.75" customHeight="1" x14ac:dyDescent="0.25">
      <c r="A102" s="132"/>
      <c r="B102" s="133"/>
      <c r="C102" s="133"/>
      <c r="D102" s="133"/>
      <c r="E102" s="133"/>
      <c r="F102" s="134"/>
      <c r="G102" s="133"/>
      <c r="H102" s="134"/>
      <c r="I102" s="133"/>
      <c r="J102" s="134"/>
      <c r="K102" s="133"/>
      <c r="L102" s="133"/>
      <c r="M102" s="133"/>
      <c r="N102" s="133"/>
      <c r="O102" s="135"/>
    </row>
    <row r="103" spans="1:15" ht="130.5" customHeight="1" x14ac:dyDescent="0.2">
      <c r="A103" s="128" t="s">
        <v>83</v>
      </c>
      <c r="B103" s="129" t="s">
        <v>84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1"/>
    </row>
    <row r="104" spans="1:15" ht="18" x14ac:dyDescent="0.25">
      <c r="A104" s="8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5" ht="18" x14ac:dyDescent="0.25">
      <c r="C105" s="137"/>
    </row>
  </sheetData>
  <sheetProtection formatCells="0" formatColumns="0" formatRows="0" selectLockedCells="1"/>
  <protectedRanges>
    <protectedRange sqref="F4" name="Range1"/>
  </protectedRanges>
  <mergeCells count="167">
    <mergeCell ref="A1:O1"/>
    <mergeCell ref="A2:C2"/>
    <mergeCell ref="E2:G2"/>
    <mergeCell ref="A3:C3"/>
    <mergeCell ref="D3:F3"/>
    <mergeCell ref="A4:C4"/>
    <mergeCell ref="A5:C5"/>
    <mergeCell ref="E5:G5"/>
    <mergeCell ref="E6:G6"/>
    <mergeCell ref="J8:J10"/>
    <mergeCell ref="L8:N10"/>
    <mergeCell ref="O8:O10"/>
    <mergeCell ref="A12:C12"/>
    <mergeCell ref="O12:O16"/>
    <mergeCell ref="A13:A17"/>
    <mergeCell ref="B13:B17"/>
    <mergeCell ref="C13:C17"/>
    <mergeCell ref="J13:J17"/>
    <mergeCell ref="M13:N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8:A21"/>
    <mergeCell ref="B18:C18"/>
    <mergeCell ref="D18:J18"/>
    <mergeCell ref="B19:C19"/>
    <mergeCell ref="D19:J19"/>
    <mergeCell ref="B20:C20"/>
    <mergeCell ref="D20:J20"/>
    <mergeCell ref="B21:C21"/>
    <mergeCell ref="D13:D17"/>
    <mergeCell ref="E13:E17"/>
    <mergeCell ref="F13:F17"/>
    <mergeCell ref="G13:G17"/>
    <mergeCell ref="H13:H17"/>
    <mergeCell ref="I13:I17"/>
    <mergeCell ref="D21:J21"/>
    <mergeCell ref="A23:C23"/>
    <mergeCell ref="O23:O27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35:A39"/>
    <mergeCell ref="B35:B39"/>
    <mergeCell ref="C35:C39"/>
    <mergeCell ref="D35:D39"/>
    <mergeCell ref="E35:E39"/>
    <mergeCell ref="F35:F39"/>
    <mergeCell ref="G35:G39"/>
    <mergeCell ref="O43:O47"/>
    <mergeCell ref="M44:N44"/>
    <mergeCell ref="A42:C42"/>
    <mergeCell ref="A43:A47"/>
    <mergeCell ref="B43:B47"/>
    <mergeCell ref="C43:C47"/>
    <mergeCell ref="D43:D47"/>
    <mergeCell ref="E43:E47"/>
    <mergeCell ref="H35:H39"/>
    <mergeCell ref="I35:I39"/>
    <mergeCell ref="J35:J39"/>
    <mergeCell ref="O35:O39"/>
    <mergeCell ref="M36:N36"/>
    <mergeCell ref="B40:C40"/>
    <mergeCell ref="D40:J40"/>
    <mergeCell ref="A48:A51"/>
    <mergeCell ref="B48:C48"/>
    <mergeCell ref="D48:J48"/>
    <mergeCell ref="B49:C49"/>
    <mergeCell ref="D49:J49"/>
    <mergeCell ref="B50:C50"/>
    <mergeCell ref="D50:J50"/>
    <mergeCell ref="B51:C51"/>
    <mergeCell ref="F43:F47"/>
    <mergeCell ref="G43:G47"/>
    <mergeCell ref="H43:H47"/>
    <mergeCell ref="I43:I47"/>
    <mergeCell ref="J43:J47"/>
    <mergeCell ref="O54:O58"/>
    <mergeCell ref="M55:N55"/>
    <mergeCell ref="A53:C53"/>
    <mergeCell ref="A54:A58"/>
    <mergeCell ref="B54:B58"/>
    <mergeCell ref="C54:C56"/>
    <mergeCell ref="D54:D58"/>
    <mergeCell ref="E54:E58"/>
    <mergeCell ref="C57:C58"/>
    <mergeCell ref="B59:C59"/>
    <mergeCell ref="D59:J59"/>
    <mergeCell ref="A60:C60"/>
    <mergeCell ref="D60:J60"/>
    <mergeCell ref="A61:A62"/>
    <mergeCell ref="B61:B62"/>
    <mergeCell ref="C61:C62"/>
    <mergeCell ref="D61:J61"/>
    <mergeCell ref="F54:F58"/>
    <mergeCell ref="G54:G58"/>
    <mergeCell ref="H54:H58"/>
    <mergeCell ref="I54:I58"/>
    <mergeCell ref="J54:J58"/>
    <mergeCell ref="I65:I69"/>
    <mergeCell ref="J65:J69"/>
    <mergeCell ref="M65:N69"/>
    <mergeCell ref="O65:O69"/>
    <mergeCell ref="B70:C70"/>
    <mergeCell ref="D70:J70"/>
    <mergeCell ref="A64:C64"/>
    <mergeCell ref="M64:N64"/>
    <mergeCell ref="A65:A69"/>
    <mergeCell ref="B65:B69"/>
    <mergeCell ref="C65:C69"/>
    <mergeCell ref="D65:D69"/>
    <mergeCell ref="E65:E69"/>
    <mergeCell ref="F65:F69"/>
    <mergeCell ref="G65:G69"/>
    <mergeCell ref="H65:H69"/>
    <mergeCell ref="I73:I77"/>
    <mergeCell ref="J73:J77"/>
    <mergeCell ref="M73:N77"/>
    <mergeCell ref="O73:O77"/>
    <mergeCell ref="B78:C78"/>
    <mergeCell ref="D78:J78"/>
    <mergeCell ref="A72:C72"/>
    <mergeCell ref="M72:N72"/>
    <mergeCell ref="A73:A77"/>
    <mergeCell ref="B73:B77"/>
    <mergeCell ref="C73:C77"/>
    <mergeCell ref="D73:D77"/>
    <mergeCell ref="E73:E77"/>
    <mergeCell ref="F73:F77"/>
    <mergeCell ref="G73:G77"/>
    <mergeCell ref="H73:H77"/>
    <mergeCell ref="A86:E87"/>
    <mergeCell ref="F87:J89"/>
    <mergeCell ref="M87:O88"/>
    <mergeCell ref="P87:R88"/>
    <mergeCell ref="A89:E91"/>
    <mergeCell ref="M89:O89"/>
    <mergeCell ref="F91:I92"/>
    <mergeCell ref="B79:C79"/>
    <mergeCell ref="D79:J79"/>
    <mergeCell ref="A80:E81"/>
    <mergeCell ref="A82:E85"/>
    <mergeCell ref="F82:J82"/>
    <mergeCell ref="F83:G83"/>
  </mergeCells>
  <conditionalFormatting sqref="F43:F47">
    <cfRule type="expression" dxfId="57" priority="22" stopIfTrue="1">
      <formula>$M$45&lt;&gt;""</formula>
    </cfRule>
  </conditionalFormatting>
  <conditionalFormatting sqref="H43:H47">
    <cfRule type="expression" dxfId="56" priority="23" stopIfTrue="1">
      <formula>$M$46&lt;&gt;""</formula>
    </cfRule>
  </conditionalFormatting>
  <conditionalFormatting sqref="J43:J47">
    <cfRule type="expression" dxfId="55" priority="24" stopIfTrue="1">
      <formula>$M$47&lt;&gt;""</formula>
    </cfRule>
  </conditionalFormatting>
  <conditionalFormatting sqref="H13:H17">
    <cfRule type="expression" dxfId="54" priority="25" stopIfTrue="1">
      <formula>$M$15&lt;&gt;""</formula>
    </cfRule>
  </conditionalFormatting>
  <conditionalFormatting sqref="J13:J17">
    <cfRule type="expression" dxfId="53" priority="26" stopIfTrue="1">
      <formula>$M$16&lt;&gt;""</formula>
    </cfRule>
  </conditionalFormatting>
  <conditionalFormatting sqref="F24:F28">
    <cfRule type="expression" dxfId="52" priority="27" stopIfTrue="1">
      <formula>$M$25&lt;&gt;""</formula>
    </cfRule>
  </conditionalFormatting>
  <conditionalFormatting sqref="H24:H28">
    <cfRule type="expression" dxfId="51" priority="28" stopIfTrue="1">
      <formula>$M$26&lt;&gt;""</formula>
    </cfRule>
  </conditionalFormatting>
  <conditionalFormatting sqref="J24:J28">
    <cfRule type="expression" dxfId="50" priority="29" stopIfTrue="1">
      <formula>$M$27&lt;&gt;""</formula>
    </cfRule>
  </conditionalFormatting>
  <conditionalFormatting sqref="F54:F58">
    <cfRule type="expression" dxfId="49" priority="19" stopIfTrue="1">
      <formula>$M$56&lt;&gt;""</formula>
    </cfRule>
  </conditionalFormatting>
  <conditionalFormatting sqref="H54:H58">
    <cfRule type="expression" dxfId="48" priority="20" stopIfTrue="1">
      <formula>$M$57&lt;&gt;""</formula>
    </cfRule>
  </conditionalFormatting>
  <conditionalFormatting sqref="J54:J58">
    <cfRule type="expression" dxfId="47" priority="21" stopIfTrue="1">
      <formula>$M$58&lt;&gt;""</formula>
    </cfRule>
  </conditionalFormatting>
  <conditionalFormatting sqref="F65:F69">
    <cfRule type="expression" dxfId="46" priority="16" stopIfTrue="1">
      <formula>$M$65=$E$65</formula>
    </cfRule>
  </conditionalFormatting>
  <conditionalFormatting sqref="H65:H69">
    <cfRule type="expression" dxfId="45" priority="17" stopIfTrue="1">
      <formula>$M$65=$G$65</formula>
    </cfRule>
  </conditionalFormatting>
  <conditionalFormatting sqref="J65:J69">
    <cfRule type="expression" dxfId="44" priority="18" stopIfTrue="1">
      <formula>$M$65=$I$65</formula>
    </cfRule>
  </conditionalFormatting>
  <conditionalFormatting sqref="F73:F77">
    <cfRule type="expression" dxfId="43" priority="13" stopIfTrue="1">
      <formula>$M$73=$E$73</formula>
    </cfRule>
  </conditionalFormatting>
  <conditionalFormatting sqref="H73:H77">
    <cfRule type="expression" dxfId="42" priority="14" stopIfTrue="1">
      <formula>$M$73=$G$73</formula>
    </cfRule>
  </conditionalFormatting>
  <conditionalFormatting sqref="J73:J77">
    <cfRule type="expression" dxfId="41" priority="15" stopIfTrue="1">
      <formula>$M$73=$I$73</formula>
    </cfRule>
  </conditionalFormatting>
  <conditionalFormatting sqref="F35:F39">
    <cfRule type="expression" dxfId="40" priority="10" stopIfTrue="1">
      <formula>$M$37&lt;&gt;""</formula>
    </cfRule>
  </conditionalFormatting>
  <conditionalFormatting sqref="H35:H39">
    <cfRule type="expression" dxfId="39" priority="11" stopIfTrue="1">
      <formula>$M$38&lt;&gt;""</formula>
    </cfRule>
  </conditionalFormatting>
  <conditionalFormatting sqref="J35:J39">
    <cfRule type="expression" dxfId="38" priority="12" stopIfTrue="1">
      <formula>$M$39&lt;&gt;""</formula>
    </cfRule>
  </conditionalFormatting>
  <conditionalFormatting sqref="M73">
    <cfRule type="cellIs" dxfId="37" priority="2" stopIfTrue="1" operator="greaterThanOrEqual">
      <formula>$E$13</formula>
    </cfRule>
  </conditionalFormatting>
  <conditionalFormatting sqref="M45:N47">
    <cfRule type="expression" dxfId="36" priority="8" stopIfTrue="1">
      <formula>$M45&lt;&gt;""</formula>
    </cfRule>
  </conditionalFormatting>
  <conditionalFormatting sqref="M18:N18">
    <cfRule type="cellIs" dxfId="35" priority="9" stopIfTrue="1" operator="greaterThanOrEqual">
      <formula>$E$13</formula>
    </cfRule>
  </conditionalFormatting>
  <conditionalFormatting sqref="M56:N58">
    <cfRule type="expression" dxfId="34" priority="7" stopIfTrue="1">
      <formula>$M56&lt;&gt;""</formula>
    </cfRule>
  </conditionalFormatting>
  <conditionalFormatting sqref="M37:N39">
    <cfRule type="expression" dxfId="33" priority="6" stopIfTrue="1">
      <formula>$M37&lt;&gt;""</formula>
    </cfRule>
  </conditionalFormatting>
  <conditionalFormatting sqref="M14:N16">
    <cfRule type="expression" dxfId="32" priority="5" stopIfTrue="1">
      <formula>$M14&lt;&gt;""</formula>
    </cfRule>
  </conditionalFormatting>
  <conditionalFormatting sqref="M25:N27">
    <cfRule type="expression" dxfId="31" priority="4" stopIfTrue="1">
      <formula>$M25&lt;&gt;""</formula>
    </cfRule>
  </conditionalFormatting>
  <conditionalFormatting sqref="M65">
    <cfRule type="cellIs" dxfId="30" priority="3" stopIfTrue="1" operator="greaterThanOrEqual">
      <formula>$E$13</formula>
    </cfRule>
  </conditionalFormatting>
  <conditionalFormatting sqref="F13:F17">
    <cfRule type="expression" dxfId="29" priority="1">
      <formula>$M$14&lt;&gt;""</formula>
    </cfRule>
  </conditionalFormatting>
  <printOptions horizontalCentered="1" verticalCentered="1"/>
  <pageMargins left="0.3" right="0.3" top="0.25" bottom="0.25" header="0.5" footer="0.25"/>
  <pageSetup paperSize="3" scale="45" orientation="landscape" r:id="rId1"/>
  <headerFooter alignWithMargins="0">
    <oddFooter>&amp;Z&amp;F&amp;RPage &amp;P</oddFooter>
  </headerFooter>
  <rowBreaks count="1" manualBreakCount="1">
    <brk id="92" max="14" man="1"/>
  </rowBreaks>
  <colBreaks count="1" manualBreakCount="1">
    <brk id="1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63E4B-AADA-4E8A-96AF-D4DAE5A1B169}">
  <sheetPr>
    <pageSetUpPr fitToPage="1"/>
  </sheetPr>
  <dimension ref="A1:U105"/>
  <sheetViews>
    <sheetView showGridLines="0" topLeftCell="B8" zoomScale="60" zoomScaleNormal="60" zoomScaleSheetLayoutView="25" workbookViewId="0">
      <pane xSplit="1" ySplit="3" topLeftCell="G48" activePane="bottomRight" state="frozen"/>
      <selection activeCell="S82" sqref="S82"/>
      <selection pane="topRight" activeCell="S82" sqref="S82"/>
      <selection pane="bottomLeft" activeCell="S82" sqref="S82"/>
      <selection pane="bottomRight" activeCell="M70" sqref="M70"/>
    </sheetView>
  </sheetViews>
  <sheetFormatPr defaultColWidth="11.42578125" defaultRowHeight="12.75" x14ac:dyDescent="0.2"/>
  <cols>
    <col min="1" max="1" width="36.42578125" style="9" customWidth="1"/>
    <col min="2" max="2" width="49.85546875" style="9" customWidth="1"/>
    <col min="3" max="3" width="52.5703125" style="9" customWidth="1"/>
    <col min="4" max="4" width="11" style="9" customWidth="1"/>
    <col min="5" max="5" width="70.42578125" style="9" customWidth="1"/>
    <col min="6" max="6" width="15" style="16" customWidth="1"/>
    <col min="7" max="7" width="66.85546875" style="9" customWidth="1"/>
    <col min="8" max="8" width="11.5703125" style="16" customWidth="1"/>
    <col min="9" max="9" width="69.85546875" style="9" customWidth="1"/>
    <col min="10" max="10" width="17.140625" style="16" bestFit="1" customWidth="1"/>
    <col min="11" max="12" width="0.85546875" style="9" customWidth="1"/>
    <col min="13" max="13" width="9.5703125" style="9" bestFit="1" customWidth="1"/>
    <col min="14" max="14" width="16" style="9" customWidth="1"/>
    <col min="15" max="15" width="18.42578125" style="9" customWidth="1"/>
    <col min="16" max="16" width="17.140625" style="9" hidden="1" customWidth="1"/>
    <col min="17" max="18" width="0" style="9" hidden="1" customWidth="1"/>
    <col min="19" max="19" width="29.5703125" style="9" customWidth="1"/>
    <col min="20" max="20" width="11.42578125" style="9" customWidth="1"/>
    <col min="21" max="21" width="21.42578125" style="9" customWidth="1"/>
    <col min="22" max="16384" width="11.42578125" style="9"/>
  </cols>
  <sheetData>
    <row r="1" spans="1:21" ht="18" customHeight="1" thickBot="1" x14ac:dyDescent="0.3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8" t="s">
        <v>7</v>
      </c>
      <c r="Q1" s="9">
        <v>1</v>
      </c>
    </row>
    <row r="2" spans="1:21" ht="18.75" customHeight="1" thickBot="1" x14ac:dyDescent="0.3">
      <c r="A2" s="348"/>
      <c r="B2" s="349"/>
      <c r="C2" s="350"/>
      <c r="D2" s="10"/>
      <c r="E2" s="351"/>
      <c r="F2" s="351"/>
      <c r="G2" s="351"/>
      <c r="H2" s="11" t="s">
        <v>8</v>
      </c>
      <c r="I2" s="12"/>
      <c r="J2" s="13">
        <v>1</v>
      </c>
      <c r="K2" s="10"/>
      <c r="L2" s="10"/>
      <c r="M2" s="10"/>
      <c r="N2" s="14"/>
      <c r="O2" s="14"/>
      <c r="P2" s="8" t="s">
        <v>9</v>
      </c>
    </row>
    <row r="3" spans="1:21" ht="22.5" customHeight="1" thickBot="1" x14ac:dyDescent="0.35">
      <c r="A3" s="352" t="s">
        <v>10</v>
      </c>
      <c r="B3" s="353"/>
      <c r="C3" s="354"/>
      <c r="D3" s="355"/>
      <c r="E3" s="355"/>
      <c r="F3" s="355"/>
      <c r="G3" s="15"/>
      <c r="P3" s="17" t="s">
        <v>11</v>
      </c>
    </row>
    <row r="4" spans="1:21" ht="20.25" customHeight="1" thickBot="1" x14ac:dyDescent="0.4">
      <c r="A4" s="356"/>
      <c r="B4" s="357"/>
      <c r="C4" s="358"/>
      <c r="D4" s="18"/>
      <c r="F4" s="19"/>
      <c r="G4" s="20"/>
      <c r="I4" s="21"/>
      <c r="J4" s="22"/>
      <c r="L4" s="22"/>
      <c r="P4" s="17" t="s">
        <v>12</v>
      </c>
    </row>
    <row r="5" spans="1:21" ht="20.25" customHeight="1" thickBot="1" x14ac:dyDescent="0.3">
      <c r="A5" s="373" t="s">
        <v>85</v>
      </c>
      <c r="B5" s="360"/>
      <c r="C5" s="361"/>
      <c r="D5" s="8"/>
      <c r="E5" s="362" t="s">
        <v>14</v>
      </c>
      <c r="F5" s="362"/>
      <c r="G5" s="362"/>
      <c r="H5" s="22"/>
      <c r="I5" s="22"/>
      <c r="J5" s="22"/>
      <c r="K5" s="22"/>
      <c r="L5" s="22"/>
      <c r="M5" s="22"/>
      <c r="P5" s="8" t="s">
        <v>15</v>
      </c>
    </row>
    <row r="6" spans="1:21" ht="19.5" customHeight="1" x14ac:dyDescent="0.25">
      <c r="A6" s="23"/>
      <c r="B6" s="24"/>
      <c r="C6" s="25"/>
      <c r="D6" s="8"/>
      <c r="E6" s="363">
        <v>2019</v>
      </c>
      <c r="F6" s="363"/>
      <c r="G6" s="363"/>
      <c r="H6" s="22"/>
      <c r="I6" s="22"/>
      <c r="J6" s="22"/>
      <c r="K6" s="22"/>
      <c r="L6" s="22"/>
      <c r="M6" s="22"/>
      <c r="P6" s="8" t="s">
        <v>16</v>
      </c>
    </row>
    <row r="7" spans="1:21" ht="18.75" thickBot="1" x14ac:dyDescent="0.3">
      <c r="I7" s="16"/>
      <c r="K7" s="16"/>
      <c r="L7" s="16"/>
      <c r="M7" s="16"/>
      <c r="N7" s="16"/>
      <c r="O7" s="16"/>
      <c r="P7" s="8" t="s">
        <v>17</v>
      </c>
    </row>
    <row r="8" spans="1:21" s="26" customFormat="1" ht="18.75" customHeight="1" x14ac:dyDescent="0.25">
      <c r="A8" s="338" t="s">
        <v>18</v>
      </c>
      <c r="B8" s="338" t="s">
        <v>19</v>
      </c>
      <c r="C8" s="338" t="s">
        <v>20</v>
      </c>
      <c r="D8" s="341" t="s">
        <v>21</v>
      </c>
      <c r="E8" s="344" t="s">
        <v>17</v>
      </c>
      <c r="F8" s="318" t="s">
        <v>22</v>
      </c>
      <c r="G8" s="344" t="s">
        <v>23</v>
      </c>
      <c r="H8" s="318" t="s">
        <v>22</v>
      </c>
      <c r="I8" s="344" t="s">
        <v>24</v>
      </c>
      <c r="J8" s="318" t="s">
        <v>22</v>
      </c>
      <c r="L8" s="321" t="s">
        <v>25</v>
      </c>
      <c r="M8" s="322"/>
      <c r="N8" s="323"/>
      <c r="O8" s="323" t="s">
        <v>26</v>
      </c>
      <c r="P8" s="27" t="s">
        <v>23</v>
      </c>
      <c r="Q8" s="26">
        <v>1</v>
      </c>
    </row>
    <row r="9" spans="1:21" s="26" customFormat="1" ht="18" x14ac:dyDescent="0.25">
      <c r="A9" s="339"/>
      <c r="B9" s="339"/>
      <c r="C9" s="339"/>
      <c r="D9" s="342"/>
      <c r="E9" s="345"/>
      <c r="F9" s="319"/>
      <c r="G9" s="345"/>
      <c r="H9" s="319"/>
      <c r="I9" s="345"/>
      <c r="J9" s="319"/>
      <c r="L9" s="324"/>
      <c r="M9" s="325"/>
      <c r="N9" s="326"/>
      <c r="O9" s="330"/>
      <c r="P9" s="27" t="s">
        <v>24</v>
      </c>
      <c r="Q9" s="26">
        <v>1</v>
      </c>
    </row>
    <row r="10" spans="1:21" s="26" customFormat="1" ht="34.5" customHeight="1" thickBot="1" x14ac:dyDescent="0.3">
      <c r="A10" s="340"/>
      <c r="B10" s="340"/>
      <c r="C10" s="340"/>
      <c r="D10" s="343"/>
      <c r="E10" s="346"/>
      <c r="F10" s="320"/>
      <c r="G10" s="346"/>
      <c r="H10" s="320"/>
      <c r="I10" s="346"/>
      <c r="J10" s="320"/>
      <c r="L10" s="327"/>
      <c r="M10" s="328"/>
      <c r="N10" s="329"/>
      <c r="O10" s="330"/>
    </row>
    <row r="11" spans="1:21" s="26" customFormat="1" ht="16.5" thickBot="1" x14ac:dyDescent="0.3">
      <c r="A11" s="28"/>
      <c r="B11" s="29"/>
      <c r="C11" s="29"/>
      <c r="D11" s="30"/>
      <c r="E11" s="31"/>
      <c r="F11" s="32"/>
      <c r="G11" s="31"/>
      <c r="H11" s="32"/>
      <c r="I11" s="31"/>
      <c r="J11" s="32"/>
      <c r="L11" s="33"/>
      <c r="M11" s="34"/>
      <c r="N11" s="34"/>
      <c r="O11" s="35"/>
    </row>
    <row r="12" spans="1:21" s="26" customFormat="1" ht="20.25" customHeight="1" thickBot="1" x14ac:dyDescent="0.3">
      <c r="A12" s="331" t="s">
        <v>27</v>
      </c>
      <c r="B12" s="332"/>
      <c r="C12" s="333"/>
      <c r="D12" s="36"/>
      <c r="E12" s="37"/>
      <c r="F12" s="38"/>
      <c r="G12" s="37"/>
      <c r="H12" s="38"/>
      <c r="I12" s="37"/>
      <c r="J12" s="38"/>
      <c r="L12" s="39"/>
      <c r="M12" s="34"/>
      <c r="N12" s="34"/>
      <c r="O12" s="266">
        <f>IF(M14&lt;&gt;"",F13*D13*$J$2,IF(M15&lt;&gt;"",H13*D13*$J$2,IF(M16&lt;&gt;"",J13*D13*$J$2,"")))</f>
        <v>0.22499999999999998</v>
      </c>
    </row>
    <row r="13" spans="1:21" s="40" customFormat="1" ht="24" customHeight="1" x14ac:dyDescent="0.25">
      <c r="A13" s="239"/>
      <c r="B13" s="242" t="s">
        <v>28</v>
      </c>
      <c r="C13" s="245" t="s">
        <v>29</v>
      </c>
      <c r="D13" s="248">
        <v>0.15</v>
      </c>
      <c r="E13" s="279" t="s">
        <v>30</v>
      </c>
      <c r="F13" s="307">
        <v>0.5</v>
      </c>
      <c r="G13" s="279" t="s">
        <v>31</v>
      </c>
      <c r="H13" s="307">
        <v>1</v>
      </c>
      <c r="I13" s="370" t="s">
        <v>32</v>
      </c>
      <c r="J13" s="221">
        <v>1.5</v>
      </c>
      <c r="L13" s="41"/>
      <c r="M13" s="282" t="s">
        <v>33</v>
      </c>
      <c r="N13" s="283"/>
      <c r="O13" s="266"/>
    </row>
    <row r="14" spans="1:21" s="40" customFormat="1" ht="20.25" customHeight="1" x14ac:dyDescent="0.25">
      <c r="A14" s="240"/>
      <c r="B14" s="334"/>
      <c r="C14" s="336"/>
      <c r="D14" s="286"/>
      <c r="E14" s="280"/>
      <c r="F14" s="308"/>
      <c r="G14" s="280"/>
      <c r="H14" s="308"/>
      <c r="I14" s="371"/>
      <c r="J14" s="222"/>
      <c r="L14" s="41"/>
      <c r="M14" s="42"/>
      <c r="N14" s="43" t="s">
        <v>17</v>
      </c>
      <c r="O14" s="266"/>
      <c r="P14" s="44"/>
      <c r="Q14" s="44"/>
      <c r="U14" s="23"/>
    </row>
    <row r="15" spans="1:21" s="40" customFormat="1" ht="22.5" customHeight="1" x14ac:dyDescent="0.25">
      <c r="A15" s="240"/>
      <c r="B15" s="334"/>
      <c r="C15" s="336"/>
      <c r="D15" s="286"/>
      <c r="E15" s="280"/>
      <c r="F15" s="308"/>
      <c r="G15" s="280"/>
      <c r="H15" s="308"/>
      <c r="I15" s="371"/>
      <c r="J15" s="222"/>
      <c r="L15" s="41"/>
      <c r="M15" s="42"/>
      <c r="N15" s="43" t="s">
        <v>23</v>
      </c>
      <c r="O15" s="266"/>
      <c r="P15" s="44">
        <v>2</v>
      </c>
      <c r="Q15" s="44"/>
      <c r="U15" s="23"/>
    </row>
    <row r="16" spans="1:21" s="40" customFormat="1" ht="27.75" customHeight="1" x14ac:dyDescent="0.25">
      <c r="A16" s="240"/>
      <c r="B16" s="334"/>
      <c r="C16" s="336"/>
      <c r="D16" s="286"/>
      <c r="E16" s="280"/>
      <c r="F16" s="308"/>
      <c r="G16" s="280"/>
      <c r="H16" s="308"/>
      <c r="I16" s="371"/>
      <c r="J16" s="222"/>
      <c r="L16" s="41"/>
      <c r="M16" s="42" t="s">
        <v>34</v>
      </c>
      <c r="N16" s="43" t="s">
        <v>24</v>
      </c>
      <c r="O16" s="266"/>
      <c r="P16" s="44"/>
      <c r="Q16" s="44"/>
      <c r="U16" s="23"/>
    </row>
    <row r="17" spans="1:21" s="40" customFormat="1" ht="42.75" customHeight="1" thickBot="1" x14ac:dyDescent="0.3">
      <c r="A17" s="241"/>
      <c r="B17" s="335"/>
      <c r="C17" s="337"/>
      <c r="D17" s="287"/>
      <c r="E17" s="281"/>
      <c r="F17" s="309"/>
      <c r="G17" s="281"/>
      <c r="H17" s="309"/>
      <c r="I17" s="372"/>
      <c r="J17" s="223"/>
      <c r="L17" s="41"/>
      <c r="M17" s="45"/>
      <c r="N17" s="45"/>
      <c r="O17" s="46"/>
      <c r="P17" s="44"/>
      <c r="Q17" s="44"/>
      <c r="U17" s="23"/>
    </row>
    <row r="18" spans="1:21" s="47" customFormat="1" ht="38.25" customHeight="1" x14ac:dyDescent="0.25">
      <c r="A18" s="289"/>
      <c r="B18" s="206" t="s">
        <v>35</v>
      </c>
      <c r="C18" s="207"/>
      <c r="D18" s="310" t="s">
        <v>36</v>
      </c>
      <c r="E18" s="209"/>
      <c r="F18" s="209"/>
      <c r="G18" s="209"/>
      <c r="H18" s="209"/>
      <c r="I18" s="209"/>
      <c r="J18" s="210"/>
      <c r="L18" s="48"/>
      <c r="M18" s="49"/>
      <c r="N18" s="49"/>
      <c r="O18" s="50"/>
      <c r="U18" s="51"/>
    </row>
    <row r="19" spans="1:21" s="47" customFormat="1" ht="30" hidden="1" customHeight="1" x14ac:dyDescent="0.25">
      <c r="A19" s="290"/>
      <c r="B19" s="292" t="s">
        <v>37</v>
      </c>
      <c r="C19" s="293"/>
      <c r="D19" s="311"/>
      <c r="E19" s="268"/>
      <c r="F19" s="268"/>
      <c r="G19" s="268"/>
      <c r="H19" s="268"/>
      <c r="I19" s="268"/>
      <c r="J19" s="269"/>
      <c r="L19" s="48"/>
      <c r="M19" s="52"/>
      <c r="N19" s="52"/>
      <c r="O19" s="53"/>
      <c r="U19" s="51"/>
    </row>
    <row r="20" spans="1:21" s="47" customFormat="1" ht="27" hidden="1" customHeight="1" x14ac:dyDescent="0.25">
      <c r="A20" s="290"/>
      <c r="B20" s="312" t="s">
        <v>38</v>
      </c>
      <c r="C20" s="313"/>
      <c r="D20" s="314"/>
      <c r="E20" s="314"/>
      <c r="F20" s="314"/>
      <c r="G20" s="314"/>
      <c r="H20" s="314"/>
      <c r="I20" s="314"/>
      <c r="J20" s="314"/>
      <c r="L20" s="48"/>
      <c r="M20" s="52"/>
      <c r="N20" s="52"/>
      <c r="O20" s="54"/>
      <c r="P20" s="55"/>
      <c r="U20" s="51"/>
    </row>
    <row r="21" spans="1:21" s="47" customFormat="1" ht="27" hidden="1" customHeight="1" x14ac:dyDescent="0.25">
      <c r="A21" s="291"/>
      <c r="B21" s="292" t="s">
        <v>39</v>
      </c>
      <c r="C21" s="293"/>
      <c r="D21" s="315"/>
      <c r="E21" s="316"/>
      <c r="F21" s="316"/>
      <c r="G21" s="316"/>
      <c r="H21" s="316"/>
      <c r="I21" s="316"/>
      <c r="J21" s="317"/>
      <c r="L21" s="48"/>
      <c r="M21" s="56"/>
      <c r="N21" s="56"/>
      <c r="O21" s="54"/>
      <c r="P21" s="55"/>
      <c r="U21" s="51"/>
    </row>
    <row r="22" spans="1:21" s="40" customFormat="1" ht="16.5" customHeight="1" thickBot="1" x14ac:dyDescent="0.3">
      <c r="A22" s="14"/>
      <c r="B22" s="10"/>
      <c r="C22" s="10"/>
      <c r="D22" s="57"/>
      <c r="E22" s="58"/>
      <c r="F22" s="57"/>
      <c r="G22" s="58"/>
      <c r="H22" s="57"/>
      <c r="I22" s="58"/>
      <c r="J22" s="57"/>
      <c r="L22" s="41"/>
      <c r="M22" s="56"/>
      <c r="N22" s="56"/>
      <c r="O22" s="59"/>
      <c r="P22" s="60">
        <f>IF(M26&lt;&gt;"",F24*D24*$F$4,IF(M27&lt;&gt;"",H24*D24*$F$4,IF(M28&lt;&gt;"",J24*D24*$F$4,IF(M25&lt;&gt;"",0,""))))</f>
        <v>0</v>
      </c>
      <c r="Q22" s="44"/>
      <c r="U22" s="23"/>
    </row>
    <row r="23" spans="1:21" s="40" customFormat="1" ht="18" customHeight="1" thickBot="1" x14ac:dyDescent="0.3">
      <c r="A23" s="234" t="s">
        <v>40</v>
      </c>
      <c r="B23" s="235"/>
      <c r="C23" s="236"/>
      <c r="D23" s="36"/>
      <c r="E23" s="37"/>
      <c r="F23" s="61"/>
      <c r="G23" s="37"/>
      <c r="H23" s="61"/>
      <c r="I23" s="37"/>
      <c r="J23" s="61"/>
      <c r="L23" s="41"/>
      <c r="M23" s="34"/>
      <c r="N23" s="34"/>
      <c r="O23" s="266">
        <f>IF(M25&lt;&gt;"",F24*D24*$J$2,IF(M26&lt;&gt;"",H24*D24*$J$2,IF(M27&lt;&gt;"",J24*D24*$J$2,"")))</f>
        <v>0.15000000000000002</v>
      </c>
      <c r="P23" s="44"/>
      <c r="Q23" s="44"/>
      <c r="U23" s="23"/>
    </row>
    <row r="24" spans="1:21" s="40" customFormat="1" ht="15" customHeight="1" x14ac:dyDescent="0.25">
      <c r="A24" s="239"/>
      <c r="B24" s="242" t="s">
        <v>41</v>
      </c>
      <c r="C24" s="295" t="s">
        <v>42</v>
      </c>
      <c r="D24" s="248">
        <v>0.1</v>
      </c>
      <c r="E24" s="279" t="s">
        <v>43</v>
      </c>
      <c r="F24" s="307">
        <v>0.5</v>
      </c>
      <c r="G24" s="279" t="s">
        <v>44</v>
      </c>
      <c r="H24" s="307">
        <v>1</v>
      </c>
      <c r="I24" s="370" t="s">
        <v>45</v>
      </c>
      <c r="J24" s="221">
        <v>1.5</v>
      </c>
      <c r="L24" s="41"/>
      <c r="M24" s="282" t="s">
        <v>33</v>
      </c>
      <c r="N24" s="283"/>
      <c r="O24" s="266"/>
      <c r="P24" s="44"/>
      <c r="Q24" s="44"/>
      <c r="U24" s="23"/>
    </row>
    <row r="25" spans="1:21" s="40" customFormat="1" ht="30" customHeight="1" x14ac:dyDescent="0.25">
      <c r="A25" s="240"/>
      <c r="B25" s="303"/>
      <c r="C25" s="305"/>
      <c r="D25" s="249"/>
      <c r="E25" s="280"/>
      <c r="F25" s="308"/>
      <c r="G25" s="280"/>
      <c r="H25" s="308"/>
      <c r="I25" s="371"/>
      <c r="J25" s="222"/>
      <c r="L25" s="41"/>
      <c r="M25" s="42"/>
      <c r="N25" s="43" t="s">
        <v>17</v>
      </c>
      <c r="O25" s="266"/>
      <c r="P25" s="44"/>
      <c r="Q25" s="44"/>
      <c r="U25" s="23"/>
    </row>
    <row r="26" spans="1:21" s="40" customFormat="1" ht="30" customHeight="1" x14ac:dyDescent="0.25">
      <c r="A26" s="240"/>
      <c r="B26" s="303"/>
      <c r="C26" s="305"/>
      <c r="D26" s="249"/>
      <c r="E26" s="280"/>
      <c r="F26" s="308"/>
      <c r="G26" s="280"/>
      <c r="H26" s="308"/>
      <c r="I26" s="371"/>
      <c r="J26" s="222"/>
      <c r="L26" s="41"/>
      <c r="M26" s="42"/>
      <c r="N26" s="43" t="s">
        <v>23</v>
      </c>
      <c r="O26" s="266"/>
      <c r="P26" s="44">
        <v>2</v>
      </c>
      <c r="Q26" s="44"/>
      <c r="U26" s="23"/>
    </row>
    <row r="27" spans="1:21" s="40" customFormat="1" ht="27" customHeight="1" x14ac:dyDescent="0.25">
      <c r="A27" s="240"/>
      <c r="B27" s="303"/>
      <c r="C27" s="305"/>
      <c r="D27" s="249"/>
      <c r="E27" s="280"/>
      <c r="F27" s="308"/>
      <c r="G27" s="280"/>
      <c r="H27" s="308"/>
      <c r="I27" s="371"/>
      <c r="J27" s="222"/>
      <c r="L27" s="41"/>
      <c r="M27" s="42" t="s">
        <v>34</v>
      </c>
      <c r="N27" s="43" t="s">
        <v>24</v>
      </c>
      <c r="O27" s="266"/>
      <c r="P27" s="44"/>
      <c r="Q27" s="44"/>
      <c r="U27" s="23"/>
    </row>
    <row r="28" spans="1:21" s="40" customFormat="1" ht="34.5" customHeight="1" thickBot="1" x14ac:dyDescent="0.3">
      <c r="A28" s="241"/>
      <c r="B28" s="304"/>
      <c r="C28" s="306"/>
      <c r="D28" s="250"/>
      <c r="E28" s="281"/>
      <c r="F28" s="309"/>
      <c r="G28" s="281"/>
      <c r="H28" s="309"/>
      <c r="I28" s="372"/>
      <c r="J28" s="223"/>
      <c r="L28" s="41"/>
      <c r="M28" s="64"/>
      <c r="N28" s="64"/>
      <c r="O28" s="65"/>
      <c r="P28" s="44"/>
      <c r="Q28" s="44"/>
    </row>
    <row r="29" spans="1:21" s="47" customFormat="1" ht="39" customHeight="1" x14ac:dyDescent="0.25">
      <c r="A29" s="289"/>
      <c r="B29" s="206" t="s">
        <v>35</v>
      </c>
      <c r="C29" s="207"/>
      <c r="D29" s="208"/>
      <c r="E29" s="298"/>
      <c r="F29" s="298"/>
      <c r="G29" s="298"/>
      <c r="H29" s="298"/>
      <c r="I29" s="298"/>
      <c r="J29" s="299"/>
      <c r="L29" s="48"/>
      <c r="M29" s="64"/>
      <c r="N29" s="64"/>
      <c r="O29" s="53"/>
      <c r="U29" s="51"/>
    </row>
    <row r="30" spans="1:21" s="47" customFormat="1" ht="27.75" hidden="1" customHeight="1" x14ac:dyDescent="0.25">
      <c r="A30" s="290"/>
      <c r="B30" s="292" t="s">
        <v>37</v>
      </c>
      <c r="C30" s="293"/>
      <c r="D30" s="267"/>
      <c r="E30" s="268"/>
      <c r="F30" s="268"/>
      <c r="G30" s="268"/>
      <c r="H30" s="268"/>
      <c r="I30" s="268"/>
      <c r="J30" s="269"/>
      <c r="L30" s="48"/>
      <c r="M30" s="52"/>
      <c r="N30" s="52"/>
      <c r="O30" s="53"/>
      <c r="U30" s="51"/>
    </row>
    <row r="31" spans="1:21" s="47" customFormat="1" ht="27.75" hidden="1" customHeight="1" x14ac:dyDescent="0.25">
      <c r="A31" s="290"/>
      <c r="B31" s="293" t="s">
        <v>38</v>
      </c>
      <c r="C31" s="294"/>
      <c r="D31" s="300"/>
      <c r="E31" s="301"/>
      <c r="F31" s="301"/>
      <c r="G31" s="301"/>
      <c r="H31" s="301"/>
      <c r="I31" s="301"/>
      <c r="J31" s="302"/>
      <c r="L31" s="48"/>
      <c r="M31" s="52"/>
      <c r="N31" s="52"/>
      <c r="O31" s="54"/>
      <c r="P31" s="55"/>
      <c r="U31" s="51"/>
    </row>
    <row r="32" spans="1:21" s="47" customFormat="1" ht="27.75" hidden="1" customHeight="1" x14ac:dyDescent="0.25">
      <c r="A32" s="291"/>
      <c r="B32" s="292" t="s">
        <v>39</v>
      </c>
      <c r="C32" s="293"/>
      <c r="D32" s="66"/>
      <c r="E32" s="66"/>
      <c r="F32" s="66"/>
      <c r="G32" s="66"/>
      <c r="H32" s="66"/>
      <c r="I32" s="66"/>
      <c r="J32" s="66"/>
      <c r="L32" s="48"/>
      <c r="M32" s="56"/>
      <c r="N32" s="56"/>
      <c r="O32" s="54"/>
      <c r="P32" s="55"/>
      <c r="U32" s="51"/>
    </row>
    <row r="33" spans="1:21" s="47" customFormat="1" ht="27.75" customHeight="1" thickBot="1" x14ac:dyDescent="0.3">
      <c r="A33" s="67"/>
      <c r="B33" s="68"/>
      <c r="C33" s="68"/>
      <c r="D33" s="66"/>
      <c r="E33" s="66"/>
      <c r="F33" s="66"/>
      <c r="G33" s="66"/>
      <c r="H33" s="66"/>
      <c r="I33" s="66"/>
      <c r="J33" s="66"/>
      <c r="L33" s="69"/>
      <c r="M33" s="138"/>
      <c r="N33" s="138"/>
      <c r="O33" s="139"/>
      <c r="P33" s="55"/>
      <c r="U33" s="51"/>
    </row>
    <row r="34" spans="1:21" s="40" customFormat="1" ht="18" customHeight="1" thickBot="1" x14ac:dyDescent="0.3">
      <c r="A34" s="234" t="s">
        <v>46</v>
      </c>
      <c r="B34" s="235"/>
      <c r="C34" s="236"/>
      <c r="D34" s="36"/>
      <c r="E34" s="37"/>
      <c r="F34" s="61"/>
      <c r="G34" s="37"/>
      <c r="H34" s="61"/>
      <c r="I34" s="37"/>
      <c r="J34" s="61"/>
      <c r="L34" s="41"/>
      <c r="M34" s="56"/>
      <c r="N34" s="56"/>
      <c r="O34" s="72"/>
      <c r="P34" s="44"/>
      <c r="Q34" s="44"/>
    </row>
    <row r="35" spans="1:21" s="40" customFormat="1" ht="12" customHeight="1" x14ac:dyDescent="0.25">
      <c r="A35" s="239"/>
      <c r="B35" s="242" t="s">
        <v>47</v>
      </c>
      <c r="C35" s="295" t="s">
        <v>48</v>
      </c>
      <c r="D35" s="248">
        <v>0.1</v>
      </c>
      <c r="E35" s="279" t="s">
        <v>49</v>
      </c>
      <c r="F35" s="254">
        <v>0.5</v>
      </c>
      <c r="G35" s="279" t="s">
        <v>50</v>
      </c>
      <c r="H35" s="257">
        <v>1</v>
      </c>
      <c r="I35" s="370" t="s">
        <v>51</v>
      </c>
      <c r="J35" s="221">
        <v>1.5</v>
      </c>
      <c r="L35" s="41"/>
      <c r="M35" s="73"/>
      <c r="N35" s="73"/>
      <c r="O35" s="266">
        <f>IF(M37&lt;&gt;"",F35*D35*$J$2,IF(M38&lt;&gt;"",H35*D35*$J$2,IF(M39&lt;&gt;"",J35*D35*$J$2,"")))</f>
        <v>0.15000000000000002</v>
      </c>
      <c r="P35" s="44"/>
      <c r="Q35" s="44"/>
    </row>
    <row r="36" spans="1:21" s="40" customFormat="1" ht="15" customHeight="1" x14ac:dyDescent="0.25">
      <c r="A36" s="240"/>
      <c r="B36" s="243"/>
      <c r="C36" s="296"/>
      <c r="D36" s="286"/>
      <c r="E36" s="280"/>
      <c r="F36" s="255"/>
      <c r="G36" s="280"/>
      <c r="H36" s="258"/>
      <c r="I36" s="371"/>
      <c r="J36" s="222"/>
      <c r="L36" s="41"/>
      <c r="M36" s="282" t="s">
        <v>33</v>
      </c>
      <c r="N36" s="283"/>
      <c r="O36" s="266"/>
      <c r="P36" s="44"/>
      <c r="Q36" s="44"/>
    </row>
    <row r="37" spans="1:21" s="40" customFormat="1" ht="18" customHeight="1" x14ac:dyDescent="0.25">
      <c r="A37" s="240"/>
      <c r="B37" s="243"/>
      <c r="C37" s="296"/>
      <c r="D37" s="286"/>
      <c r="E37" s="280"/>
      <c r="F37" s="255"/>
      <c r="G37" s="280"/>
      <c r="H37" s="258"/>
      <c r="I37" s="371"/>
      <c r="J37" s="222"/>
      <c r="L37" s="41"/>
      <c r="M37" s="42"/>
      <c r="N37" s="43" t="s">
        <v>17</v>
      </c>
      <c r="O37" s="266"/>
      <c r="P37" s="44">
        <v>2</v>
      </c>
      <c r="Q37" s="44"/>
    </row>
    <row r="38" spans="1:21" s="40" customFormat="1" ht="30.75" customHeight="1" x14ac:dyDescent="0.25">
      <c r="A38" s="240"/>
      <c r="B38" s="243"/>
      <c r="C38" s="296"/>
      <c r="D38" s="286"/>
      <c r="E38" s="280"/>
      <c r="F38" s="255"/>
      <c r="G38" s="280"/>
      <c r="H38" s="258"/>
      <c r="I38" s="371"/>
      <c r="J38" s="222"/>
      <c r="L38" s="41"/>
      <c r="M38" s="42"/>
      <c r="N38" s="43" t="s">
        <v>23</v>
      </c>
      <c r="O38" s="266"/>
    </row>
    <row r="39" spans="1:21" s="40" customFormat="1" ht="27" customHeight="1" thickBot="1" x14ac:dyDescent="0.3">
      <c r="A39" s="241"/>
      <c r="B39" s="244"/>
      <c r="C39" s="297"/>
      <c r="D39" s="287"/>
      <c r="E39" s="281"/>
      <c r="F39" s="256"/>
      <c r="G39" s="281"/>
      <c r="H39" s="259"/>
      <c r="I39" s="372"/>
      <c r="J39" s="223"/>
      <c r="L39" s="41"/>
      <c r="M39" s="42" t="s">
        <v>34</v>
      </c>
      <c r="N39" s="43" t="s">
        <v>24</v>
      </c>
      <c r="O39" s="266"/>
    </row>
    <row r="40" spans="1:21" s="47" customFormat="1" ht="30" customHeight="1" thickBot="1" x14ac:dyDescent="0.3">
      <c r="A40" s="28"/>
      <c r="B40" s="206" t="s">
        <v>35</v>
      </c>
      <c r="C40" s="207"/>
      <c r="D40" s="208"/>
      <c r="E40" s="209"/>
      <c r="F40" s="209"/>
      <c r="G40" s="209"/>
      <c r="H40" s="209"/>
      <c r="I40" s="209"/>
      <c r="J40" s="210"/>
      <c r="K40" s="74"/>
      <c r="L40" s="52"/>
      <c r="M40" s="45"/>
      <c r="N40" s="45"/>
      <c r="O40" s="53"/>
      <c r="U40" s="51"/>
    </row>
    <row r="41" spans="1:21" s="40" customFormat="1" ht="13.35" customHeight="1" thickBot="1" x14ac:dyDescent="0.25">
      <c r="A41" s="28"/>
      <c r="B41" s="29"/>
      <c r="C41" s="29"/>
      <c r="D41" s="57"/>
      <c r="E41" s="58"/>
      <c r="F41" s="57"/>
      <c r="G41" s="58"/>
      <c r="H41" s="57"/>
      <c r="I41" s="58"/>
      <c r="J41" s="57"/>
      <c r="L41" s="41"/>
      <c r="M41" s="52"/>
      <c r="N41" s="52"/>
      <c r="O41" s="59"/>
      <c r="P41" s="44"/>
      <c r="Q41" s="44"/>
    </row>
    <row r="42" spans="1:21" s="40" customFormat="1" ht="18" customHeight="1" thickBot="1" x14ac:dyDescent="0.3">
      <c r="A42" s="234" t="s">
        <v>52</v>
      </c>
      <c r="B42" s="235"/>
      <c r="C42" s="236"/>
      <c r="D42" s="36"/>
      <c r="E42" s="37"/>
      <c r="F42" s="61"/>
      <c r="G42" s="37"/>
      <c r="H42" s="61"/>
      <c r="I42" s="37"/>
      <c r="J42" s="61"/>
      <c r="L42" s="41"/>
      <c r="M42" s="34"/>
      <c r="N42" s="34"/>
      <c r="O42" s="72"/>
      <c r="P42" s="44"/>
      <c r="Q42" s="44"/>
    </row>
    <row r="43" spans="1:21" s="40" customFormat="1" ht="12" customHeight="1" x14ac:dyDescent="0.25">
      <c r="A43" s="239"/>
      <c r="B43" s="242" t="s">
        <v>53</v>
      </c>
      <c r="C43" s="295" t="s">
        <v>54</v>
      </c>
      <c r="D43" s="248">
        <v>0.1</v>
      </c>
      <c r="E43" s="279" t="s">
        <v>55</v>
      </c>
      <c r="F43" s="254">
        <v>0.5</v>
      </c>
      <c r="G43" s="279" t="s">
        <v>56</v>
      </c>
      <c r="H43" s="257">
        <v>1</v>
      </c>
      <c r="I43" s="370" t="s">
        <v>57</v>
      </c>
      <c r="J43" s="221">
        <v>1.5</v>
      </c>
      <c r="L43" s="41"/>
      <c r="M43" s="73"/>
      <c r="N43" s="73"/>
      <c r="O43" s="266">
        <f>IF(M45&lt;&gt;"",F43*D43*$J$2,IF(M46&lt;&gt;"",H43*D43*$J$2,IF(M47&lt;&gt;"",J43*D43*$J$2,"")))</f>
        <v>0.15000000000000002</v>
      </c>
      <c r="P43" s="44"/>
      <c r="Q43" s="44"/>
    </row>
    <row r="44" spans="1:21" s="40" customFormat="1" ht="15" customHeight="1" x14ac:dyDescent="0.25">
      <c r="A44" s="240"/>
      <c r="B44" s="243"/>
      <c r="C44" s="246"/>
      <c r="D44" s="286"/>
      <c r="E44" s="280"/>
      <c r="F44" s="255"/>
      <c r="G44" s="280"/>
      <c r="H44" s="258"/>
      <c r="I44" s="371"/>
      <c r="J44" s="222"/>
      <c r="L44" s="41"/>
      <c r="M44" s="282" t="s">
        <v>33</v>
      </c>
      <c r="N44" s="283"/>
      <c r="O44" s="266"/>
      <c r="P44" s="44"/>
      <c r="Q44" s="44"/>
    </row>
    <row r="45" spans="1:21" s="40" customFormat="1" ht="18" customHeight="1" x14ac:dyDescent="0.25">
      <c r="A45" s="240"/>
      <c r="B45" s="243"/>
      <c r="C45" s="246"/>
      <c r="D45" s="286"/>
      <c r="E45" s="280"/>
      <c r="F45" s="255"/>
      <c r="G45" s="280"/>
      <c r="H45" s="258"/>
      <c r="I45" s="371"/>
      <c r="J45" s="222"/>
      <c r="L45" s="41"/>
      <c r="M45" s="42"/>
      <c r="N45" s="43" t="s">
        <v>17</v>
      </c>
      <c r="O45" s="266"/>
      <c r="P45" s="44">
        <v>2</v>
      </c>
      <c r="Q45" s="44"/>
    </row>
    <row r="46" spans="1:21" s="40" customFormat="1" ht="30.75" customHeight="1" x14ac:dyDescent="0.25">
      <c r="A46" s="240"/>
      <c r="B46" s="243"/>
      <c r="C46" s="246"/>
      <c r="D46" s="286"/>
      <c r="E46" s="280"/>
      <c r="F46" s="255"/>
      <c r="G46" s="280"/>
      <c r="H46" s="258"/>
      <c r="I46" s="371"/>
      <c r="J46" s="222"/>
      <c r="L46" s="41"/>
      <c r="M46" s="42"/>
      <c r="N46" s="43" t="s">
        <v>23</v>
      </c>
      <c r="O46" s="266"/>
    </row>
    <row r="47" spans="1:21" s="40" customFormat="1" ht="27" customHeight="1" thickBot="1" x14ac:dyDescent="0.3">
      <c r="A47" s="241"/>
      <c r="B47" s="244"/>
      <c r="C47" s="247"/>
      <c r="D47" s="287"/>
      <c r="E47" s="281"/>
      <c r="F47" s="256"/>
      <c r="G47" s="281"/>
      <c r="H47" s="259"/>
      <c r="I47" s="372"/>
      <c r="J47" s="223"/>
      <c r="L47" s="41"/>
      <c r="M47" s="42" t="s">
        <v>58</v>
      </c>
      <c r="N47" s="43" t="s">
        <v>24</v>
      </c>
      <c r="O47" s="266"/>
    </row>
    <row r="48" spans="1:21" s="47" customFormat="1" ht="30" customHeight="1" x14ac:dyDescent="0.25">
      <c r="A48" s="289"/>
      <c r="B48" s="206" t="s">
        <v>35</v>
      </c>
      <c r="C48" s="207"/>
      <c r="D48" s="208"/>
      <c r="E48" s="209"/>
      <c r="F48" s="209"/>
      <c r="G48" s="209"/>
      <c r="H48" s="209"/>
      <c r="I48" s="209"/>
      <c r="J48" s="210"/>
      <c r="K48" s="74"/>
      <c r="L48" s="52"/>
      <c r="M48" s="45"/>
      <c r="N48" s="45"/>
      <c r="O48" s="53"/>
      <c r="U48" s="51"/>
    </row>
    <row r="49" spans="1:21" s="47" customFormat="1" ht="26.25" hidden="1" customHeight="1" x14ac:dyDescent="0.25">
      <c r="A49" s="290"/>
      <c r="B49" s="292" t="s">
        <v>37</v>
      </c>
      <c r="C49" s="293"/>
      <c r="D49" s="267"/>
      <c r="E49" s="268"/>
      <c r="F49" s="268"/>
      <c r="G49" s="268"/>
      <c r="H49" s="268"/>
      <c r="I49" s="268"/>
      <c r="J49" s="269"/>
      <c r="K49" s="74"/>
      <c r="L49" s="52"/>
      <c r="M49" s="52"/>
      <c r="N49" s="52"/>
      <c r="O49" s="53"/>
      <c r="U49" s="51"/>
    </row>
    <row r="50" spans="1:21" s="47" customFormat="1" ht="27" hidden="1" customHeight="1" x14ac:dyDescent="0.25">
      <c r="A50" s="290"/>
      <c r="B50" s="293" t="s">
        <v>38</v>
      </c>
      <c r="C50" s="294"/>
      <c r="D50" s="274"/>
      <c r="E50" s="275"/>
      <c r="F50" s="275"/>
      <c r="G50" s="275"/>
      <c r="H50" s="275"/>
      <c r="I50" s="275"/>
      <c r="J50" s="275"/>
      <c r="L50" s="48"/>
      <c r="M50" s="52"/>
      <c r="N50" s="52"/>
      <c r="O50" s="54"/>
      <c r="P50" s="55"/>
      <c r="U50" s="51"/>
    </row>
    <row r="51" spans="1:21" s="47" customFormat="1" ht="27" hidden="1" customHeight="1" x14ac:dyDescent="0.25">
      <c r="A51" s="291"/>
      <c r="B51" s="292" t="s">
        <v>39</v>
      </c>
      <c r="C51" s="293"/>
      <c r="D51" s="75"/>
      <c r="E51" s="75"/>
      <c r="F51" s="75"/>
      <c r="G51" s="75"/>
      <c r="H51" s="75"/>
      <c r="I51" s="75"/>
      <c r="J51" s="75"/>
      <c r="L51" s="48"/>
      <c r="M51" s="56"/>
      <c r="N51" s="56"/>
      <c r="O51" s="54"/>
      <c r="P51" s="55"/>
      <c r="U51" s="51"/>
    </row>
    <row r="52" spans="1:21" s="40" customFormat="1" ht="16.5" customHeight="1" thickBot="1" x14ac:dyDescent="0.3">
      <c r="A52" s="14"/>
      <c r="B52" s="10"/>
      <c r="C52" s="10"/>
      <c r="D52" s="57"/>
      <c r="E52" s="58"/>
      <c r="F52" s="57"/>
      <c r="G52" s="58"/>
      <c r="H52" s="57"/>
      <c r="I52" s="58"/>
      <c r="J52" s="57"/>
      <c r="L52" s="41"/>
      <c r="M52" s="56"/>
      <c r="N52" s="56"/>
      <c r="O52" s="59"/>
      <c r="P52" s="60"/>
      <c r="Q52" s="44"/>
      <c r="U52" s="23"/>
    </row>
    <row r="53" spans="1:21" s="40" customFormat="1" ht="18" customHeight="1" thickBot="1" x14ac:dyDescent="0.3">
      <c r="A53" s="234" t="s">
        <v>59</v>
      </c>
      <c r="B53" s="235"/>
      <c r="C53" s="236"/>
      <c r="D53" s="36"/>
      <c r="E53" s="37"/>
      <c r="F53" s="61"/>
      <c r="G53" s="37"/>
      <c r="H53" s="61"/>
      <c r="I53" s="37"/>
      <c r="J53" s="61"/>
      <c r="L53" s="41"/>
      <c r="M53" s="34"/>
      <c r="N53" s="34"/>
      <c r="O53" s="72"/>
      <c r="P53" s="44"/>
      <c r="Q53" s="44"/>
    </row>
    <row r="54" spans="1:21" s="40" customFormat="1" ht="12" customHeight="1" x14ac:dyDescent="0.25">
      <c r="A54" s="239"/>
      <c r="B54" s="242" t="s">
        <v>60</v>
      </c>
      <c r="C54" s="284" t="s">
        <v>61</v>
      </c>
      <c r="D54" s="248">
        <v>0.1</v>
      </c>
      <c r="E54" s="279" t="s">
        <v>62</v>
      </c>
      <c r="F54" s="254">
        <v>0.5</v>
      </c>
      <c r="G54" s="370" t="s">
        <v>63</v>
      </c>
      <c r="H54" s="257">
        <v>1</v>
      </c>
      <c r="I54" s="279" t="s">
        <v>64</v>
      </c>
      <c r="J54" s="221">
        <v>1.5</v>
      </c>
      <c r="L54" s="41"/>
      <c r="M54" s="73"/>
      <c r="N54" s="73"/>
      <c r="O54" s="266">
        <f>IF(M56&lt;&gt;"",F54*D54*$J$2,IF(M57&lt;&gt;"",H54*D54*$J$2,IF(M58&lt;&gt;"",J54*D54*$J$2,"")))</f>
        <v>0.1</v>
      </c>
      <c r="P54" s="44"/>
      <c r="Q54" s="44"/>
    </row>
    <row r="55" spans="1:21" s="40" customFormat="1" ht="15" customHeight="1" x14ac:dyDescent="0.25">
      <c r="A55" s="240"/>
      <c r="B55" s="243"/>
      <c r="C55" s="285"/>
      <c r="D55" s="286"/>
      <c r="E55" s="280"/>
      <c r="F55" s="255"/>
      <c r="G55" s="371"/>
      <c r="H55" s="258"/>
      <c r="I55" s="280"/>
      <c r="J55" s="222"/>
      <c r="L55" s="41"/>
      <c r="M55" s="282" t="s">
        <v>33</v>
      </c>
      <c r="N55" s="283"/>
      <c r="O55" s="266"/>
      <c r="P55" s="44"/>
      <c r="Q55" s="44"/>
    </row>
    <row r="56" spans="1:21" s="40" customFormat="1" ht="23.25" customHeight="1" x14ac:dyDescent="0.25">
      <c r="A56" s="240"/>
      <c r="B56" s="243"/>
      <c r="C56" s="285"/>
      <c r="D56" s="286"/>
      <c r="E56" s="280"/>
      <c r="F56" s="255"/>
      <c r="G56" s="371"/>
      <c r="H56" s="258"/>
      <c r="I56" s="280"/>
      <c r="J56" s="222"/>
      <c r="L56" s="41"/>
      <c r="M56" s="42"/>
      <c r="N56" s="43" t="s">
        <v>17</v>
      </c>
      <c r="O56" s="266"/>
      <c r="P56" s="44">
        <v>2</v>
      </c>
      <c r="Q56" s="44"/>
    </row>
    <row r="57" spans="1:21" s="40" customFormat="1" ht="24.75" customHeight="1" x14ac:dyDescent="0.25">
      <c r="A57" s="240"/>
      <c r="B57" s="243"/>
      <c r="C57" s="285" t="s">
        <v>65</v>
      </c>
      <c r="D57" s="286"/>
      <c r="E57" s="280"/>
      <c r="F57" s="255"/>
      <c r="G57" s="371"/>
      <c r="H57" s="258"/>
      <c r="I57" s="280"/>
      <c r="J57" s="222"/>
      <c r="L57" s="41"/>
      <c r="M57" s="42" t="s">
        <v>34</v>
      </c>
      <c r="N57" s="43" t="s">
        <v>23</v>
      </c>
      <c r="O57" s="266"/>
    </row>
    <row r="58" spans="1:21" s="40" customFormat="1" ht="40.5" customHeight="1" thickBot="1" x14ac:dyDescent="0.3">
      <c r="A58" s="241"/>
      <c r="B58" s="244"/>
      <c r="C58" s="288"/>
      <c r="D58" s="287"/>
      <c r="E58" s="281"/>
      <c r="F58" s="256"/>
      <c r="G58" s="372"/>
      <c r="H58" s="259"/>
      <c r="I58" s="281"/>
      <c r="J58" s="223"/>
      <c r="L58" s="41"/>
      <c r="M58" s="42"/>
      <c r="N58" s="43" t="s">
        <v>24</v>
      </c>
      <c r="O58" s="266"/>
    </row>
    <row r="59" spans="1:21" s="47" customFormat="1" ht="30" customHeight="1" x14ac:dyDescent="0.25">
      <c r="A59" s="76"/>
      <c r="B59" s="206" t="s">
        <v>35</v>
      </c>
      <c r="C59" s="207"/>
      <c r="D59" s="208"/>
      <c r="E59" s="209"/>
      <c r="F59" s="209"/>
      <c r="G59" s="209"/>
      <c r="H59" s="209"/>
      <c r="I59" s="209"/>
      <c r="J59" s="210"/>
      <c r="K59" s="74"/>
      <c r="L59" s="52"/>
      <c r="M59" s="45"/>
      <c r="N59" s="45"/>
      <c r="O59" s="53"/>
      <c r="U59" s="51"/>
    </row>
    <row r="60" spans="1:21" s="47" customFormat="1" ht="72" hidden="1" customHeight="1" x14ac:dyDescent="0.2">
      <c r="A60" s="234"/>
      <c r="B60" s="235" t="s">
        <v>37</v>
      </c>
      <c r="C60" s="236"/>
      <c r="D60" s="267"/>
      <c r="E60" s="268"/>
      <c r="F60" s="268"/>
      <c r="G60" s="268"/>
      <c r="H60" s="268"/>
      <c r="I60" s="268"/>
      <c r="J60" s="269"/>
      <c r="K60" s="74"/>
      <c r="L60" s="52"/>
      <c r="M60" s="52"/>
      <c r="N60" s="52"/>
      <c r="O60" s="53"/>
      <c r="U60" s="51"/>
    </row>
    <row r="61" spans="1:21" s="47" customFormat="1" ht="72" hidden="1" customHeight="1" x14ac:dyDescent="0.2">
      <c r="A61" s="239"/>
      <c r="B61" s="270" t="s">
        <v>38</v>
      </c>
      <c r="C61" s="272"/>
      <c r="D61" s="274"/>
      <c r="E61" s="275"/>
      <c r="F61" s="275"/>
      <c r="G61" s="275"/>
      <c r="H61" s="275"/>
      <c r="I61" s="275"/>
      <c r="J61" s="275"/>
      <c r="L61" s="48"/>
      <c r="M61" s="52"/>
      <c r="N61" s="52"/>
      <c r="O61" s="54"/>
      <c r="P61" s="55"/>
      <c r="U61" s="51"/>
    </row>
    <row r="62" spans="1:21" s="47" customFormat="1" ht="72" hidden="1" customHeight="1" x14ac:dyDescent="0.25">
      <c r="A62" s="240"/>
      <c r="B62" s="271" t="s">
        <v>39</v>
      </c>
      <c r="C62" s="273"/>
      <c r="D62" s="75"/>
      <c r="E62" s="75"/>
      <c r="F62" s="75"/>
      <c r="G62" s="75"/>
      <c r="H62" s="75"/>
      <c r="I62" s="75"/>
      <c r="J62" s="75"/>
      <c r="L62" s="48"/>
      <c r="M62" s="56"/>
      <c r="N62" s="56"/>
      <c r="O62" s="54"/>
      <c r="P62" s="55"/>
      <c r="U62" s="51"/>
    </row>
    <row r="63" spans="1:21" s="40" customFormat="1" ht="16.5" customHeight="1" thickBot="1" x14ac:dyDescent="0.3">
      <c r="A63" s="14"/>
      <c r="B63" s="10"/>
      <c r="C63" s="10"/>
      <c r="D63" s="57"/>
      <c r="E63" s="58"/>
      <c r="F63" s="57"/>
      <c r="G63" s="58"/>
      <c r="H63" s="57"/>
      <c r="I63" s="58"/>
      <c r="J63" s="57"/>
      <c r="L63" s="41"/>
      <c r="M63" s="56"/>
      <c r="N63" s="56"/>
      <c r="O63" s="59"/>
      <c r="P63" s="60"/>
      <c r="Q63" s="44"/>
      <c r="U63" s="23"/>
    </row>
    <row r="64" spans="1:21" s="40" customFormat="1" ht="18" customHeight="1" thickBot="1" x14ac:dyDescent="0.3">
      <c r="A64" s="234" t="s">
        <v>66</v>
      </c>
      <c r="B64" s="235"/>
      <c r="C64" s="236"/>
      <c r="D64" s="36"/>
      <c r="E64" s="37"/>
      <c r="F64" s="61"/>
      <c r="G64" s="37"/>
      <c r="H64" s="61"/>
      <c r="I64" s="37"/>
      <c r="J64" s="61"/>
      <c r="L64" s="41"/>
      <c r="M64" s="237" t="s">
        <v>67</v>
      </c>
      <c r="N64" s="238"/>
      <c r="O64" s="72"/>
      <c r="P64" s="44"/>
      <c r="Q64" s="44"/>
    </row>
    <row r="65" spans="1:21" s="40" customFormat="1" ht="12" customHeight="1" x14ac:dyDescent="0.25">
      <c r="A65" s="239"/>
      <c r="B65" s="242" t="s">
        <v>68</v>
      </c>
      <c r="C65" s="245" t="s">
        <v>69</v>
      </c>
      <c r="D65" s="248">
        <v>0.4</v>
      </c>
      <c r="E65" s="251">
        <v>47.6</v>
      </c>
      <c r="F65" s="254">
        <v>0.5</v>
      </c>
      <c r="G65" s="367">
        <v>52.9</v>
      </c>
      <c r="H65" s="257">
        <v>1</v>
      </c>
      <c r="I65" s="251">
        <v>58.2</v>
      </c>
      <c r="J65" s="221">
        <v>1.5</v>
      </c>
      <c r="L65" s="41"/>
      <c r="M65" s="260">
        <v>54.1</v>
      </c>
      <c r="N65" s="261"/>
      <c r="O65" s="266">
        <f>IF(M65&gt;=I65,J65*D65*$J$2,IF(M65&gt;=G65,H65*D65*$J$2+(M65-G65)/(I65-G65)*(J65*D65*$J$2-H65*D65*$J$2),IF(M65&gt;=E65,F65*D65*$J$2+(M65-E65)/(G65-E65)*(H65*D65*$J$2-F65*D65*$J$2),IF(M65&lt;E65,0,""))))</f>
        <v>0.44528301886792465</v>
      </c>
      <c r="P65" s="44"/>
      <c r="Q65" s="44"/>
    </row>
    <row r="66" spans="1:21" s="40" customFormat="1" ht="15" customHeight="1" x14ac:dyDescent="0.25">
      <c r="A66" s="240"/>
      <c r="B66" s="243"/>
      <c r="C66" s="246"/>
      <c r="D66" s="249"/>
      <c r="E66" s="252"/>
      <c r="F66" s="255"/>
      <c r="G66" s="368"/>
      <c r="H66" s="258"/>
      <c r="I66" s="252"/>
      <c r="J66" s="222"/>
      <c r="L66" s="41"/>
      <c r="M66" s="262"/>
      <c r="N66" s="263"/>
      <c r="O66" s="266"/>
      <c r="P66" s="44"/>
      <c r="Q66" s="44"/>
    </row>
    <row r="67" spans="1:21" s="40" customFormat="1" ht="13.5" customHeight="1" x14ac:dyDescent="0.25">
      <c r="A67" s="240"/>
      <c r="B67" s="243"/>
      <c r="C67" s="246"/>
      <c r="D67" s="249"/>
      <c r="E67" s="252"/>
      <c r="F67" s="255"/>
      <c r="G67" s="368"/>
      <c r="H67" s="258"/>
      <c r="I67" s="252"/>
      <c r="J67" s="222"/>
      <c r="L67" s="41"/>
      <c r="M67" s="262"/>
      <c r="N67" s="263"/>
      <c r="O67" s="266"/>
      <c r="P67" s="44">
        <v>2</v>
      </c>
      <c r="Q67" s="44"/>
      <c r="S67" s="77"/>
      <c r="T67" s="27"/>
    </row>
    <row r="68" spans="1:21" s="40" customFormat="1" ht="18" x14ac:dyDescent="0.25">
      <c r="A68" s="240"/>
      <c r="B68" s="243"/>
      <c r="C68" s="246"/>
      <c r="D68" s="249"/>
      <c r="E68" s="252"/>
      <c r="F68" s="255"/>
      <c r="G68" s="368"/>
      <c r="H68" s="258"/>
      <c r="I68" s="252"/>
      <c r="J68" s="222"/>
      <c r="L68" s="41"/>
      <c r="M68" s="262"/>
      <c r="N68" s="263"/>
      <c r="O68" s="266"/>
      <c r="S68" s="78"/>
    </row>
    <row r="69" spans="1:21" s="40" customFormat="1" ht="33.75" customHeight="1" thickBot="1" x14ac:dyDescent="0.3">
      <c r="A69" s="241"/>
      <c r="B69" s="244"/>
      <c r="C69" s="247"/>
      <c r="D69" s="250"/>
      <c r="E69" s="253"/>
      <c r="F69" s="256"/>
      <c r="G69" s="369"/>
      <c r="H69" s="259"/>
      <c r="I69" s="253"/>
      <c r="J69" s="223"/>
      <c r="L69" s="41"/>
      <c r="M69" s="264"/>
      <c r="N69" s="265"/>
      <c r="O69" s="266"/>
      <c r="S69" s="79"/>
      <c r="T69" s="80"/>
    </row>
    <row r="70" spans="1:21" s="47" customFormat="1" ht="39.75" customHeight="1" x14ac:dyDescent="0.25">
      <c r="A70" s="76"/>
      <c r="B70" s="206" t="s">
        <v>35</v>
      </c>
      <c r="C70" s="207"/>
      <c r="D70" s="231"/>
      <c r="E70" s="232"/>
      <c r="F70" s="232"/>
      <c r="G70" s="232"/>
      <c r="H70" s="232"/>
      <c r="I70" s="232"/>
      <c r="J70" s="233"/>
      <c r="K70" s="74"/>
      <c r="L70" s="52"/>
      <c r="M70" s="52"/>
      <c r="N70" s="52"/>
      <c r="O70" s="53"/>
      <c r="U70" s="51"/>
    </row>
    <row r="71" spans="1:21" s="40" customFormat="1" ht="16.5" customHeight="1" thickBot="1" x14ac:dyDescent="0.3">
      <c r="A71" s="14"/>
      <c r="B71" s="10"/>
      <c r="C71" s="10"/>
      <c r="D71" s="57"/>
      <c r="E71" s="58"/>
      <c r="F71" s="57"/>
      <c r="G71" s="58"/>
      <c r="H71" s="57"/>
      <c r="I71" s="58"/>
      <c r="J71" s="57"/>
      <c r="L71" s="41"/>
      <c r="M71" s="34"/>
      <c r="N71" s="34"/>
      <c r="O71" s="59"/>
      <c r="P71" s="60"/>
      <c r="Q71" s="44"/>
      <c r="U71" s="23"/>
    </row>
    <row r="72" spans="1:21" s="40" customFormat="1" ht="18" customHeight="1" thickBot="1" x14ac:dyDescent="0.3">
      <c r="A72" s="234" t="s">
        <v>70</v>
      </c>
      <c r="B72" s="235"/>
      <c r="C72" s="236"/>
      <c r="D72" s="36"/>
      <c r="E72" s="37"/>
      <c r="F72" s="61"/>
      <c r="G72" s="37"/>
      <c r="H72" s="61"/>
      <c r="I72" s="37"/>
      <c r="J72" s="61"/>
      <c r="L72" s="41"/>
      <c r="M72" s="237" t="s">
        <v>67</v>
      </c>
      <c r="N72" s="238"/>
      <c r="O72" s="72"/>
      <c r="P72" s="44"/>
      <c r="Q72" s="44"/>
    </row>
    <row r="73" spans="1:21" s="40" customFormat="1" ht="12" customHeight="1" x14ac:dyDescent="0.25">
      <c r="A73" s="239"/>
      <c r="B73" s="242" t="s">
        <v>71</v>
      </c>
      <c r="C73" s="245" t="s">
        <v>72</v>
      </c>
      <c r="D73" s="248">
        <v>0.05</v>
      </c>
      <c r="E73" s="251">
        <v>86.9</v>
      </c>
      <c r="F73" s="254">
        <v>0.5</v>
      </c>
      <c r="G73" s="251">
        <v>91.5</v>
      </c>
      <c r="H73" s="257">
        <v>1</v>
      </c>
      <c r="I73" s="364">
        <v>96.1</v>
      </c>
      <c r="J73" s="221">
        <v>1.5</v>
      </c>
      <c r="L73" s="41"/>
      <c r="M73" s="224">
        <v>121.8</v>
      </c>
      <c r="N73" s="225"/>
      <c r="O73" s="230">
        <f>IF(M73&gt;=I73,J73*D73*$J$2,IF(M73&gt;=G73,H73*D73*$J$2+(M73-G73)/(I73-G73)*(J73*D73*$J$2-H73*D73*$J$2),IF(M73&gt;=E73,F73*D73*$J$2+(M73-E73)/(G73-E73)*(H73*D73*$J$2-F73*D73*$J$2),IF(M73&lt;E73,0,""))))</f>
        <v>7.5000000000000011E-2</v>
      </c>
      <c r="P73" s="44"/>
      <c r="Q73" s="44"/>
    </row>
    <row r="74" spans="1:21" s="40" customFormat="1" ht="15" customHeight="1" x14ac:dyDescent="0.25">
      <c r="A74" s="240"/>
      <c r="B74" s="243"/>
      <c r="C74" s="246"/>
      <c r="D74" s="249"/>
      <c r="E74" s="252"/>
      <c r="F74" s="255"/>
      <c r="G74" s="252"/>
      <c r="H74" s="258"/>
      <c r="I74" s="365"/>
      <c r="J74" s="222"/>
      <c r="L74" s="41"/>
      <c r="M74" s="226"/>
      <c r="N74" s="227"/>
      <c r="O74" s="230"/>
      <c r="P74" s="44"/>
      <c r="Q74" s="44"/>
    </row>
    <row r="75" spans="1:21" s="40" customFormat="1" ht="13.5" customHeight="1" x14ac:dyDescent="0.25">
      <c r="A75" s="240"/>
      <c r="B75" s="243"/>
      <c r="C75" s="246"/>
      <c r="D75" s="249"/>
      <c r="E75" s="252"/>
      <c r="F75" s="255"/>
      <c r="G75" s="252"/>
      <c r="H75" s="258"/>
      <c r="I75" s="365"/>
      <c r="J75" s="222"/>
      <c r="L75" s="41"/>
      <c r="M75" s="226"/>
      <c r="N75" s="227"/>
      <c r="O75" s="230"/>
      <c r="P75" s="44">
        <v>2</v>
      </c>
      <c r="Q75" s="44"/>
    </row>
    <row r="76" spans="1:21" s="40" customFormat="1" ht="12" customHeight="1" x14ac:dyDescent="0.25">
      <c r="A76" s="240"/>
      <c r="B76" s="243"/>
      <c r="C76" s="246"/>
      <c r="D76" s="249"/>
      <c r="E76" s="252"/>
      <c r="F76" s="255"/>
      <c r="G76" s="252"/>
      <c r="H76" s="258"/>
      <c r="I76" s="365"/>
      <c r="J76" s="222"/>
      <c r="L76" s="41"/>
      <c r="M76" s="226"/>
      <c r="N76" s="227"/>
      <c r="O76" s="230"/>
    </row>
    <row r="77" spans="1:21" s="40" customFormat="1" ht="48" customHeight="1" thickBot="1" x14ac:dyDescent="0.3">
      <c r="A77" s="241"/>
      <c r="B77" s="244"/>
      <c r="C77" s="247"/>
      <c r="D77" s="250"/>
      <c r="E77" s="253"/>
      <c r="F77" s="256"/>
      <c r="G77" s="253"/>
      <c r="H77" s="259"/>
      <c r="I77" s="366"/>
      <c r="J77" s="223"/>
      <c r="L77" s="41"/>
      <c r="M77" s="228"/>
      <c r="N77" s="229"/>
      <c r="O77" s="230"/>
    </row>
    <row r="78" spans="1:21" s="47" customFormat="1" ht="30" customHeight="1" thickBot="1" x14ac:dyDescent="0.3">
      <c r="A78" s="76"/>
      <c r="B78" s="206" t="s">
        <v>35</v>
      </c>
      <c r="C78" s="207"/>
      <c r="D78" s="231"/>
      <c r="E78" s="232"/>
      <c r="F78" s="232"/>
      <c r="G78" s="232"/>
      <c r="H78" s="232"/>
      <c r="I78" s="232"/>
      <c r="J78" s="233"/>
      <c r="K78" s="74"/>
      <c r="L78" s="52"/>
      <c r="M78" s="81"/>
      <c r="N78" s="81"/>
      <c r="O78" s="53"/>
      <c r="U78" s="51"/>
    </row>
    <row r="79" spans="1:21" s="47" customFormat="1" ht="30" customHeight="1" thickBot="1" x14ac:dyDescent="0.3">
      <c r="A79" s="76"/>
      <c r="B79" s="206" t="s">
        <v>35</v>
      </c>
      <c r="C79" s="207"/>
      <c r="D79" s="208"/>
      <c r="E79" s="209"/>
      <c r="F79" s="209"/>
      <c r="G79" s="209"/>
      <c r="H79" s="209"/>
      <c r="I79" s="209"/>
      <c r="J79" s="210"/>
      <c r="K79" s="74"/>
      <c r="L79" s="52"/>
      <c r="M79" s="81"/>
      <c r="N79" s="81"/>
      <c r="O79" s="82"/>
      <c r="U79" s="51"/>
    </row>
    <row r="80" spans="1:21" s="40" customFormat="1" ht="12" customHeight="1" thickBot="1" x14ac:dyDescent="0.3">
      <c r="A80" s="211" t="s">
        <v>73</v>
      </c>
      <c r="B80" s="211"/>
      <c r="C80" s="211"/>
      <c r="D80" s="211"/>
      <c r="E80" s="211"/>
      <c r="F80" s="30"/>
      <c r="G80" s="31"/>
      <c r="H80" s="30"/>
      <c r="I80" s="31"/>
      <c r="J80" s="30"/>
      <c r="L80" s="83"/>
      <c r="M80" s="84" t="s">
        <v>74</v>
      </c>
      <c r="N80" s="85"/>
      <c r="O80" s="86"/>
    </row>
    <row r="81" spans="1:20" s="40" customFormat="1" ht="12" customHeight="1" thickBot="1" x14ac:dyDescent="0.3">
      <c r="A81" s="211"/>
      <c r="B81" s="211"/>
      <c r="C81" s="211"/>
      <c r="D81" s="211"/>
      <c r="E81" s="211"/>
      <c r="F81" s="57"/>
      <c r="G81" s="58"/>
      <c r="H81" s="57"/>
      <c r="I81" s="58"/>
      <c r="J81" s="57"/>
    </row>
    <row r="82" spans="1:20" s="40" customFormat="1" ht="12" customHeight="1" thickBot="1" x14ac:dyDescent="0.3">
      <c r="A82" s="200" t="s">
        <v>75</v>
      </c>
      <c r="B82" s="200"/>
      <c r="C82" s="200"/>
      <c r="D82" s="200"/>
      <c r="E82" s="212"/>
      <c r="F82" s="213" t="s">
        <v>76</v>
      </c>
      <c r="G82" s="214"/>
      <c r="H82" s="214"/>
      <c r="I82" s="214"/>
      <c r="J82" s="215"/>
      <c r="M82" s="87"/>
      <c r="O82" s="88"/>
    </row>
    <row r="83" spans="1:20" s="40" customFormat="1" ht="16.5" customHeight="1" x14ac:dyDescent="0.25">
      <c r="A83" s="200"/>
      <c r="B83" s="200"/>
      <c r="C83" s="200"/>
      <c r="D83" s="200"/>
      <c r="E83" s="212"/>
      <c r="F83" s="216" t="str">
        <f>E8</f>
        <v>Threshold</v>
      </c>
      <c r="G83" s="217"/>
      <c r="H83" s="89" t="str">
        <f>G8</f>
        <v>Target</v>
      </c>
      <c r="I83" s="90"/>
      <c r="J83" s="91" t="str">
        <f>I8</f>
        <v>Stretch</v>
      </c>
      <c r="M83" s="87"/>
      <c r="N83" s="88"/>
      <c r="O83" s="88"/>
    </row>
    <row r="84" spans="1:20" s="40" customFormat="1" ht="16.5" customHeight="1" x14ac:dyDescent="0.25">
      <c r="A84" s="200"/>
      <c r="B84" s="200"/>
      <c r="C84" s="200"/>
      <c r="D84" s="200"/>
      <c r="E84" s="212"/>
      <c r="F84" s="92">
        <f>((F13*$D$13)+(F24*$D$24)+(F35*$D$35)+(F43*$D$43)+(F54*$D$54)+(F65*$D$65)+(F73*$D$73))*$J$2</f>
        <v>0.5</v>
      </c>
      <c r="G84" s="93"/>
      <c r="H84" s="94">
        <f>((H13*$D$13)+(H24*$D$24)+(H35*$D$35)+(H43*$D$43)+(H54*$D$54)+(H65*$D$65)+(H73*$D$73))*$J$2</f>
        <v>1</v>
      </c>
      <c r="I84" s="95"/>
      <c r="J84" s="96">
        <f>((J13*$D$13)+(J24*$D$24)+(J35*$D$35)+(J43*$D$43)+(J54*$D$54)+(J65*$D$65)+(J73*$D$73))*$J$2</f>
        <v>1.5000000000000002</v>
      </c>
      <c r="M84" s="87"/>
      <c r="N84" s="88"/>
      <c r="O84" s="88"/>
    </row>
    <row r="85" spans="1:20" s="40" customFormat="1" ht="15" customHeight="1" thickBot="1" x14ac:dyDescent="0.3">
      <c r="A85" s="200"/>
      <c r="B85" s="200"/>
      <c r="C85" s="200"/>
      <c r="D85" s="200"/>
      <c r="E85" s="212"/>
      <c r="F85" s="97">
        <f>((F13*$D$13)+(F24*$D$24)+(F35*$D$35)+(F43*$D$43)+(F54*$D$54)+(F65*$D$65)+(F73*$D$73))*$B$6*$F$4</f>
        <v>0</v>
      </c>
      <c r="G85" s="98"/>
      <c r="H85" s="99">
        <f>((H13*$D$13)+(H24*$D$24)+(H35*$D$35)+(H43*$D$43)+(H54*$D$54)+(H65*$D$65)+(H73*$D$73))*$B$6*$F$4</f>
        <v>0</v>
      </c>
      <c r="I85" s="98"/>
      <c r="J85" s="100">
        <f>((J13*$D$13)+(J24*$D$24)+(J35*$D$35)+(J43*$D$43)+(J54*$D$54)+(J65*$D$65)+(J73*$D$73))*$B$6*$F$4</f>
        <v>0</v>
      </c>
      <c r="M85" s="87"/>
      <c r="N85" s="88"/>
      <c r="O85" s="88"/>
    </row>
    <row r="86" spans="1:20" s="40" customFormat="1" ht="30" customHeight="1" thickBot="1" x14ac:dyDescent="0.3">
      <c r="A86" s="180" t="s">
        <v>77</v>
      </c>
      <c r="B86" s="180"/>
      <c r="C86" s="180"/>
      <c r="D86" s="180"/>
      <c r="E86" s="180"/>
      <c r="F86" s="57"/>
      <c r="G86" s="101"/>
      <c r="H86" s="57"/>
      <c r="I86" s="102"/>
      <c r="J86" s="57"/>
      <c r="M86" s="103"/>
      <c r="N86" s="103"/>
      <c r="O86" s="103"/>
      <c r="S86" s="44"/>
      <c r="T86" s="44"/>
    </row>
    <row r="87" spans="1:20" s="40" customFormat="1" ht="12" customHeight="1" x14ac:dyDescent="0.2">
      <c r="A87" s="180"/>
      <c r="B87" s="180"/>
      <c r="C87" s="180"/>
      <c r="D87" s="180"/>
      <c r="E87" s="180"/>
      <c r="F87" s="181" t="s">
        <v>78</v>
      </c>
      <c r="G87" s="182"/>
      <c r="H87" s="182"/>
      <c r="I87" s="182"/>
      <c r="J87" s="183"/>
      <c r="M87" s="190">
        <f>SUM(O12:O79)</f>
        <v>1.2952830188679247</v>
      </c>
      <c r="N87" s="191"/>
      <c r="O87" s="192"/>
      <c r="P87" s="196"/>
      <c r="Q87" s="197"/>
      <c r="R87" s="197"/>
      <c r="S87" s="9"/>
      <c r="T87" s="9"/>
    </row>
    <row r="88" spans="1:20" s="40" customFormat="1" ht="16.5" customHeight="1" x14ac:dyDescent="0.2">
      <c r="A88" s="104"/>
      <c r="B88" s="104"/>
      <c r="C88" s="104"/>
      <c r="D88" s="104"/>
      <c r="E88" s="104"/>
      <c r="F88" s="184"/>
      <c r="G88" s="185"/>
      <c r="H88" s="185"/>
      <c r="I88" s="185"/>
      <c r="J88" s="186"/>
      <c r="M88" s="193"/>
      <c r="N88" s="194"/>
      <c r="O88" s="195"/>
      <c r="P88" s="198"/>
      <c r="Q88" s="199"/>
      <c r="R88" s="199"/>
      <c r="S88" s="9"/>
      <c r="T88" s="9"/>
    </row>
    <row r="89" spans="1:20" s="40" customFormat="1" ht="21.75" customHeight="1" thickBot="1" x14ac:dyDescent="0.25">
      <c r="A89" s="200" t="s">
        <v>79</v>
      </c>
      <c r="B89" s="200"/>
      <c r="C89" s="200"/>
      <c r="D89" s="200"/>
      <c r="E89" s="200"/>
      <c r="F89" s="187"/>
      <c r="G89" s="188"/>
      <c r="H89" s="188"/>
      <c r="I89" s="188"/>
      <c r="J89" s="189"/>
      <c r="M89" s="201">
        <f>M87*B6</f>
        <v>0</v>
      </c>
      <c r="N89" s="202"/>
      <c r="O89" s="203"/>
      <c r="S89" s="9"/>
      <c r="T89" s="9"/>
    </row>
    <row r="90" spans="1:20" ht="8.25" customHeight="1" x14ac:dyDescent="0.2">
      <c r="A90" s="200"/>
      <c r="B90" s="200"/>
      <c r="C90" s="200"/>
      <c r="D90" s="200"/>
      <c r="E90" s="200"/>
      <c r="M90" s="105"/>
      <c r="N90" s="105"/>
      <c r="O90" s="105"/>
    </row>
    <row r="91" spans="1:20" ht="17.25" customHeight="1" x14ac:dyDescent="0.2">
      <c r="A91" s="200"/>
      <c r="B91" s="200"/>
      <c r="C91" s="200"/>
      <c r="D91" s="200"/>
      <c r="E91" s="200"/>
      <c r="F91" s="204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Final Incentive calculations will be subject to audit review of all formulas.</v>
      </c>
      <c r="G91" s="204"/>
      <c r="H91" s="204"/>
      <c r="I91" s="204"/>
      <c r="J91" s="106"/>
      <c r="K91" s="106"/>
      <c r="L91" s="106"/>
      <c r="M91" s="106"/>
      <c r="N91" s="106"/>
      <c r="O91" s="106"/>
    </row>
    <row r="92" spans="1:20" ht="17.25" customHeight="1" thickBot="1" x14ac:dyDescent="0.25">
      <c r="A92" s="107"/>
      <c r="B92" s="107"/>
      <c r="C92" s="107"/>
      <c r="D92" s="107"/>
      <c r="E92" s="107"/>
      <c r="F92" s="205"/>
      <c r="G92" s="205"/>
      <c r="H92" s="205"/>
      <c r="I92" s="205"/>
      <c r="J92" s="108"/>
      <c r="K92" s="108"/>
      <c r="L92" s="108"/>
      <c r="M92" s="108"/>
      <c r="N92" s="108"/>
      <c r="O92" s="108"/>
    </row>
    <row r="93" spans="1:20" ht="20.25" x14ac:dyDescent="0.3">
      <c r="A93" s="109"/>
      <c r="B93" s="110"/>
      <c r="C93" s="110"/>
      <c r="D93" s="110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113"/>
      <c r="Q93" s="113"/>
      <c r="R93" s="113"/>
      <c r="S93" s="113"/>
    </row>
    <row r="94" spans="1:20" ht="18.75" customHeight="1" x14ac:dyDescent="0.3">
      <c r="A94" s="114" t="s">
        <v>80</v>
      </c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6"/>
      <c r="P94" s="113"/>
      <c r="Q94" s="113"/>
      <c r="R94" s="113"/>
      <c r="S94" s="113"/>
    </row>
    <row r="95" spans="1:20" ht="20.25" x14ac:dyDescent="0.3">
      <c r="A95" s="117" t="s">
        <v>81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9"/>
    </row>
    <row r="96" spans="1:20" ht="20.25" x14ac:dyDescent="0.3">
      <c r="A96" s="120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2"/>
    </row>
    <row r="97" spans="1:15" ht="20.25" x14ac:dyDescent="0.3">
      <c r="A97" s="123" t="s">
        <v>82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5"/>
    </row>
    <row r="98" spans="1:15" ht="18" x14ac:dyDescent="0.25">
      <c r="A98" s="126"/>
      <c r="B98" s="8"/>
      <c r="C98" s="8"/>
      <c r="D98" s="8"/>
      <c r="E98" s="8"/>
      <c r="F98" s="17"/>
      <c r="G98" s="8"/>
      <c r="H98" s="17"/>
      <c r="I98" s="8"/>
      <c r="J98" s="17"/>
      <c r="K98" s="8"/>
      <c r="L98" s="8"/>
      <c r="M98" s="8"/>
      <c r="N98" s="8"/>
      <c r="O98" s="127"/>
    </row>
    <row r="99" spans="1:15" ht="143.25" customHeight="1" x14ac:dyDescent="0.2">
      <c r="A99" s="128" t="s">
        <v>83</v>
      </c>
      <c r="B99" s="129" t="s">
        <v>84</v>
      </c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1"/>
    </row>
    <row r="100" spans="1:15" ht="47.25" customHeight="1" x14ac:dyDescent="0.25">
      <c r="A100" s="132"/>
      <c r="B100" s="133"/>
      <c r="C100" s="133"/>
      <c r="D100" s="133"/>
      <c r="E100" s="133"/>
      <c r="F100" s="134"/>
      <c r="G100" s="133"/>
      <c r="H100" s="134"/>
      <c r="I100" s="133"/>
      <c r="J100" s="134"/>
      <c r="K100" s="133"/>
      <c r="L100" s="133"/>
      <c r="M100" s="133"/>
      <c r="N100" s="133"/>
      <c r="O100" s="135"/>
    </row>
    <row r="101" spans="1:15" ht="119.25" customHeight="1" x14ac:dyDescent="0.2">
      <c r="A101" s="128" t="s">
        <v>83</v>
      </c>
      <c r="B101" s="129" t="s">
        <v>84</v>
      </c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1"/>
    </row>
    <row r="102" spans="1:15" ht="36.75" customHeight="1" x14ac:dyDescent="0.25">
      <c r="A102" s="132"/>
      <c r="B102" s="133"/>
      <c r="C102" s="133"/>
      <c r="D102" s="133"/>
      <c r="E102" s="133"/>
      <c r="F102" s="134"/>
      <c r="G102" s="133"/>
      <c r="H102" s="134"/>
      <c r="I102" s="133"/>
      <c r="J102" s="134"/>
      <c r="K102" s="133"/>
      <c r="L102" s="133"/>
      <c r="M102" s="133"/>
      <c r="N102" s="133"/>
      <c r="O102" s="135"/>
    </row>
    <row r="103" spans="1:15" ht="130.5" customHeight="1" x14ac:dyDescent="0.2">
      <c r="A103" s="128" t="s">
        <v>83</v>
      </c>
      <c r="B103" s="129" t="s">
        <v>84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1"/>
    </row>
    <row r="104" spans="1:15" ht="18" x14ac:dyDescent="0.25">
      <c r="A104" s="8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5" ht="18" x14ac:dyDescent="0.25">
      <c r="C105" s="137"/>
    </row>
  </sheetData>
  <sheetProtection formatCells="0" formatColumns="0" formatRows="0" selectLockedCells="1"/>
  <protectedRanges>
    <protectedRange sqref="F4" name="Range1"/>
  </protectedRanges>
  <mergeCells count="167">
    <mergeCell ref="A1:O1"/>
    <mergeCell ref="A2:C2"/>
    <mergeCell ref="E2:G2"/>
    <mergeCell ref="A3:C3"/>
    <mergeCell ref="D3:F3"/>
    <mergeCell ref="A4:C4"/>
    <mergeCell ref="A5:C5"/>
    <mergeCell ref="E5:G5"/>
    <mergeCell ref="E6:G6"/>
    <mergeCell ref="J8:J10"/>
    <mergeCell ref="L8:N10"/>
    <mergeCell ref="O8:O10"/>
    <mergeCell ref="A12:C12"/>
    <mergeCell ref="O12:O16"/>
    <mergeCell ref="A13:A17"/>
    <mergeCell ref="B13:B17"/>
    <mergeCell ref="C13:C17"/>
    <mergeCell ref="J13:J17"/>
    <mergeCell ref="M13:N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8:A21"/>
    <mergeCell ref="B18:C18"/>
    <mergeCell ref="D18:J18"/>
    <mergeCell ref="B19:C19"/>
    <mergeCell ref="D19:J19"/>
    <mergeCell ref="B20:C20"/>
    <mergeCell ref="D20:J20"/>
    <mergeCell ref="B21:C21"/>
    <mergeCell ref="D13:D17"/>
    <mergeCell ref="E13:E17"/>
    <mergeCell ref="F13:F17"/>
    <mergeCell ref="G13:G17"/>
    <mergeCell ref="H13:H17"/>
    <mergeCell ref="I13:I17"/>
    <mergeCell ref="D21:J21"/>
    <mergeCell ref="A23:C23"/>
    <mergeCell ref="O23:O27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35:A39"/>
    <mergeCell ref="B35:B39"/>
    <mergeCell ref="C35:C39"/>
    <mergeCell ref="D35:D39"/>
    <mergeCell ref="E35:E39"/>
    <mergeCell ref="F35:F39"/>
    <mergeCell ref="G35:G39"/>
    <mergeCell ref="O43:O47"/>
    <mergeCell ref="M44:N44"/>
    <mergeCell ref="A42:C42"/>
    <mergeCell ref="A43:A47"/>
    <mergeCell ref="B43:B47"/>
    <mergeCell ref="C43:C47"/>
    <mergeCell ref="D43:D47"/>
    <mergeCell ref="E43:E47"/>
    <mergeCell ref="H35:H39"/>
    <mergeCell ref="I35:I39"/>
    <mergeCell ref="J35:J39"/>
    <mergeCell ref="O35:O39"/>
    <mergeCell ref="M36:N36"/>
    <mergeCell ref="B40:C40"/>
    <mergeCell ref="D40:J40"/>
    <mergeCell ref="A48:A51"/>
    <mergeCell ref="B48:C48"/>
    <mergeCell ref="D48:J48"/>
    <mergeCell ref="B49:C49"/>
    <mergeCell ref="D49:J49"/>
    <mergeCell ref="B50:C50"/>
    <mergeCell ref="D50:J50"/>
    <mergeCell ref="B51:C51"/>
    <mergeCell ref="F43:F47"/>
    <mergeCell ref="G43:G47"/>
    <mergeCell ref="H43:H47"/>
    <mergeCell ref="I43:I47"/>
    <mergeCell ref="J43:J47"/>
    <mergeCell ref="O54:O58"/>
    <mergeCell ref="M55:N55"/>
    <mergeCell ref="A53:C53"/>
    <mergeCell ref="A54:A58"/>
    <mergeCell ref="B54:B58"/>
    <mergeCell ref="C54:C56"/>
    <mergeCell ref="D54:D58"/>
    <mergeCell ref="E54:E58"/>
    <mergeCell ref="C57:C58"/>
    <mergeCell ref="B59:C59"/>
    <mergeCell ref="D59:J59"/>
    <mergeCell ref="A60:C60"/>
    <mergeCell ref="D60:J60"/>
    <mergeCell ref="A61:A62"/>
    <mergeCell ref="B61:B62"/>
    <mergeCell ref="C61:C62"/>
    <mergeCell ref="D61:J61"/>
    <mergeCell ref="F54:F58"/>
    <mergeCell ref="G54:G58"/>
    <mergeCell ref="H54:H58"/>
    <mergeCell ref="I54:I58"/>
    <mergeCell ref="J54:J58"/>
    <mergeCell ref="I65:I69"/>
    <mergeCell ref="J65:J69"/>
    <mergeCell ref="M65:N69"/>
    <mergeCell ref="O65:O69"/>
    <mergeCell ref="B70:C70"/>
    <mergeCell ref="D70:J70"/>
    <mergeCell ref="A64:C64"/>
    <mergeCell ref="M64:N64"/>
    <mergeCell ref="A65:A69"/>
    <mergeCell ref="B65:B69"/>
    <mergeCell ref="C65:C69"/>
    <mergeCell ref="D65:D69"/>
    <mergeCell ref="E65:E69"/>
    <mergeCell ref="F65:F69"/>
    <mergeCell ref="G65:G69"/>
    <mergeCell ref="H65:H69"/>
    <mergeCell ref="I73:I77"/>
    <mergeCell ref="J73:J77"/>
    <mergeCell ref="M73:N77"/>
    <mergeCell ref="O73:O77"/>
    <mergeCell ref="B78:C78"/>
    <mergeCell ref="D78:J78"/>
    <mergeCell ref="A72:C72"/>
    <mergeCell ref="M72:N72"/>
    <mergeCell ref="A73:A77"/>
    <mergeCell ref="B73:B77"/>
    <mergeCell ref="C73:C77"/>
    <mergeCell ref="D73:D77"/>
    <mergeCell ref="E73:E77"/>
    <mergeCell ref="F73:F77"/>
    <mergeCell ref="G73:G77"/>
    <mergeCell ref="H73:H77"/>
    <mergeCell ref="A86:E87"/>
    <mergeCell ref="F87:J89"/>
    <mergeCell ref="M87:O88"/>
    <mergeCell ref="P87:R88"/>
    <mergeCell ref="A89:E91"/>
    <mergeCell ref="M89:O89"/>
    <mergeCell ref="F91:I92"/>
    <mergeCell ref="B79:C79"/>
    <mergeCell ref="D79:J79"/>
    <mergeCell ref="A80:E81"/>
    <mergeCell ref="A82:E85"/>
    <mergeCell ref="F82:J82"/>
    <mergeCell ref="F83:G83"/>
  </mergeCells>
  <conditionalFormatting sqref="F43:F47">
    <cfRule type="expression" dxfId="28" priority="22" stopIfTrue="1">
      <formula>$M$45&lt;&gt;""</formula>
    </cfRule>
  </conditionalFormatting>
  <conditionalFormatting sqref="H43:H47">
    <cfRule type="expression" dxfId="27" priority="23" stopIfTrue="1">
      <formula>$M$46&lt;&gt;""</formula>
    </cfRule>
  </conditionalFormatting>
  <conditionalFormatting sqref="J43:J47">
    <cfRule type="expression" dxfId="26" priority="24" stopIfTrue="1">
      <formula>$M$47&lt;&gt;""</formula>
    </cfRule>
  </conditionalFormatting>
  <conditionalFormatting sqref="H13:H17">
    <cfRule type="expression" dxfId="25" priority="25" stopIfTrue="1">
      <formula>$M$15&lt;&gt;""</formula>
    </cfRule>
  </conditionalFormatting>
  <conditionalFormatting sqref="J13:J17">
    <cfRule type="expression" dxfId="24" priority="26" stopIfTrue="1">
      <formula>$M$16&lt;&gt;""</formula>
    </cfRule>
  </conditionalFormatting>
  <conditionalFormatting sqref="F24:F28">
    <cfRule type="expression" dxfId="23" priority="27" stopIfTrue="1">
      <formula>$M$25&lt;&gt;""</formula>
    </cfRule>
  </conditionalFormatting>
  <conditionalFormatting sqref="H24:H28">
    <cfRule type="expression" dxfId="22" priority="28" stopIfTrue="1">
      <formula>$M$26&lt;&gt;""</formula>
    </cfRule>
  </conditionalFormatting>
  <conditionalFormatting sqref="J24:J28">
    <cfRule type="expression" dxfId="21" priority="29" stopIfTrue="1">
      <formula>$M$27&lt;&gt;""</formula>
    </cfRule>
  </conditionalFormatting>
  <conditionalFormatting sqref="F54:F58">
    <cfRule type="expression" dxfId="20" priority="19" stopIfTrue="1">
      <formula>$M$56&lt;&gt;""</formula>
    </cfRule>
  </conditionalFormatting>
  <conditionalFormatting sqref="H54:H58">
    <cfRule type="expression" dxfId="19" priority="20" stopIfTrue="1">
      <formula>$M$57&lt;&gt;""</formula>
    </cfRule>
  </conditionalFormatting>
  <conditionalFormatting sqref="J54:J58">
    <cfRule type="expression" dxfId="18" priority="21" stopIfTrue="1">
      <formula>$M$58&lt;&gt;""</formula>
    </cfRule>
  </conditionalFormatting>
  <conditionalFormatting sqref="F65:F69">
    <cfRule type="expression" dxfId="17" priority="16" stopIfTrue="1">
      <formula>$M$65=$E$65</formula>
    </cfRule>
  </conditionalFormatting>
  <conditionalFormatting sqref="H65:H69">
    <cfRule type="expression" dxfId="16" priority="17" stopIfTrue="1">
      <formula>$M$65=$G$65</formula>
    </cfRule>
  </conditionalFormatting>
  <conditionalFormatting sqref="J65:J69">
    <cfRule type="expression" dxfId="15" priority="18" stopIfTrue="1">
      <formula>$M$65=$I$65</formula>
    </cfRule>
  </conditionalFormatting>
  <conditionalFormatting sqref="F73:F77">
    <cfRule type="expression" dxfId="14" priority="13" stopIfTrue="1">
      <formula>$M$73=$E$73</formula>
    </cfRule>
  </conditionalFormatting>
  <conditionalFormatting sqref="H73:H77">
    <cfRule type="expression" dxfId="13" priority="14" stopIfTrue="1">
      <formula>$M$73=$G$73</formula>
    </cfRule>
  </conditionalFormatting>
  <conditionalFormatting sqref="J73:J77">
    <cfRule type="expression" dxfId="12" priority="15" stopIfTrue="1">
      <formula>$M$73=$I$73</formula>
    </cfRule>
  </conditionalFormatting>
  <conditionalFormatting sqref="F35:F39">
    <cfRule type="expression" dxfId="11" priority="10" stopIfTrue="1">
      <formula>$M$37&lt;&gt;""</formula>
    </cfRule>
  </conditionalFormatting>
  <conditionalFormatting sqref="H35:H39">
    <cfRule type="expression" dxfId="10" priority="11" stopIfTrue="1">
      <formula>$M$38&lt;&gt;""</formula>
    </cfRule>
  </conditionalFormatting>
  <conditionalFormatting sqref="J35:J39">
    <cfRule type="expression" dxfId="9" priority="12" stopIfTrue="1">
      <formula>$M$39&lt;&gt;""</formula>
    </cfRule>
  </conditionalFormatting>
  <conditionalFormatting sqref="M73">
    <cfRule type="cellIs" dxfId="8" priority="2" stopIfTrue="1" operator="greaterThanOrEqual">
      <formula>$E$13</formula>
    </cfRule>
  </conditionalFormatting>
  <conditionalFormatting sqref="M45:N47">
    <cfRule type="expression" dxfId="7" priority="8" stopIfTrue="1">
      <formula>$M45&lt;&gt;""</formula>
    </cfRule>
  </conditionalFormatting>
  <conditionalFormatting sqref="M18:N18">
    <cfRule type="cellIs" dxfId="6" priority="9" stopIfTrue="1" operator="greaterThanOrEqual">
      <formula>$E$13</formula>
    </cfRule>
  </conditionalFormatting>
  <conditionalFormatting sqref="M56:N58">
    <cfRule type="expression" dxfId="5" priority="7" stopIfTrue="1">
      <formula>$M56&lt;&gt;""</formula>
    </cfRule>
  </conditionalFormatting>
  <conditionalFormatting sqref="M37:N39">
    <cfRule type="expression" dxfId="4" priority="6" stopIfTrue="1">
      <formula>$M37&lt;&gt;""</formula>
    </cfRule>
  </conditionalFormatting>
  <conditionalFormatting sqref="M14:N16">
    <cfRule type="expression" dxfId="3" priority="5" stopIfTrue="1">
      <formula>$M14&lt;&gt;""</formula>
    </cfRule>
  </conditionalFormatting>
  <conditionalFormatting sqref="M25:N27">
    <cfRule type="expression" dxfId="2" priority="4" stopIfTrue="1">
      <formula>$M25&lt;&gt;""</formula>
    </cfRule>
  </conditionalFormatting>
  <conditionalFormatting sqref="M65">
    <cfRule type="cellIs" dxfId="1" priority="3" stopIfTrue="1" operator="greaterThanOrEqual">
      <formula>$E$13</formula>
    </cfRule>
  </conditionalFormatting>
  <conditionalFormatting sqref="F13:F17">
    <cfRule type="expression" dxfId="0" priority="1">
      <formula>$M$14&lt;&gt;""</formula>
    </cfRule>
  </conditionalFormatting>
  <printOptions horizontalCentered="1" verticalCentered="1"/>
  <pageMargins left="0.3" right="0.3" top="0.25" bottom="0.25" header="0.5" footer="0.25"/>
  <pageSetup paperSize="3" scale="44" orientation="landscape" horizontalDpi="300" verticalDpi="300" r:id="rId1"/>
  <headerFooter alignWithMargins="0">
    <oddFooter>&amp;Z&amp;F&amp;RPage &amp;P</oddFooter>
  </headerFooter>
  <rowBreaks count="1" manualBreakCount="1">
    <brk id="92" max="14" man="1"/>
  </rowBreaks>
  <colBreaks count="1" manualBreakCount="1">
    <brk id="1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20575-DD96-4A37-A6B4-C5D2A669D738}">
  <dimension ref="B4:C25"/>
  <sheetViews>
    <sheetView workbookViewId="0">
      <selection activeCell="B4" sqref="B4"/>
    </sheetView>
  </sheetViews>
  <sheetFormatPr defaultRowHeight="15" x14ac:dyDescent="0.25"/>
  <cols>
    <col min="2" max="2" width="9.85546875" bestFit="1" customWidth="1"/>
  </cols>
  <sheetData>
    <row r="4" spans="2:3" x14ac:dyDescent="0.25">
      <c r="B4" s="1"/>
    </row>
    <row r="5" spans="2:3" x14ac:dyDescent="0.25">
      <c r="B5" s="1"/>
    </row>
    <row r="6" spans="2:3" x14ac:dyDescent="0.25">
      <c r="B6" s="1"/>
    </row>
    <row r="7" spans="2:3" x14ac:dyDescent="0.25">
      <c r="B7" s="1">
        <v>121</v>
      </c>
      <c r="C7" t="s">
        <v>158</v>
      </c>
    </row>
    <row r="8" spans="2:3" x14ac:dyDescent="0.25">
      <c r="B8" s="1">
        <v>8</v>
      </c>
      <c r="C8" t="s">
        <v>158</v>
      </c>
    </row>
    <row r="9" spans="2:3" x14ac:dyDescent="0.25">
      <c r="B9" s="1">
        <v>4</v>
      </c>
      <c r="C9" t="s">
        <v>158</v>
      </c>
    </row>
    <row r="10" spans="2:3" x14ac:dyDescent="0.25">
      <c r="B10" s="1">
        <v>8</v>
      </c>
      <c r="C10" t="s">
        <v>158</v>
      </c>
    </row>
    <row r="11" spans="2:3" x14ac:dyDescent="0.25">
      <c r="B11" s="1">
        <v>1</v>
      </c>
      <c r="C11" t="s">
        <v>158</v>
      </c>
    </row>
    <row r="12" spans="2:3" x14ac:dyDescent="0.25">
      <c r="B12" s="1">
        <f>285-53</f>
        <v>232</v>
      </c>
      <c r="C12" t="s">
        <v>0</v>
      </c>
    </row>
    <row r="13" spans="2:3" x14ac:dyDescent="0.25">
      <c r="B13" s="1">
        <v>718</v>
      </c>
      <c r="C13" t="s">
        <v>93</v>
      </c>
    </row>
    <row r="14" spans="2:3" x14ac:dyDescent="0.25">
      <c r="B14" s="1">
        <v>50</v>
      </c>
      <c r="C14" t="s">
        <v>93</v>
      </c>
    </row>
    <row r="15" spans="2:3" x14ac:dyDescent="0.25">
      <c r="B15" s="1">
        <v>22</v>
      </c>
      <c r="C15" t="s">
        <v>93</v>
      </c>
    </row>
    <row r="16" spans="2:3" x14ac:dyDescent="0.25">
      <c r="B16" s="1">
        <v>49</v>
      </c>
      <c r="C16" t="s">
        <v>93</v>
      </c>
    </row>
    <row r="17" spans="2:3" x14ac:dyDescent="0.25">
      <c r="B17" s="1">
        <v>81</v>
      </c>
      <c r="C17" t="s">
        <v>93</v>
      </c>
    </row>
    <row r="18" spans="2:3" x14ac:dyDescent="0.25">
      <c r="B18" s="1">
        <v>5</v>
      </c>
      <c r="C18" t="s">
        <v>93</v>
      </c>
    </row>
    <row r="19" spans="2:3" x14ac:dyDescent="0.25">
      <c r="B19" s="1">
        <v>2</v>
      </c>
      <c r="C19" t="s">
        <v>93</v>
      </c>
    </row>
    <row r="20" spans="2:3" x14ac:dyDescent="0.25">
      <c r="B20" s="1">
        <v>5</v>
      </c>
      <c r="C20" t="s">
        <v>93</v>
      </c>
    </row>
    <row r="21" spans="2:3" x14ac:dyDescent="0.25">
      <c r="B21" s="1">
        <f>SUM(B7:B20)</f>
        <v>1306</v>
      </c>
    </row>
    <row r="22" spans="2:3" x14ac:dyDescent="0.25">
      <c r="B22" s="1"/>
    </row>
    <row r="23" spans="2:3" x14ac:dyDescent="0.25">
      <c r="B23" s="1">
        <f>+B21*(1-0.244)</f>
        <v>987.33600000000001</v>
      </c>
    </row>
    <row r="24" spans="2:3" x14ac:dyDescent="0.25">
      <c r="B24" s="1"/>
    </row>
    <row r="25" spans="2:3" x14ac:dyDescent="0.25">
      <c r="B25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CE5285-381D-4D01-9DA8-0241F2D56C22}"/>
</file>

<file path=customXml/itemProps2.xml><?xml version="1.0" encoding="utf-8"?>
<ds:datastoreItem xmlns:ds="http://schemas.openxmlformats.org/officeDocument/2006/customXml" ds:itemID="{33770FDF-7063-4075-86F1-1E380D0300F8}"/>
</file>

<file path=customXml/itemProps3.xml><?xml version="1.0" encoding="utf-8"?>
<ds:datastoreItem xmlns:ds="http://schemas.openxmlformats.org/officeDocument/2006/customXml" ds:itemID="{E3D318C6-3B17-40AB-B181-57C5C42294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PGS_2019 PSP Stair Step</vt:lpstr>
      <vt:lpstr>PGS Officer</vt:lpstr>
      <vt:lpstr>PGS  Key</vt:lpstr>
      <vt:lpstr>Support</vt:lpstr>
      <vt:lpstr>'PGS  Key'!Print_Area</vt:lpstr>
      <vt:lpstr>'PGS Officer'!Print_Area</vt:lpstr>
      <vt:lpstr>'PGS_2019 PSP Stair Step'!Print_Area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2020-07-09T22:29:03Z</dcterms:created>
  <dcterms:modified xsi:type="dcterms:W3CDTF">2020-07-09T22:29:04Z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