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ean Energy Connection\DEF CEC Filing &amp; Support\Supporting Files (no links)\"/>
    </mc:Choice>
  </mc:AlternateContent>
  <xr:revisionPtr revIDLastSave="0" documentId="13_ncr:1_{7BB7E432-7901-4D63-94B7-3A4157676696}" xr6:coauthVersionLast="44" xr6:coauthVersionMax="44" xr10:uidLastSave="{00000000-0000-0000-0000-000000000000}"/>
  <bookViews>
    <workbookView xWindow="-110" yWindow="-110" windowWidth="19420" windowHeight="10420" xr2:uid="{35C334DC-96BA-49E0-97FC-F44D899A94B6}"/>
  </bookViews>
  <sheets>
    <sheet name="Program Admin Expenses" sheetId="2" r:id="rId1"/>
    <sheet name="Tariff Model Inputs" sheetId="3" r:id="rId2"/>
  </sheets>
  <externalReferences>
    <externalReference r:id="rId3"/>
    <externalReference r:id="rId4"/>
    <externalReference r:id="rId5"/>
    <externalReference r:id="rId6"/>
  </externalReferences>
  <definedNames>
    <definedName name="___thinkcellREMAAAAAAAAEAAAARM3YEr2Vska_PC_IFuLITA" hidden="1">'[1]LCOE Calculation (fixed)'!$P$93:$W$101</definedName>
    <definedName name="__123Graph_A" hidden="1">[2]Assum!$B$14:$B$22</definedName>
    <definedName name="__123Graph_B" hidden="1">[2]Assum!$C$14:$C$22</definedName>
    <definedName name="__123Graph_C" hidden="1">[2]Assum!$D$14:$D$22</definedName>
    <definedName name="__123Graph_D" hidden="1">[2]Assum!$E$14:$E$22</definedName>
    <definedName name="__123Graph_E" hidden="1">[2]Assum!$F$14:$F$20</definedName>
    <definedName name="__FDS_HYPERLINK_TOGGLE_STATE__" hidden="1">"ON"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#REF!</definedName>
    <definedName name="_Table3_In2" localSheetId="1" hidden="1">#REF!</definedName>
    <definedName name="_Table3_In2" hidden="1">#REF!</definedName>
    <definedName name="a" hidden="1">[2]Assum!$D$14:$D$22</definedName>
    <definedName name="Active_Project_IRR">[3]Analysis!$C$22</definedName>
    <definedName name="ActiveState">[3]Control!$D$11</definedName>
    <definedName name="ActiveTerritory">[3]Control!$D$10</definedName>
    <definedName name="AnalysisStartQuarter">[3]Control!$D$169</definedName>
    <definedName name="AnalysisStartQuarterOptions">[3]ValidationOptions!$B$3:$B$166</definedName>
    <definedName name="anscount" hidden="1">1</definedName>
    <definedName name="AssetType">[3]ValidationOptions!$B$285:$B$300</definedName>
    <definedName name="Basis_For_Pricing_Options">[3]ValidationOptions!$B$232:$B$233</definedName>
    <definedName name="BonusEligible">[3]DepreciationInputs!$B$3:$I$3</definedName>
    <definedName name="BookLives">[3]DepreciationInputs!$L$4:$L$8</definedName>
    <definedName name="Comp" localSheetId="1" hidden="1">[4]capcost!#REF!</definedName>
    <definedName name="Comp" hidden="1">[4]capcost!#REF!</definedName>
    <definedName name="Company">[3]ValidationOptions!$C$186:$C$193</definedName>
    <definedName name="Cwvu.GREY_ALL." localSheetId="1" hidden="1">#REF!</definedName>
    <definedName name="Cwvu.GREY_ALL." hidden="1">#REF!</definedName>
    <definedName name="d" hidden="1">[2]Assum!$F$14:$F$20</definedName>
    <definedName name="dd" localSheetId="1" hidden="1">#REF!</definedName>
    <definedName name="dd" hidden="1">#REF!</definedName>
    <definedName name="DiscountRate">[3]Control!$D$171</definedName>
    <definedName name="f" localSheetId="1" hidden="1">#REF!</definedName>
    <definedName name="f" hidden="1">#REF!</definedName>
    <definedName name="fd" localSheetId="1" hidden="1">{#N/A,#N/A,FALSE,"GIS"}</definedName>
    <definedName name="fd" hidden="1">{#N/A,#N/A,FALSE,"GIS"}</definedName>
    <definedName name="Initial_Rate_Case_Test_Period_End_Options">[3]ValidationOptions!$B$240:$B$265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EPS_GROWTH_1YR" hidden="1">"c1636"</definedName>
    <definedName name="IQ_EST_EPS_GROWTH_1YR_CIQ" hidden="1">"c3628"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40231.5582175926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39790.5582291667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C_Rate_Treatment_Options">[3]ValidationOptions!$B$173:$B$175</definedName>
    <definedName name="ITC_Treatment_Options">[3]ValidationOptions!$B$169:$B$170</definedName>
    <definedName name="Location_State">[3]ValidationOptions!$B$196:$B$201</definedName>
    <definedName name="MACRSLives">[3]DepreciationInputs!$B$2:$I$2</definedName>
    <definedName name="MACRSTable">[3]DepreciationInputs!$B$4:$I$54</definedName>
    <definedName name="MACRSTotals">[3]DepreciationInputs!$B$55:$I$55</definedName>
    <definedName name="NPVBaseDate">[3]Control!$D$170</definedName>
    <definedName name="Perfect_or_Rate_Case_Ratemaking_Options">[3]ValidationOptions!$B$268:$B$269</definedName>
    <definedName name="ProjectNames">[3]ProjectInputs!$C$4:$Y$4</definedName>
    <definedName name="ProjectNumbers">[3]ProjectInputs!$C$3:$Y$3</definedName>
    <definedName name="Property_Taxed_On">[3]ValidationOptions!$B$223:$B$225</definedName>
    <definedName name="QuarterStartDate">[3]ValidationOptions!$C$3:$C$166</definedName>
    <definedName name="Rate_Base_Test_Year_and_Timing_Methodology_Options">[3]ValidationOptions!$B$236:$B$237</definedName>
    <definedName name="Retail_Jurisdictions">[3]ValidationOptions!$B$186:$B$193</definedName>
    <definedName name="s" hidden="1">[2]Assum!$E$14:$E$22</definedName>
    <definedName name="sencount" hidden="1">1</definedName>
    <definedName name="StartingPoint" localSheetId="1" hidden="1">#REF!</definedName>
    <definedName name="StartingPoint" hidden="1">#REF!</definedName>
    <definedName name="StartYear">[3]NonProjectInputs!$B$4</definedName>
    <definedName name="StateTreatmentOfADITandADITC">[3]Analysis!$B$217</definedName>
    <definedName name="SWFL">[3]Analysis!$C$512</definedName>
    <definedName name="SWIN">[3]Analysis!$C$556</definedName>
    <definedName name="SWKY">[3]Analysis!$C$651</definedName>
    <definedName name="SWNC">[3]Analysis!$C$366</definedName>
    <definedName name="SWOH">[3]Analysis!$C$640</definedName>
    <definedName name="SWProjectFinancing">[3]Analysis!$B$130</definedName>
    <definedName name="SWSC">[3]Analysis!$C$444</definedName>
    <definedName name="SWWS">[3]Analysis!$C$674</definedName>
    <definedName name="TBD">[3]ValidationOptions!$B$282</definedName>
    <definedName name="TerminalInputMethod">[3]ValidationOptions!$B$303:$B$305</definedName>
    <definedName name="Territories">[3]ValidationOptions!$B$178:$B$183</definedName>
    <definedName name="TPAYNE" localSheetId="1" hidden="1">[4]capcost!#REF!</definedName>
    <definedName name="TPAYNE" hidden="1">[4]capcost!#REF!</definedName>
    <definedName name="Treatment_of_ADIT_and_ADITC">[3]ValidationOptions!$C$196:$C$201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3cases." localSheetId="1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Accretion." localSheetId="1" hidden="1">{"Accretion",#N/A,FALSE,"Assum"}</definedName>
    <definedName name="wrn.Accretion." hidden="1">{"Accretion",#N/A,FALSE,"Assum"}</definedName>
    <definedName name="wrn.Analysis." localSheetId="1" hidden="1">{"Analysis",#N/A,FALSE,"Analysis";"Details",#N/A,FALSE,"Analysis"}</definedName>
    <definedName name="wrn.Analysis." hidden="1">{"Analysis",#N/A,FALSE,"Analysis";"Details",#N/A,FALSE,"Analysis"}</definedName>
    <definedName name="wrn.Assumptions." localSheetId="1" hidden="1">{"Assumptions",#N/A,FALSE,"Assum"}</definedName>
    <definedName name="wrn.Assumptions." hidden="1">{"Assumptions",#N/A,FALSE,"Assum"}</definedName>
    <definedName name="wrn.CAG." localSheetId="1" hidden="1">{#N/A,#N/A,FALSE,"CAG"}</definedName>
    <definedName name="wrn.CAG." hidden="1">{#N/A,#N/A,FALSE,"CAG"}</definedName>
    <definedName name="wrn.capandinputs." localSheetId="1" hidden="1">{"capital",#N/A,FALSE,"Analysis";"input data",#N/A,FALSE,"Analysis"}</definedName>
    <definedName name="wrn.capandinputs." hidden="1">{"capital",#N/A,FALSE,"Analysis";"input data",#N/A,FALSE,"Analysis"}</definedName>
    <definedName name="wrn.CPB." localSheetId="1" hidden="1">{#N/A,#N/A,FALSE,"CPB"}</definedName>
    <definedName name="wrn.CPB." hidden="1">{#N/A,#N/A,FALSE,"CPB"}</definedName>
    <definedName name="wrn.Credit._.Summary." localSheetId="1" hidden="1">{#N/A,#N/A,FALSE,"Credit Summary"}</definedName>
    <definedName name="wrn.Credit._.Summary." hidden="1">{#N/A,#N/A,FALSE,"Credit Summary"}</definedName>
    <definedName name="wrn.FCB." localSheetId="1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hidden="1">{"FCB_ALL",#N/A,FALSE,"FCB"}</definedName>
    <definedName name="wrn.Full." localSheetId="1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Full.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GIS." localSheetId="1" hidden="1">{#N/A,#N/A,FALSE,"GIS"}</definedName>
    <definedName name="wrn.GIS." hidden="1">{#N/A,#N/A,FALSE,"GIS"}</definedName>
    <definedName name="wrn.HNZ." localSheetId="1" hidden="1">{#N/A,#N/A,FALSE,"HNZ"}</definedName>
    <definedName name="wrn.HNZ." hidden="1">{#N/A,#N/A,FALSE,"HNZ"}</definedName>
    <definedName name="wrn.K." localSheetId="1" hidden="1">{#N/A,#N/A,FALSE,"K"}</definedName>
    <definedName name="wrn.K." hidden="1">{#N/A,#N/A,FALSE,"K"}</definedName>
    <definedName name="wrn.LEM." localSheetId="1" hidden="1">{#N/A,#N/A,TRUE,"Summary";#N/A,#N/A,TRUE,"Sales";#N/A,#N/A,TRUE,"Inc. Stmt.";#N/A,#N/A,TRUE,"Cash Flow"}</definedName>
    <definedName name="wrn.LEM." hidden="1">{#N/A,#N/A,TRUE,"Summary";#N/A,#N/A,TRUE,"Sales";#N/A,#N/A,TRUE,"Inc. Stmt.";#N/A,#N/A,TRUE,"Cash Flow"}</definedName>
    <definedName name="wrn.MCCRK." localSheetId="1" hidden="1">{#N/A,#N/A,FALSE,"MCCRK"}</definedName>
    <definedName name="wrn.MCCRK." hidden="1">{#N/A,#N/A,FALSE,"MCCRK"}</definedName>
    <definedName name="wrn.NA." localSheetId="1" hidden="1">{#N/A,#N/A,FALSE,"NA"}</definedName>
    <definedName name="wrn.NA." hidden="1">{#N/A,#N/A,FALSE,"NA"}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hidden="1">{"inputs raw data",#N/A,TRUE,"INPUT"}</definedName>
    <definedName name="wrn.print._.summary._.sheets." localSheetId="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STAND_ALONE_BOTH." localSheetId="1" hidden="1">{"FCB_ALL",#N/A,FALSE,"FCB";"GREY_ALL",#N/A,FALSE,"GREY"}</definedName>
    <definedName name="wrn.STAND_ALONE_BOTH." hidden="1">{"FCB_ALL",#N/A,FALSE,"FCB";"GREY_ALL",#N/A,FALSE,"GREY"}</definedName>
    <definedName name="wrn.Trading._.Summary." localSheetId="1" hidden="1">{#N/A,#N/A,FALSE,"Trading Summary"}</definedName>
    <definedName name="wrn.Trading._.Summary." hidden="1">{#N/A,#N/A,FALSE,"Trading Summary"}</definedName>
    <definedName name="wrn.WWY." localSheetId="1" hidden="1">{#N/A,#N/A,FALSE,"WWY"}</definedName>
    <definedName name="wrn.WWY." hidden="1">{#N/A,#N/A,FALSE,"WWY"}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" hidden="1">'[1]LCOE Calculation (fixed)'!$P$93:$W$101</definedName>
    <definedName name="y" hidden="1">[2]Assum!$B$14:$B$22</definedName>
    <definedName name="Yes">[3]ValidationOptions!$B$228</definedName>
    <definedName name="Yes_No">[3]ValidationOptions!$B$228:$B$229</definedName>
    <definedName name="z" hidden="1">[2]Assum!$C$14:$C$22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3" l="1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E24" i="2"/>
  <c r="F24" i="2"/>
  <c r="G24" i="2"/>
  <c r="D105" i="2"/>
  <c r="E23" i="2"/>
  <c r="E4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B82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99" i="2"/>
  <c r="I91" i="2"/>
  <c r="D83" i="2"/>
  <c r="H84" i="2"/>
  <c r="E84" i="2"/>
  <c r="E91" i="2"/>
  <c r="D84" i="2"/>
  <c r="D91" i="2"/>
  <c r="D92" i="2"/>
  <c r="G83" i="2"/>
  <c r="D90" i="2"/>
  <c r="D73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E71" i="2"/>
  <c r="AI67" i="2"/>
  <c r="F66" i="2"/>
  <c r="I65" i="2"/>
  <c r="H65" i="2"/>
  <c r="G65" i="2"/>
  <c r="F65" i="2"/>
  <c r="E65" i="2"/>
  <c r="D65" i="2"/>
  <c r="AA64" i="2"/>
  <c r="Y64" i="2"/>
  <c r="W64" i="2"/>
  <c r="U64" i="2"/>
  <c r="S64" i="2"/>
  <c r="Q64" i="2"/>
  <c r="O64" i="2"/>
  <c r="M64" i="2"/>
  <c r="K64" i="2"/>
  <c r="I64" i="2"/>
  <c r="F64" i="2"/>
  <c r="E64" i="2"/>
  <c r="D64" i="2"/>
  <c r="AJ63" i="2"/>
  <c r="AH63" i="2"/>
  <c r="AF63" i="2"/>
  <c r="AD63" i="2"/>
  <c r="AB63" i="2"/>
  <c r="Z63" i="2"/>
  <c r="X63" i="2"/>
  <c r="V63" i="2"/>
  <c r="T63" i="2"/>
  <c r="R63" i="2"/>
  <c r="P63" i="2"/>
  <c r="N63" i="2"/>
  <c r="L63" i="2"/>
  <c r="J63" i="2"/>
  <c r="H63" i="2"/>
  <c r="F63" i="2"/>
  <c r="E63" i="2"/>
  <c r="D63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F60" i="2"/>
  <c r="AB59" i="2"/>
  <c r="Y59" i="2"/>
  <c r="V59" i="2"/>
  <c r="S59" i="2"/>
  <c r="P59" i="2"/>
  <c r="M59" i="2"/>
  <c r="J59" i="2"/>
  <c r="G59" i="2"/>
  <c r="D59" i="2"/>
  <c r="AJ58" i="2"/>
  <c r="AJ67" i="2"/>
  <c r="AI58" i="2"/>
  <c r="AH58" i="2"/>
  <c r="AH67" i="2"/>
  <c r="AG58" i="2"/>
  <c r="AG67" i="2"/>
  <c r="AF58" i="2"/>
  <c r="AF67" i="2"/>
  <c r="AE58" i="2"/>
  <c r="AE67" i="2"/>
  <c r="AD58" i="2"/>
  <c r="AD67" i="2"/>
  <c r="AC58" i="2"/>
  <c r="AC67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D58" i="2"/>
  <c r="E49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E40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F39" i="2"/>
  <c r="E39" i="2"/>
  <c r="D39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F38" i="2"/>
  <c r="E38" i="2"/>
  <c r="E37" i="2"/>
  <c r="E41" i="2"/>
  <c r="D37" i="2"/>
  <c r="D41" i="2"/>
  <c r="H26" i="2"/>
  <c r="B23" i="2"/>
  <c r="J21" i="2"/>
  <c r="AN16" i="2"/>
  <c r="I16" i="2"/>
  <c r="I26" i="2"/>
  <c r="A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E15" i="2"/>
  <c r="AN14" i="2"/>
  <c r="AN13" i="2"/>
  <c r="AN12" i="2"/>
  <c r="AN11" i="2"/>
  <c r="AN10" i="2"/>
  <c r="AN9" i="2"/>
  <c r="AN8" i="2"/>
  <c r="AN7" i="2"/>
  <c r="R7" i="2"/>
  <c r="Q7" i="2"/>
  <c r="P7" i="2"/>
  <c r="AN6" i="2"/>
  <c r="R6" i="2"/>
  <c r="Q6" i="2"/>
  <c r="P6" i="2"/>
  <c r="E6" i="2"/>
  <c r="D56" i="2"/>
  <c r="AN5" i="2"/>
  <c r="R5" i="2"/>
  <c r="Q5" i="2"/>
  <c r="P5" i="2"/>
  <c r="E5" i="2"/>
  <c r="D93" i="2"/>
  <c r="D85" i="2"/>
  <c r="D86" i="2"/>
  <c r="E90" i="2"/>
  <c r="F90" i="2"/>
  <c r="I33" i="2"/>
  <c r="I34" i="2"/>
  <c r="V61" i="2"/>
  <c r="Y57" i="2"/>
  <c r="Q57" i="2"/>
  <c r="Q67" i="2"/>
  <c r="I57" i="2"/>
  <c r="I67" i="2"/>
  <c r="S61" i="2"/>
  <c r="X57" i="2"/>
  <c r="X67" i="2"/>
  <c r="P57" i="2"/>
  <c r="P67" i="2"/>
  <c r="H57" i="2"/>
  <c r="H67" i="2"/>
  <c r="P61" i="2"/>
  <c r="W57" i="2"/>
  <c r="W67" i="2"/>
  <c r="O57" i="2"/>
  <c r="O67" i="2"/>
  <c r="G57" i="2"/>
  <c r="M61" i="2"/>
  <c r="V57" i="2"/>
  <c r="V67" i="2"/>
  <c r="N57" i="2"/>
  <c r="N67" i="2"/>
  <c r="F57" i="2"/>
  <c r="J61" i="2"/>
  <c r="U57" i="2"/>
  <c r="U67" i="2"/>
  <c r="M57" i="2"/>
  <c r="E57" i="2"/>
  <c r="E67" i="2"/>
  <c r="G61" i="2"/>
  <c r="AB57" i="2"/>
  <c r="AB67" i="2"/>
  <c r="T57" i="2"/>
  <c r="T67" i="2"/>
  <c r="L57" i="2"/>
  <c r="L67" i="2"/>
  <c r="D57" i="2"/>
  <c r="AB61" i="2"/>
  <c r="D61" i="2"/>
  <c r="D67" i="2"/>
  <c r="AA57" i="2"/>
  <c r="AA67" i="2"/>
  <c r="S57" i="2"/>
  <c r="S67" i="2"/>
  <c r="K57" i="2"/>
  <c r="K67" i="2"/>
  <c r="E60" i="2"/>
  <c r="D60" i="2"/>
  <c r="F58" i="2"/>
  <c r="E58" i="2"/>
  <c r="H99" i="2"/>
  <c r="H91" i="2"/>
  <c r="J57" i="2"/>
  <c r="J67" i="2"/>
  <c r="K21" i="2"/>
  <c r="R57" i="2"/>
  <c r="R67" i="2"/>
  <c r="Z57" i="2"/>
  <c r="Z67" i="2"/>
  <c r="H34" i="2"/>
  <c r="J16" i="2"/>
  <c r="Y61" i="2"/>
  <c r="E92" i="2"/>
  <c r="E93" i="2"/>
  <c r="D99" i="2"/>
  <c r="F37" i="2"/>
  <c r="E99" i="2"/>
  <c r="I90" i="2"/>
  <c r="E83" i="2"/>
  <c r="E85" i="2"/>
  <c r="F84" i="2"/>
  <c r="D87" i="2"/>
  <c r="D94" i="2"/>
  <c r="D95" i="2"/>
  <c r="D96" i="2"/>
  <c r="D98" i="2"/>
  <c r="F83" i="2"/>
  <c r="G84" i="2"/>
  <c r="G85" i="2"/>
  <c r="H83" i="2"/>
  <c r="H85" i="2"/>
  <c r="E86" i="2"/>
  <c r="E87" i="2"/>
  <c r="E94" i="2"/>
  <c r="E95" i="2"/>
  <c r="D100" i="2"/>
  <c r="D103" i="2"/>
  <c r="I85" i="2"/>
  <c r="E96" i="2"/>
  <c r="E98" i="2"/>
  <c r="E100" i="2"/>
  <c r="E103" i="2"/>
  <c r="G90" i="2"/>
  <c r="F99" i="2"/>
  <c r="F91" i="2"/>
  <c r="G67" i="2"/>
  <c r="G37" i="2"/>
  <c r="F41" i="2"/>
  <c r="M67" i="2"/>
  <c r="L21" i="2"/>
  <c r="Y67" i="2"/>
  <c r="F92" i="2"/>
  <c r="F93" i="2"/>
  <c r="G99" i="2"/>
  <c r="G91" i="2"/>
  <c r="F67" i="2"/>
  <c r="J26" i="2"/>
  <c r="K16" i="2"/>
  <c r="F85" i="2"/>
  <c r="F86" i="2"/>
  <c r="J33" i="2"/>
  <c r="J34" i="2"/>
  <c r="M21" i="2"/>
  <c r="H90" i="2"/>
  <c r="G86" i="2"/>
  <c r="F87" i="2"/>
  <c r="F94" i="2"/>
  <c r="F95" i="2"/>
  <c r="K26" i="2"/>
  <c r="L16" i="2"/>
  <c r="H37" i="2"/>
  <c r="G41" i="2"/>
  <c r="G92" i="2"/>
  <c r="H92" i="2"/>
  <c r="I92" i="2"/>
  <c r="I93" i="2"/>
  <c r="F96" i="2"/>
  <c r="F98" i="2"/>
  <c r="F100" i="2"/>
  <c r="F103" i="2"/>
  <c r="H93" i="2"/>
  <c r="K33" i="2"/>
  <c r="K34" i="2"/>
  <c r="I37" i="2"/>
  <c r="H41" i="2"/>
  <c r="H86" i="2"/>
  <c r="G87" i="2"/>
  <c r="G94" i="2"/>
  <c r="L26" i="2"/>
  <c r="M16" i="2"/>
  <c r="G93" i="2"/>
  <c r="N21" i="2"/>
  <c r="G95" i="2"/>
  <c r="O21" i="2"/>
  <c r="J37" i="2"/>
  <c r="I41" i="2"/>
  <c r="M26" i="2"/>
  <c r="N16" i="2"/>
  <c r="L34" i="2"/>
  <c r="L33" i="2"/>
  <c r="I86" i="2"/>
  <c r="I87" i="2"/>
  <c r="I94" i="2"/>
  <c r="I95" i="2"/>
  <c r="H87" i="2"/>
  <c r="H94" i="2"/>
  <c r="H95" i="2"/>
  <c r="G96" i="2"/>
  <c r="G98" i="2"/>
  <c r="G100" i="2"/>
  <c r="G103" i="2"/>
  <c r="I96" i="2"/>
  <c r="I98" i="2"/>
  <c r="I100" i="2"/>
  <c r="I103" i="2"/>
  <c r="H96" i="2"/>
  <c r="H98" i="2"/>
  <c r="H100" i="2"/>
  <c r="H103" i="2"/>
  <c r="N26" i="2"/>
  <c r="O16" i="2"/>
  <c r="K37" i="2"/>
  <c r="J41" i="2"/>
  <c r="M34" i="2"/>
  <c r="M33" i="2"/>
  <c r="P21" i="2"/>
  <c r="O26" i="2"/>
  <c r="P16" i="2"/>
  <c r="Q21" i="2"/>
  <c r="N33" i="2"/>
  <c r="N34" i="2"/>
  <c r="K41" i="2"/>
  <c r="L37" i="2"/>
  <c r="P26" i="2"/>
  <c r="Q16" i="2"/>
  <c r="R21" i="2"/>
  <c r="O33" i="2"/>
  <c r="O34" i="2"/>
  <c r="L41" i="2"/>
  <c r="M37" i="2"/>
  <c r="S21" i="2"/>
  <c r="P33" i="2"/>
  <c r="P34" i="2"/>
  <c r="Q26" i="2"/>
  <c r="R16" i="2"/>
  <c r="M41" i="2"/>
  <c r="N37" i="2"/>
  <c r="R26" i="2"/>
  <c r="S16" i="2"/>
  <c r="T21" i="2"/>
  <c r="Q33" i="2"/>
  <c r="Q34" i="2"/>
  <c r="O37" i="2"/>
  <c r="N41" i="2"/>
  <c r="U21" i="2"/>
  <c r="S26" i="2"/>
  <c r="T16" i="2"/>
  <c r="P37" i="2"/>
  <c r="O41" i="2"/>
  <c r="R33" i="2"/>
  <c r="R34" i="2"/>
  <c r="S33" i="2"/>
  <c r="S34" i="2"/>
  <c r="Q37" i="2"/>
  <c r="P41" i="2"/>
  <c r="V21" i="2"/>
  <c r="T26" i="2"/>
  <c r="U16" i="2"/>
  <c r="W21" i="2"/>
  <c r="T34" i="2"/>
  <c r="T33" i="2"/>
  <c r="R37" i="2"/>
  <c r="Q41" i="2"/>
  <c r="U26" i="2"/>
  <c r="V16" i="2"/>
  <c r="S37" i="2"/>
  <c r="R41" i="2"/>
  <c r="U34" i="2"/>
  <c r="U33" i="2"/>
  <c r="X21" i="2"/>
  <c r="V26" i="2"/>
  <c r="W16" i="2"/>
  <c r="Y21" i="2"/>
  <c r="W26" i="2"/>
  <c r="X16" i="2"/>
  <c r="V33" i="2"/>
  <c r="V34" i="2"/>
  <c r="S41" i="2"/>
  <c r="T37" i="2"/>
  <c r="X26" i="2"/>
  <c r="Y16" i="2"/>
  <c r="W33" i="2"/>
  <c r="W34" i="2"/>
  <c r="T41" i="2"/>
  <c r="U37" i="2"/>
  <c r="Z21" i="2"/>
  <c r="Y26" i="2"/>
  <c r="Z16" i="2"/>
  <c r="U41" i="2"/>
  <c r="V37" i="2"/>
  <c r="X33" i="2"/>
  <c r="X34" i="2"/>
  <c r="AA21" i="2"/>
  <c r="W37" i="2"/>
  <c r="V41" i="2"/>
  <c r="Z26" i="2"/>
  <c r="AA16" i="2"/>
  <c r="Y33" i="2"/>
  <c r="Y34" i="2"/>
  <c r="AB21" i="2"/>
  <c r="AB16" i="2"/>
  <c r="AA26" i="2"/>
  <c r="Z33" i="2"/>
  <c r="Z34" i="2"/>
  <c r="AC21" i="2"/>
  <c r="X37" i="2"/>
  <c r="W41" i="2"/>
  <c r="AD21" i="2"/>
  <c r="AA33" i="2"/>
  <c r="AA34" i="2"/>
  <c r="AB26" i="2"/>
  <c r="AC16" i="2"/>
  <c r="Y37" i="2"/>
  <c r="X41" i="2"/>
  <c r="AC26" i="2"/>
  <c r="AD16" i="2"/>
  <c r="AE21" i="2"/>
  <c r="AB34" i="2"/>
  <c r="AB33" i="2"/>
  <c r="Z37" i="2"/>
  <c r="Y41" i="2"/>
  <c r="AF21" i="2"/>
  <c r="AD26" i="2"/>
  <c r="AE16" i="2"/>
  <c r="AA37" i="2"/>
  <c r="Z41" i="2"/>
  <c r="AC34" i="2"/>
  <c r="AC33" i="2"/>
  <c r="AE26" i="2"/>
  <c r="AF16" i="2"/>
  <c r="AD33" i="2"/>
  <c r="AD34" i="2"/>
  <c r="AA41" i="2"/>
  <c r="AB37" i="2"/>
  <c r="AG21" i="2"/>
  <c r="AB41" i="2"/>
  <c r="AC37" i="2"/>
  <c r="AH21" i="2"/>
  <c r="AF26" i="2"/>
  <c r="AG16" i="2"/>
  <c r="AE33" i="2"/>
  <c r="AE34" i="2"/>
  <c r="AF33" i="2"/>
  <c r="AF34" i="2"/>
  <c r="AI21" i="2"/>
  <c r="AC41" i="2"/>
  <c r="AD37" i="2"/>
  <c r="AG26" i="2"/>
  <c r="AH16" i="2"/>
  <c r="AH26" i="2"/>
  <c r="AI16" i="2"/>
  <c r="AE37" i="2"/>
  <c r="AD41" i="2"/>
  <c r="AJ21" i="2"/>
  <c r="AG33" i="2"/>
  <c r="AG34" i="2"/>
  <c r="AK21" i="2"/>
  <c r="AF37" i="2"/>
  <c r="AE41" i="2"/>
  <c r="AJ16" i="2"/>
  <c r="AI26" i="2"/>
  <c r="AH33" i="2"/>
  <c r="AH34" i="2"/>
  <c r="AJ26" i="2"/>
  <c r="AK16" i="2"/>
  <c r="AK26" i="2"/>
  <c r="AG37" i="2"/>
  <c r="AF41" i="2"/>
  <c r="AI33" i="2"/>
  <c r="AI34" i="2"/>
  <c r="AH37" i="2"/>
  <c r="AG41" i="2"/>
  <c r="AK34" i="2"/>
  <c r="AK33" i="2"/>
  <c r="AJ34" i="2"/>
  <c r="AJ33" i="2"/>
  <c r="AI37" i="2"/>
  <c r="AH41" i="2"/>
  <c r="AI41" i="2"/>
  <c r="AJ37" i="2"/>
  <c r="AJ41" i="2"/>
  <c r="F16" i="2"/>
  <c r="F21" i="2"/>
  <c r="F22" i="2"/>
  <c r="E16" i="2"/>
  <c r="E21" i="2"/>
  <c r="K5" i="2"/>
  <c r="H6" i="2"/>
  <c r="E72" i="2"/>
  <c r="K4" i="2"/>
  <c r="G16" i="2"/>
  <c r="G21" i="2"/>
  <c r="G22" i="2"/>
  <c r="E22" i="2"/>
  <c r="E17" i="2"/>
  <c r="E26" i="2"/>
  <c r="D74" i="2"/>
  <c r="E73" i="2"/>
  <c r="E74" i="2"/>
  <c r="E79" i="2"/>
  <c r="E104" i="2"/>
  <c r="E105" i="2"/>
  <c r="F72" i="2"/>
  <c r="F23" i="2"/>
  <c r="F26" i="2"/>
  <c r="K6" i="2"/>
  <c r="G23" i="2"/>
  <c r="G26" i="2"/>
  <c r="H23" i="2"/>
  <c r="H24" i="2"/>
  <c r="G33" i="2"/>
  <c r="H33" i="2"/>
  <c r="D79" i="2"/>
  <c r="D104" i="2"/>
  <c r="F73" i="2"/>
  <c r="F74" i="2"/>
  <c r="F79" i="2"/>
  <c r="F104" i="2"/>
  <c r="F105" i="2"/>
  <c r="G72" i="2"/>
  <c r="E18" i="2"/>
  <c r="E27" i="2"/>
  <c r="B4" i="2"/>
  <c r="I23" i="2"/>
  <c r="I24" i="2"/>
  <c r="E28" i="2"/>
  <c r="E29" i="2"/>
  <c r="F17" i="2"/>
  <c r="H72" i="2"/>
  <c r="G73" i="2"/>
  <c r="G74" i="2"/>
  <c r="G79" i="2"/>
  <c r="G104" i="2"/>
  <c r="G105" i="2"/>
  <c r="E19" i="2"/>
  <c r="J23" i="2"/>
  <c r="J24" i="2"/>
  <c r="F27" i="2"/>
  <c r="F18" i="2"/>
  <c r="F19" i="2"/>
  <c r="E20" i="2"/>
  <c r="H73" i="2"/>
  <c r="H74" i="2"/>
  <c r="H79" i="2"/>
  <c r="H104" i="2"/>
  <c r="H105" i="2"/>
  <c r="I72" i="2"/>
  <c r="K23" i="2"/>
  <c r="K24" i="2"/>
  <c r="F20" i="2"/>
  <c r="F28" i="2"/>
  <c r="F29" i="2"/>
  <c r="G17" i="2"/>
  <c r="G27" i="2"/>
  <c r="I73" i="2"/>
  <c r="I74" i="2"/>
  <c r="J72" i="2"/>
  <c r="I79" i="2"/>
  <c r="I104" i="2"/>
  <c r="I105" i="2"/>
  <c r="G18" i="2"/>
  <c r="G19" i="2"/>
  <c r="G20" i="2"/>
  <c r="L23" i="2"/>
  <c r="L24" i="2"/>
  <c r="J73" i="2"/>
  <c r="J74" i="2"/>
  <c r="J79" i="2"/>
  <c r="J104" i="2"/>
  <c r="J105" i="2"/>
  <c r="K72" i="2"/>
  <c r="G28" i="2"/>
  <c r="G29" i="2"/>
  <c r="H17" i="2"/>
  <c r="H27" i="2"/>
  <c r="K73" i="2"/>
  <c r="K74" i="2"/>
  <c r="K79" i="2"/>
  <c r="K104" i="2"/>
  <c r="K105" i="2"/>
  <c r="L72" i="2"/>
  <c r="M23" i="2"/>
  <c r="M24" i="2"/>
  <c r="H18" i="2"/>
  <c r="H19" i="2"/>
  <c r="H20" i="2"/>
  <c r="L73" i="2"/>
  <c r="L74" i="2"/>
  <c r="L79" i="2"/>
  <c r="L104" i="2"/>
  <c r="L105" i="2"/>
  <c r="M72" i="2"/>
  <c r="H28" i="2"/>
  <c r="H29" i="2"/>
  <c r="I17" i="2"/>
  <c r="I27" i="2"/>
  <c r="N23" i="2"/>
  <c r="N24" i="2"/>
  <c r="O23" i="2"/>
  <c r="O24" i="2"/>
  <c r="M73" i="2"/>
  <c r="M74" i="2"/>
  <c r="M79" i="2"/>
  <c r="M104" i="2"/>
  <c r="M105" i="2"/>
  <c r="N72" i="2"/>
  <c r="I18" i="2"/>
  <c r="P23" i="2"/>
  <c r="P24" i="2"/>
  <c r="J17" i="2"/>
  <c r="J27" i="2"/>
  <c r="I28" i="2"/>
  <c r="I29" i="2"/>
  <c r="I19" i="2"/>
  <c r="N73" i="2"/>
  <c r="N74" i="2"/>
  <c r="N79" i="2"/>
  <c r="N104" i="2"/>
  <c r="N105" i="2"/>
  <c r="O72" i="2"/>
  <c r="Q23" i="2"/>
  <c r="Q24" i="2"/>
  <c r="P72" i="2"/>
  <c r="O73" i="2"/>
  <c r="O74" i="2"/>
  <c r="O79" i="2"/>
  <c r="O104" i="2"/>
  <c r="O105" i="2"/>
  <c r="J18" i="2"/>
  <c r="J19" i="2"/>
  <c r="I20" i="2"/>
  <c r="J20" i="2"/>
  <c r="R23" i="2"/>
  <c r="R24" i="2"/>
  <c r="J28" i="2"/>
  <c r="J29" i="2"/>
  <c r="K17" i="2"/>
  <c r="K27" i="2"/>
  <c r="P73" i="2"/>
  <c r="P74" i="2"/>
  <c r="P79" i="2"/>
  <c r="P104" i="2"/>
  <c r="P105" i="2"/>
  <c r="Q72" i="2"/>
  <c r="S23" i="2"/>
  <c r="S24" i="2"/>
  <c r="Q73" i="2"/>
  <c r="Q74" i="2"/>
  <c r="Q79" i="2"/>
  <c r="Q104" i="2"/>
  <c r="Q105" i="2"/>
  <c r="R72" i="2"/>
  <c r="K18" i="2"/>
  <c r="K19" i="2"/>
  <c r="T23" i="2"/>
  <c r="T24" i="2"/>
  <c r="K20" i="2"/>
  <c r="K28" i="2"/>
  <c r="K29" i="2"/>
  <c r="L17" i="2"/>
  <c r="L27" i="2"/>
  <c r="R73" i="2"/>
  <c r="R74" i="2"/>
  <c r="R79" i="2"/>
  <c r="R104" i="2"/>
  <c r="R105" i="2"/>
  <c r="S72" i="2"/>
  <c r="U23" i="2"/>
  <c r="U24" i="2"/>
  <c r="L18" i="2"/>
  <c r="S73" i="2"/>
  <c r="S74" i="2"/>
  <c r="S79" i="2"/>
  <c r="S104" i="2"/>
  <c r="S105" i="2"/>
  <c r="T72" i="2"/>
  <c r="T73" i="2"/>
  <c r="T74" i="2"/>
  <c r="T79" i="2"/>
  <c r="T104" i="2"/>
  <c r="T105" i="2"/>
  <c r="U72" i="2"/>
  <c r="L28" i="2"/>
  <c r="L29" i="2"/>
  <c r="M17" i="2"/>
  <c r="M27" i="2"/>
  <c r="L19" i="2"/>
  <c r="V23" i="2"/>
  <c r="V24" i="2"/>
  <c r="W23" i="2"/>
  <c r="W24" i="2"/>
  <c r="M18" i="2"/>
  <c r="L20" i="2"/>
  <c r="U73" i="2"/>
  <c r="U74" i="2"/>
  <c r="U79" i="2"/>
  <c r="U104" i="2"/>
  <c r="U105" i="2"/>
  <c r="V72" i="2"/>
  <c r="X23" i="2"/>
  <c r="X24" i="2"/>
  <c r="V73" i="2"/>
  <c r="V74" i="2"/>
  <c r="V79" i="2"/>
  <c r="V104" i="2"/>
  <c r="V105" i="2"/>
  <c r="W72" i="2"/>
  <c r="M28" i="2"/>
  <c r="M29" i="2"/>
  <c r="N17" i="2"/>
  <c r="N27" i="2"/>
  <c r="M19" i="2"/>
  <c r="Y23" i="2"/>
  <c r="Y24" i="2"/>
  <c r="N18" i="2"/>
  <c r="M20" i="2"/>
  <c r="X72" i="2"/>
  <c r="W73" i="2"/>
  <c r="W74" i="2"/>
  <c r="W79" i="2"/>
  <c r="W104" i="2"/>
  <c r="W105" i="2"/>
  <c r="Z23" i="2"/>
  <c r="Z24" i="2"/>
  <c r="X73" i="2"/>
  <c r="X74" i="2"/>
  <c r="X79" i="2"/>
  <c r="X104" i="2"/>
  <c r="X105" i="2"/>
  <c r="Y72" i="2"/>
  <c r="N28" i="2"/>
  <c r="N29" i="2"/>
  <c r="O17" i="2"/>
  <c r="O27" i="2"/>
  <c r="N19" i="2"/>
  <c r="AA23" i="2"/>
  <c r="AA24" i="2"/>
  <c r="O18" i="2"/>
  <c r="N20" i="2"/>
  <c r="Y73" i="2"/>
  <c r="Y74" i="2"/>
  <c r="Y79" i="2"/>
  <c r="Y104" i="2"/>
  <c r="Y105" i="2"/>
  <c r="Z72" i="2"/>
  <c r="AB23" i="2"/>
  <c r="AB24" i="2"/>
  <c r="Z73" i="2"/>
  <c r="Z74" i="2"/>
  <c r="Z79" i="2"/>
  <c r="Z104" i="2"/>
  <c r="Z105" i="2"/>
  <c r="AA72" i="2"/>
  <c r="O28" i="2"/>
  <c r="O29" i="2"/>
  <c r="P17" i="2"/>
  <c r="P27" i="2"/>
  <c r="O19" i="2"/>
  <c r="P18" i="2"/>
  <c r="P19" i="2"/>
  <c r="O20" i="2"/>
  <c r="AA73" i="2"/>
  <c r="AA74" i="2"/>
  <c r="AA79" i="2"/>
  <c r="AA104" i="2"/>
  <c r="AA105" i="2"/>
  <c r="AB72" i="2"/>
  <c r="AC23" i="2"/>
  <c r="AC24" i="2"/>
  <c r="AD23" i="2"/>
  <c r="AD24" i="2"/>
  <c r="P20" i="2"/>
  <c r="AB73" i="2"/>
  <c r="AB74" i="2"/>
  <c r="AB79" i="2"/>
  <c r="AB104" i="2"/>
  <c r="AB105" i="2"/>
  <c r="AC72" i="2"/>
  <c r="P28" i="2"/>
  <c r="P29" i="2"/>
  <c r="Q17" i="2"/>
  <c r="Q27" i="2"/>
  <c r="Q18" i="2"/>
  <c r="Q19" i="2"/>
  <c r="AE23" i="2"/>
  <c r="AE24" i="2"/>
  <c r="AC73" i="2"/>
  <c r="AC74" i="2"/>
  <c r="AC79" i="2"/>
  <c r="AC104" i="2"/>
  <c r="AC105" i="2"/>
  <c r="AD72" i="2"/>
  <c r="Q20" i="2"/>
  <c r="Q28" i="2"/>
  <c r="Q29" i="2"/>
  <c r="R17" i="2"/>
  <c r="R27" i="2"/>
  <c r="AF23" i="2"/>
  <c r="AF24" i="2"/>
  <c r="AD73" i="2"/>
  <c r="AD74" i="2"/>
  <c r="AD79" i="2"/>
  <c r="AD104" i="2"/>
  <c r="AD105" i="2"/>
  <c r="AE72" i="2"/>
  <c r="R18" i="2"/>
  <c r="AG23" i="2"/>
  <c r="AG24" i="2"/>
  <c r="AF72" i="2"/>
  <c r="AE73" i="2"/>
  <c r="AE74" i="2"/>
  <c r="AE79" i="2"/>
  <c r="AE104" i="2"/>
  <c r="AE105" i="2"/>
  <c r="R28" i="2"/>
  <c r="R29" i="2"/>
  <c r="S17" i="2"/>
  <c r="S27" i="2"/>
  <c r="R19" i="2"/>
  <c r="AH23" i="2"/>
  <c r="AH24" i="2"/>
  <c r="AF73" i="2"/>
  <c r="AF74" i="2"/>
  <c r="AF79" i="2"/>
  <c r="AF104" i="2"/>
  <c r="AF105" i="2"/>
  <c r="AG72" i="2"/>
  <c r="S18" i="2"/>
  <c r="R20" i="2"/>
  <c r="AI23" i="2"/>
  <c r="AI24" i="2"/>
  <c r="AG73" i="2"/>
  <c r="AG74" i="2"/>
  <c r="AG79" i="2"/>
  <c r="AG104" i="2"/>
  <c r="AG105" i="2"/>
  <c r="AH72" i="2"/>
  <c r="S19" i="2"/>
  <c r="T17" i="2"/>
  <c r="T27" i="2"/>
  <c r="S28" i="2"/>
  <c r="S29" i="2"/>
  <c r="AJ23" i="2"/>
  <c r="AJ24" i="2"/>
  <c r="AH73" i="2"/>
  <c r="AH74" i="2"/>
  <c r="AI72" i="2"/>
  <c r="T18" i="2"/>
  <c r="S20" i="2"/>
  <c r="AH79" i="2"/>
  <c r="AH104" i="2"/>
  <c r="AH105" i="2"/>
  <c r="AI73" i="2"/>
  <c r="AI74" i="2"/>
  <c r="AI79" i="2"/>
  <c r="AI104" i="2"/>
  <c r="AI105" i="2"/>
  <c r="AJ72" i="2"/>
  <c r="AK23" i="2"/>
  <c r="AK24" i="2"/>
  <c r="T19" i="2"/>
  <c r="T28" i="2"/>
  <c r="T29" i="2"/>
  <c r="U17" i="2"/>
  <c r="U27" i="2"/>
  <c r="AJ73" i="2"/>
  <c r="AJ74" i="2"/>
  <c r="AJ79" i="2"/>
  <c r="AJ104" i="2"/>
  <c r="AJ105" i="2"/>
  <c r="AK72" i="2"/>
  <c r="U18" i="2"/>
  <c r="T20" i="2"/>
  <c r="AK73" i="2"/>
  <c r="AK40" i="2"/>
  <c r="AK58" i="2"/>
  <c r="AK67" i="2"/>
  <c r="B6" i="2"/>
  <c r="AK39" i="2"/>
  <c r="AK38" i="2"/>
  <c r="AK37" i="2"/>
  <c r="AK74" i="2"/>
  <c r="B7" i="2"/>
  <c r="AK41" i="2"/>
  <c r="U28" i="2"/>
  <c r="U29" i="2"/>
  <c r="U19" i="2"/>
  <c r="V17" i="2"/>
  <c r="V27" i="2"/>
  <c r="AK79" i="2"/>
  <c r="B5" i="2"/>
  <c r="B8" i="2"/>
  <c r="V18" i="2"/>
  <c r="U20" i="2"/>
  <c r="W17" i="2"/>
  <c r="W27" i="2"/>
  <c r="V28" i="2"/>
  <c r="V29" i="2"/>
  <c r="V19" i="2"/>
  <c r="V20" i="2"/>
  <c r="W18" i="2"/>
  <c r="W28" i="2"/>
  <c r="W29" i="2"/>
  <c r="X17" i="2"/>
  <c r="X27" i="2"/>
  <c r="W19" i="2"/>
  <c r="X18" i="2"/>
  <c r="X19" i="2"/>
  <c r="X20" i="2"/>
  <c r="W20" i="2"/>
  <c r="X28" i="2"/>
  <c r="X29" i="2"/>
  <c r="Y17" i="2"/>
  <c r="Y27" i="2"/>
  <c r="Y18" i="2"/>
  <c r="Y19" i="2"/>
  <c r="Z17" i="2"/>
  <c r="Z27" i="2"/>
  <c r="Y28" i="2"/>
  <c r="Y29" i="2"/>
  <c r="Y20" i="2"/>
  <c r="Z18" i="2"/>
  <c r="Z28" i="2"/>
  <c r="Z29" i="2"/>
  <c r="AA17" i="2"/>
  <c r="AA27" i="2"/>
  <c r="Z19" i="2"/>
  <c r="AA18" i="2"/>
  <c r="Z20" i="2"/>
  <c r="AA28" i="2"/>
  <c r="AA29" i="2"/>
  <c r="AA19" i="2"/>
  <c r="AB17" i="2"/>
  <c r="AB27" i="2"/>
  <c r="AA20" i="2"/>
  <c r="AB18" i="2"/>
  <c r="AC17" i="2"/>
  <c r="AC27" i="2"/>
  <c r="AB28" i="2"/>
  <c r="AB29" i="2"/>
  <c r="AB19" i="2"/>
  <c r="AB20" i="2"/>
  <c r="AC18" i="2"/>
  <c r="AC28" i="2"/>
  <c r="AC29" i="2"/>
  <c r="AD17" i="2"/>
  <c r="AD27" i="2"/>
  <c r="AC19" i="2"/>
  <c r="AD18" i="2"/>
  <c r="AC20" i="2"/>
  <c r="AD28" i="2"/>
  <c r="AD29" i="2"/>
  <c r="AE17" i="2"/>
  <c r="AE27" i="2"/>
  <c r="AD19" i="2"/>
  <c r="AD20" i="2"/>
  <c r="AE18" i="2"/>
  <c r="AE28" i="2"/>
  <c r="AE29" i="2"/>
  <c r="AF17" i="2"/>
  <c r="AF27" i="2"/>
  <c r="AE19" i="2"/>
  <c r="AF18" i="2"/>
  <c r="AE20" i="2"/>
  <c r="AF19" i="2"/>
  <c r="AF20" i="2"/>
  <c r="AG17" i="2"/>
  <c r="AF28" i="2"/>
  <c r="AF29" i="2"/>
  <c r="AG27" i="2"/>
  <c r="AG18" i="2"/>
  <c r="AG19" i="2"/>
  <c r="AG28" i="2"/>
  <c r="AG29" i="2"/>
  <c r="AH17" i="2"/>
  <c r="AH27" i="2"/>
  <c r="AG20" i="2"/>
  <c r="AH18" i="2"/>
  <c r="AH28" i="2"/>
  <c r="AH29" i="2"/>
  <c r="AH19" i="2"/>
  <c r="AI17" i="2"/>
  <c r="AI27" i="2"/>
  <c r="AI18" i="2"/>
  <c r="AH20" i="2"/>
  <c r="AJ17" i="2"/>
  <c r="AJ27" i="2"/>
  <c r="AI28" i="2"/>
  <c r="AI29" i="2"/>
  <c r="AI19" i="2"/>
  <c r="AI20" i="2"/>
  <c r="AJ18" i="2"/>
  <c r="AK17" i="2"/>
  <c r="AK27" i="2"/>
  <c r="AJ28" i="2"/>
  <c r="AJ29" i="2"/>
  <c r="AJ19" i="2"/>
  <c r="AK18" i="2"/>
  <c r="AJ20" i="2"/>
  <c r="AK28" i="2"/>
  <c r="AK29" i="2"/>
  <c r="AK19" i="2"/>
  <c r="AK20" i="2"/>
  <c r="C36" i="3" l="1"/>
</calcChain>
</file>

<file path=xl/sharedStrings.xml><?xml version="1.0" encoding="utf-8"?>
<sst xmlns="http://schemas.openxmlformats.org/spreadsheetml/2006/main" count="347" uniqueCount="146">
  <si>
    <t>Clean Energy Connection Program Admin Summary</t>
  </si>
  <si>
    <t>COD Month</t>
  </si>
  <si>
    <t># of Accounts Table</t>
  </si>
  <si>
    <t># of Accounts Table Multipliers</t>
  </si>
  <si>
    <t>COD Table (Multipliers)</t>
  </si>
  <si>
    <t>IT</t>
  </si>
  <si>
    <t>SMB Accounts</t>
  </si>
  <si>
    <t>2022 MW</t>
  </si>
  <si>
    <t>January</t>
  </si>
  <si>
    <t>2022 New Sites</t>
  </si>
  <si>
    <t>Prog. Size</t>
  </si>
  <si>
    <t>SMB</t>
  </si>
  <si>
    <t>RES</t>
  </si>
  <si>
    <t>LMI</t>
  </si>
  <si>
    <t>Month</t>
  </si>
  <si>
    <t>Mutiplier</t>
  </si>
  <si>
    <t>Labor</t>
  </si>
  <si>
    <t>RES Accounts</t>
  </si>
  <si>
    <t>2023 MW</t>
  </si>
  <si>
    <t>2023 New Sites</t>
  </si>
  <si>
    <t>Marketing</t>
  </si>
  <si>
    <t>LMI Accounts</t>
  </si>
  <si>
    <t>2024 MW</t>
  </si>
  <si>
    <t>2024 New Sites</t>
  </si>
  <si>
    <t>February</t>
  </si>
  <si>
    <t xml:space="preserve"> RECs</t>
  </si>
  <si>
    <t>Avg MWh/MW</t>
  </si>
  <si>
    <t>March</t>
  </si>
  <si>
    <t>Program Size:</t>
  </si>
  <si>
    <t>April</t>
  </si>
  <si>
    <t>May</t>
  </si>
  <si>
    <t>Program Assumptions</t>
  </si>
  <si>
    <t>June</t>
  </si>
  <si>
    <t xml:space="preserve">1 MW = </t>
  </si>
  <si>
    <t>kW</t>
  </si>
  <si>
    <t>1 block =</t>
  </si>
  <si>
    <t xml:space="preserve">Avg RES/SMB  </t>
  </si>
  <si>
    <t>KW</t>
  </si>
  <si>
    <t>July</t>
  </si>
  <si>
    <t>Avg LMI</t>
  </si>
  <si>
    <t>August</t>
  </si>
  <si>
    <t>September</t>
  </si>
  <si>
    <t>Yr 0</t>
  </si>
  <si>
    <t>Yr 1</t>
  </si>
  <si>
    <t>Yr 2</t>
  </si>
  <si>
    <t>Yr 3</t>
  </si>
  <si>
    <t>Yr 4</t>
  </si>
  <si>
    <t>Yr 5</t>
  </si>
  <si>
    <t>Yr 6</t>
  </si>
  <si>
    <t>Yr 7</t>
  </si>
  <si>
    <t>Yr 8</t>
  </si>
  <si>
    <t>Yr 9</t>
  </si>
  <si>
    <t>Yr 10</t>
  </si>
  <si>
    <t>Yr 11</t>
  </si>
  <si>
    <t>Yr 12</t>
  </si>
  <si>
    <t>Yr 13</t>
  </si>
  <si>
    <t>Yr 14</t>
  </si>
  <si>
    <t>Yr 15</t>
  </si>
  <si>
    <t>Yr 16</t>
  </si>
  <si>
    <t>Yr 17</t>
  </si>
  <si>
    <t>Yr 18</t>
  </si>
  <si>
    <t>Yr 19</t>
  </si>
  <si>
    <t>Yr 20</t>
  </si>
  <si>
    <t>Yr 21</t>
  </si>
  <si>
    <t>Yr 22</t>
  </si>
  <si>
    <t>Yr 23</t>
  </si>
  <si>
    <t>Yr 24</t>
  </si>
  <si>
    <t>Yr 25</t>
  </si>
  <si>
    <t>Yr 26</t>
  </si>
  <si>
    <t>Yr 27</t>
  </si>
  <si>
    <t>Yr 28</t>
  </si>
  <si>
    <t>Yr 29</t>
  </si>
  <si>
    <t>Yr 30</t>
  </si>
  <si>
    <t>Yr 31</t>
  </si>
  <si>
    <t>Yr 32</t>
  </si>
  <si>
    <t>Yr 33</t>
  </si>
  <si>
    <t>October</t>
  </si>
  <si>
    <t>November</t>
  </si>
  <si>
    <t>RES/SMB</t>
  </si>
  <si>
    <t>MW</t>
  </si>
  <si>
    <t>December</t>
  </si>
  <si>
    <t>New Subscribers</t>
  </si>
  <si>
    <t>Attrition</t>
  </si>
  <si>
    <t>Net Participation</t>
  </si>
  <si>
    <t>Average Participation</t>
  </si>
  <si>
    <t>Combined</t>
  </si>
  <si>
    <t>Net Cumulative Participation</t>
  </si>
  <si>
    <t>Fixed Costs</t>
  </si>
  <si>
    <t>Customer Connect</t>
  </si>
  <si>
    <t>Software</t>
  </si>
  <si>
    <t>Labor Assumptions</t>
  </si>
  <si>
    <t>Labor Costs</t>
  </si>
  <si>
    <t>Program Manager</t>
  </si>
  <si>
    <t>Program Specialist</t>
  </si>
  <si>
    <t>Corp Com &amp; Marketing</t>
  </si>
  <si>
    <t>Business Analyst</t>
  </si>
  <si>
    <t>Annual Labor Cost</t>
  </si>
  <si>
    <t>Variable Costs</t>
  </si>
  <si>
    <t>$/Piece</t>
  </si>
  <si>
    <t>$/Design</t>
  </si>
  <si>
    <t>Integration</t>
  </si>
  <si>
    <t>SSO</t>
  </si>
  <si>
    <t>LMI Mailers</t>
  </si>
  <si>
    <t>Emails</t>
  </si>
  <si>
    <t>Website</t>
  </si>
  <si>
    <t>Video</t>
  </si>
  <si>
    <t>Mobile App</t>
  </si>
  <si>
    <t>Bill Inserts</t>
  </si>
  <si>
    <t>e-Newsletter</t>
  </si>
  <si>
    <t>LMI In App Advertising</t>
  </si>
  <si>
    <t>/ 3 months</t>
  </si>
  <si>
    <t>Social Media</t>
  </si>
  <si>
    <t>/ month</t>
  </si>
  <si>
    <t>Printed Collateral</t>
  </si>
  <si>
    <t>Marketing Costs</t>
  </si>
  <si>
    <t>Digital Ads/ Social</t>
  </si>
  <si>
    <t>LMI Events</t>
  </si>
  <si>
    <t>Marketing Cost/ New Customer</t>
  </si>
  <si>
    <t>RECs</t>
  </si>
  <si>
    <t>Program MW</t>
  </si>
  <si>
    <t>MWh Generation</t>
  </si>
  <si>
    <t>NAR Fee</t>
  </si>
  <si>
    <t>Total Admin Expense (incl. RECs)</t>
  </si>
  <si>
    <t>Inputs</t>
  </si>
  <si>
    <t>(000s)</t>
  </si>
  <si>
    <t>Investment (000s)</t>
  </si>
  <si>
    <t>Composite Tax Rate</t>
  </si>
  <si>
    <t>Tax Depreciation</t>
  </si>
  <si>
    <t>Pre-Tax WACC</t>
  </si>
  <si>
    <t>Book Depreciation</t>
  </si>
  <si>
    <t>Tax - Book</t>
  </si>
  <si>
    <t>MACRS - 5 Year</t>
  </si>
  <si>
    <t>Cumulative Tax-Book</t>
  </si>
  <si>
    <t>ADIT</t>
  </si>
  <si>
    <t>Gross Plant</t>
  </si>
  <si>
    <t>Acc Depreciation</t>
  </si>
  <si>
    <t>Net Plant (Rate Base)</t>
  </si>
  <si>
    <t>Rate Base</t>
  </si>
  <si>
    <t>Return on Rate Base</t>
  </si>
  <si>
    <t>Revenue Requirement</t>
  </si>
  <si>
    <t>Admin Costs - Revenue Requirements</t>
  </si>
  <si>
    <t>Capital Portion</t>
  </si>
  <si>
    <t>Expense Portion (other items from Admin Cost)</t>
  </si>
  <si>
    <t>Total</t>
  </si>
  <si>
    <t>NPV (2020$s)</t>
  </si>
  <si>
    <t>Admin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</si>
</sst>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"/>
    <numFmt numFmtId="166" formatCode="0.0000"/>
    <numFmt numFmtId="167" formatCode="_(* #,##0_);_(* \(#,##0\);_(* &quot;-&quot;??_);_(@_)"/>
    <numFmt numFmtId="168" formatCode="0.0%"/>
    <numFmt numFmtId="169" formatCode="&quot;$&quot;#,##0.00"/>
    <numFmt numFmtId="170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2"/>
      <name val="Arial"/>
      <family val="2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1" applyFont="1"/>
    <xf numFmtId="0" fontId="1" fillId="0" borderId="0" xfId="1" applyFont="1" applyBorder="1"/>
    <xf numFmtId="0" fontId="3" fillId="2" borderId="2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Border="1"/>
    <xf numFmtId="0" fontId="1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4" xfId="1" applyFont="1" applyBorder="1"/>
    <xf numFmtId="0" fontId="1" fillId="0" borderId="6" xfId="1" applyFont="1" applyBorder="1"/>
    <xf numFmtId="0" fontId="5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44" fontId="1" fillId="0" borderId="0" xfId="1" applyNumberFormat="1" applyFont="1" applyFill="1" applyBorder="1"/>
    <xf numFmtId="0" fontId="1" fillId="0" borderId="7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7" xfId="1" applyFont="1" applyBorder="1"/>
    <xf numFmtId="0" fontId="1" fillId="0" borderId="0" xfId="1" applyFont="1" applyFill="1" applyBorder="1" applyAlignment="1">
      <alignment wrapText="1"/>
    </xf>
    <xf numFmtId="164" fontId="3" fillId="0" borderId="0" xfId="1" applyNumberFormat="1" applyFont="1" applyFill="1" applyBorder="1"/>
    <xf numFmtId="3" fontId="1" fillId="0" borderId="7" xfId="1" applyNumberFormat="1" applyFont="1" applyFill="1" applyBorder="1" applyAlignment="1">
      <alignment horizontal="center"/>
    </xf>
    <xf numFmtId="2" fontId="1" fillId="0" borderId="7" xfId="1" applyNumberFormat="1" applyFont="1" applyBorder="1" applyAlignment="1">
      <alignment horizontal="center"/>
    </xf>
    <xf numFmtId="0" fontId="1" fillId="0" borderId="7" xfId="1" applyFont="1" applyBorder="1"/>
    <xf numFmtId="165" fontId="1" fillId="0" borderId="7" xfId="1" applyNumberFormat="1" applyFont="1" applyBorder="1" applyAlignment="1">
      <alignment horizontal="center"/>
    </xf>
    <xf numFmtId="166" fontId="1" fillId="0" borderId="0" xfId="1" applyNumberFormat="1" applyFont="1"/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left" wrapText="1"/>
    </xf>
    <xf numFmtId="44" fontId="6" fillId="0" borderId="0" xfId="1" applyNumberFormat="1" applyFont="1" applyFill="1" applyBorder="1"/>
    <xf numFmtId="44" fontId="1" fillId="0" borderId="0" xfId="1" applyNumberFormat="1" applyFont="1" applyFill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0" fontId="1" fillId="0" borderId="9" xfId="1" applyFont="1" applyBorder="1"/>
    <xf numFmtId="44" fontId="3" fillId="0" borderId="9" xfId="1" applyNumberFormat="1" applyFont="1" applyFill="1" applyBorder="1"/>
    <xf numFmtId="0" fontId="3" fillId="2" borderId="11" xfId="1" applyFont="1" applyFill="1" applyBorder="1" applyAlignment="1">
      <alignment horizontal="center"/>
    </xf>
    <xf numFmtId="3" fontId="1" fillId="0" borderId="0" xfId="1" applyNumberFormat="1" applyFont="1" applyBorder="1"/>
    <xf numFmtId="0" fontId="1" fillId="0" borderId="0" xfId="1" applyFont="1" applyBorder="1" applyAlignment="1">
      <alignment horizontal="right"/>
    </xf>
    <xf numFmtId="0" fontId="7" fillId="0" borderId="0" xfId="1" applyFont="1" applyBorder="1"/>
    <xf numFmtId="0" fontId="1" fillId="0" borderId="3" xfId="1" applyFont="1" applyBorder="1"/>
    <xf numFmtId="0" fontId="1" fillId="0" borderId="10" xfId="1" applyFont="1" applyBorder="1"/>
    <xf numFmtId="0" fontId="2" fillId="0" borderId="0" xfId="1" applyFont="1" applyFill="1" applyBorder="1"/>
    <xf numFmtId="0" fontId="1" fillId="0" borderId="13" xfId="1" applyFont="1" applyBorder="1"/>
    <xf numFmtId="0" fontId="3" fillId="0" borderId="5" xfId="1" applyFont="1" applyBorder="1"/>
    <xf numFmtId="0" fontId="1" fillId="0" borderId="7" xfId="1" applyFont="1" applyFill="1" applyBorder="1"/>
    <xf numFmtId="0" fontId="3" fillId="0" borderId="15" xfId="1" applyFont="1" applyBorder="1"/>
    <xf numFmtId="0" fontId="1" fillId="0" borderId="13" xfId="1" applyFont="1" applyBorder="1" applyAlignment="1">
      <alignment horizontal="right"/>
    </xf>
    <xf numFmtId="0" fontId="7" fillId="0" borderId="13" xfId="1" applyFont="1" applyBorder="1"/>
    <xf numFmtId="0" fontId="1" fillId="0" borderId="11" xfId="1" applyFont="1" applyBorder="1" applyAlignment="1">
      <alignment horizontal="right"/>
    </xf>
    <xf numFmtId="0" fontId="1" fillId="0" borderId="11" xfId="1" applyFont="1" applyBorder="1"/>
    <xf numFmtId="167" fontId="7" fillId="0" borderId="11" xfId="2" applyNumberFormat="1" applyFont="1" applyBorder="1"/>
    <xf numFmtId="9" fontId="9" fillId="0" borderId="3" xfId="1" applyNumberFormat="1" applyFont="1" applyFill="1" applyBorder="1"/>
    <xf numFmtId="167" fontId="9" fillId="0" borderId="0" xfId="2" applyNumberFormat="1" applyFont="1" applyBorder="1"/>
    <xf numFmtId="9" fontId="1" fillId="0" borderId="3" xfId="1" applyNumberFormat="1" applyFont="1" applyBorder="1"/>
    <xf numFmtId="167" fontId="1" fillId="0" borderId="0" xfId="1" applyNumberFormat="1" applyFont="1" applyBorder="1"/>
    <xf numFmtId="167" fontId="1" fillId="0" borderId="16" xfId="1" applyNumberFormat="1" applyFont="1" applyBorder="1"/>
    <xf numFmtId="9" fontId="1" fillId="0" borderId="10" xfId="1" applyNumberFormat="1" applyFont="1" applyBorder="1"/>
    <xf numFmtId="167" fontId="9" fillId="0" borderId="11" xfId="2" applyNumberFormat="1" applyFont="1" applyBorder="1"/>
    <xf numFmtId="167" fontId="9" fillId="0" borderId="17" xfId="2" applyNumberFormat="1" applyFont="1" applyBorder="1"/>
    <xf numFmtId="9" fontId="9" fillId="0" borderId="3" xfId="1" applyNumberFormat="1" applyFont="1" applyBorder="1"/>
    <xf numFmtId="167" fontId="9" fillId="0" borderId="13" xfId="2" applyNumberFormat="1" applyFont="1" applyBorder="1"/>
    <xf numFmtId="9" fontId="3" fillId="0" borderId="3" xfId="1" applyNumberFormat="1" applyFont="1" applyBorder="1"/>
    <xf numFmtId="0" fontId="1" fillId="0" borderId="5" xfId="1" applyFont="1" applyFill="1" applyBorder="1"/>
    <xf numFmtId="167" fontId="9" fillId="0" borderId="5" xfId="2" applyNumberFormat="1" applyFont="1" applyFill="1" applyBorder="1"/>
    <xf numFmtId="0" fontId="1" fillId="0" borderId="18" xfId="1" applyFont="1" applyBorder="1" applyAlignment="1">
      <alignment horizontal="right"/>
    </xf>
    <xf numFmtId="167" fontId="9" fillId="0" borderId="0" xfId="2" applyNumberFormat="1" applyFont="1" applyFill="1" applyBorder="1"/>
    <xf numFmtId="0" fontId="3" fillId="0" borderId="18" xfId="1" applyFont="1" applyBorder="1" applyAlignment="1">
      <alignment horizontal="right"/>
    </xf>
    <xf numFmtId="167" fontId="3" fillId="0" borderId="0" xfId="2" applyNumberFormat="1" applyFont="1" applyBorder="1"/>
    <xf numFmtId="9" fontId="1" fillId="0" borderId="8" xfId="1" applyNumberFormat="1" applyFont="1" applyBorder="1"/>
    <xf numFmtId="0" fontId="1" fillId="0" borderId="9" xfId="1" applyFont="1" applyBorder="1" applyAlignment="1">
      <alignment horizontal="right"/>
    </xf>
    <xf numFmtId="168" fontId="9" fillId="0" borderId="9" xfId="3" applyNumberFormat="1" applyFont="1" applyBorder="1"/>
    <xf numFmtId="0" fontId="3" fillId="2" borderId="19" xfId="1" applyFont="1" applyFill="1" applyBorder="1" applyAlignment="1">
      <alignment horizontal="center"/>
    </xf>
    <xf numFmtId="0" fontId="3" fillId="0" borderId="11" xfId="1" applyFont="1" applyBorder="1"/>
    <xf numFmtId="164" fontId="9" fillId="0" borderId="0" xfId="4" applyNumberFormat="1" applyFont="1" applyBorder="1"/>
    <xf numFmtId="0" fontId="3" fillId="0" borderId="10" xfId="1" applyFont="1" applyBorder="1"/>
    <xf numFmtId="164" fontId="1" fillId="0" borderId="11" xfId="1" applyNumberFormat="1" applyFont="1" applyBorder="1"/>
    <xf numFmtId="164" fontId="9" fillId="0" borderId="11" xfId="4" applyNumberFormat="1" applyFont="1" applyBorder="1"/>
    <xf numFmtId="169" fontId="1" fillId="0" borderId="0" xfId="1" applyNumberFormat="1" applyFont="1" applyBorder="1"/>
    <xf numFmtId="164" fontId="7" fillId="0" borderId="0" xfId="4" applyNumberFormat="1" applyFont="1" applyBorder="1"/>
    <xf numFmtId="164" fontId="3" fillId="0" borderId="13" xfId="1" applyNumberFormat="1" applyFont="1" applyBorder="1"/>
    <xf numFmtId="164" fontId="3" fillId="0" borderId="11" xfId="1" applyNumberFormat="1" applyFont="1" applyBorder="1"/>
    <xf numFmtId="44" fontId="3" fillId="0" borderId="11" xfId="1" applyNumberFormat="1" applyFont="1" applyBorder="1"/>
    <xf numFmtId="0" fontId="3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1" fillId="0" borderId="0" xfId="1" applyFont="1" applyFill="1"/>
    <xf numFmtId="9" fontId="10" fillId="0" borderId="3" xfId="1" applyNumberFormat="1" applyFont="1" applyBorder="1"/>
    <xf numFmtId="0" fontId="1" fillId="0" borderId="18" xfId="1" applyFont="1" applyFill="1" applyBorder="1" applyAlignment="1">
      <alignment horizontal="right"/>
    </xf>
    <xf numFmtId="164" fontId="7" fillId="0" borderId="0" xfId="1" applyNumberFormat="1" applyFont="1" applyBorder="1"/>
    <xf numFmtId="167" fontId="1" fillId="0" borderId="0" xfId="1" applyNumberFormat="1" applyFont="1"/>
    <xf numFmtId="6" fontId="1" fillId="0" borderId="0" xfId="1" applyNumberFormat="1" applyFont="1"/>
    <xf numFmtId="0" fontId="10" fillId="0" borderId="3" xfId="1" applyFont="1" applyBorder="1"/>
    <xf numFmtId="164" fontId="1" fillId="0" borderId="0" xfId="1" applyNumberFormat="1" applyFont="1" applyBorder="1"/>
    <xf numFmtId="164" fontId="1" fillId="0" borderId="0" xfId="1" applyNumberFormat="1" applyFont="1"/>
    <xf numFmtId="9" fontId="10" fillId="0" borderId="3" xfId="3" applyFont="1" applyBorder="1"/>
    <xf numFmtId="0" fontId="3" fillId="0" borderId="0" xfId="1" applyFont="1" applyBorder="1" applyAlignment="1">
      <alignment horizontal="right"/>
    </xf>
    <xf numFmtId="0" fontId="3" fillId="0" borderId="11" xfId="1" applyFont="1" applyBorder="1" applyAlignment="1">
      <alignment horizontal="right"/>
    </xf>
    <xf numFmtId="44" fontId="11" fillId="0" borderId="11" xfId="4" applyNumberFormat="1" applyFont="1" applyBorder="1"/>
    <xf numFmtId="44" fontId="11" fillId="0" borderId="11" xfId="4" applyFont="1" applyBorder="1"/>
    <xf numFmtId="164" fontId="3" fillId="0" borderId="11" xfId="4" applyNumberFormat="1" applyFont="1" applyBorder="1"/>
    <xf numFmtId="44" fontId="3" fillId="0" borderId="11" xfId="4" applyFont="1" applyBorder="1"/>
    <xf numFmtId="44" fontId="3" fillId="0" borderId="3" xfId="4" applyFont="1" applyBorder="1"/>
    <xf numFmtId="0" fontId="3" fillId="0" borderId="0" xfId="1" applyFont="1"/>
    <xf numFmtId="0" fontId="9" fillId="0" borderId="0" xfId="1" applyFont="1" applyFill="1" applyAlignment="1">
      <alignment horizontal="right"/>
    </xf>
    <xf numFmtId="0" fontId="1" fillId="0" borderId="0" xfId="1" applyFont="1" applyAlignment="1">
      <alignment horizontal="right"/>
    </xf>
    <xf numFmtId="37" fontId="9" fillId="0" borderId="0" xfId="2" applyNumberFormat="1" applyFont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164" fontId="9" fillId="0" borderId="0" xfId="4" applyNumberFormat="1" applyFont="1" applyBorder="1" applyAlignment="1">
      <alignment horizontal="center"/>
    </xf>
    <xf numFmtId="0" fontId="1" fillId="0" borderId="8" xfId="1" applyFont="1" applyBorder="1"/>
    <xf numFmtId="164" fontId="1" fillId="0" borderId="0" xfId="1" applyNumberFormat="1" applyFont="1" applyFill="1"/>
    <xf numFmtId="0" fontId="13" fillId="0" borderId="0" xfId="5" applyFont="1"/>
    <xf numFmtId="0" fontId="14" fillId="0" borderId="0" xfId="5" applyFont="1"/>
    <xf numFmtId="0" fontId="13" fillId="0" borderId="0" xfId="5" applyFont="1" applyAlignment="1">
      <alignment horizontal="center"/>
    </xf>
    <xf numFmtId="170" fontId="14" fillId="0" borderId="7" xfId="5" applyNumberFormat="1" applyFont="1" applyBorder="1" applyAlignment="1">
      <alignment horizontal="left"/>
    </xf>
    <xf numFmtId="10" fontId="14" fillId="0" borderId="7" xfId="6" applyNumberFormat="1" applyFont="1" applyBorder="1" applyAlignment="1">
      <alignment horizontal="left"/>
    </xf>
    <xf numFmtId="5" fontId="14" fillId="0" borderId="0" xfId="5" applyNumberFormat="1" applyFont="1" applyAlignment="1">
      <alignment horizontal="center"/>
    </xf>
    <xf numFmtId="10" fontId="14" fillId="0" borderId="0" xfId="6" applyNumberFormat="1" applyFont="1" applyAlignment="1">
      <alignment horizontal="left"/>
    </xf>
    <xf numFmtId="5" fontId="14" fillId="0" borderId="0" xfId="5" applyNumberFormat="1" applyFont="1"/>
    <xf numFmtId="0" fontId="14" fillId="0" borderId="0" xfId="5" applyFont="1" applyFill="1"/>
    <xf numFmtId="5" fontId="14" fillId="0" borderId="0" xfId="5" applyNumberFormat="1" applyFont="1" applyFill="1" applyAlignment="1">
      <alignment horizontal="center"/>
    </xf>
    <xf numFmtId="0" fontId="15" fillId="0" borderId="0" xfId="5" applyFont="1"/>
    <xf numFmtId="164" fontId="14" fillId="0" borderId="0" xfId="5" applyNumberFormat="1" applyFont="1"/>
    <xf numFmtId="0" fontId="12" fillId="0" borderId="0" xfId="5"/>
    <xf numFmtId="0" fontId="12" fillId="0" borderId="0" xfId="5" applyAlignment="1">
      <alignment horizontal="center"/>
    </xf>
    <xf numFmtId="164" fontId="0" fillId="0" borderId="0" xfId="7" applyNumberFormat="1" applyFont="1"/>
    <xf numFmtId="0" fontId="0" fillId="0" borderId="0" xfId="7" applyNumberFormat="1" applyFont="1"/>
    <xf numFmtId="0" fontId="16" fillId="0" borderId="0" xfId="5" applyFont="1"/>
    <xf numFmtId="164" fontId="16" fillId="0" borderId="0" xfId="5" applyNumberFormat="1" applyFont="1"/>
    <xf numFmtId="0" fontId="17" fillId="0" borderId="0" xfId="5" applyFont="1"/>
    <xf numFmtId="164" fontId="17" fillId="0" borderId="0" xfId="5" applyNumberFormat="1" applyFont="1"/>
    <xf numFmtId="2" fontId="7" fillId="0" borderId="0" xfId="1" applyNumberFormat="1" applyFont="1" applyBorder="1"/>
    <xf numFmtId="2" fontId="7" fillId="0" borderId="13" xfId="1" applyNumberFormat="1" applyFont="1" applyBorder="1"/>
    <xf numFmtId="0" fontId="3" fillId="0" borderId="5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164" fontId="1" fillId="0" borderId="3" xfId="1" applyNumberFormat="1" applyFont="1" applyFill="1" applyBorder="1"/>
    <xf numFmtId="3" fontId="1" fillId="0" borderId="0" xfId="1" applyNumberFormat="1" applyFont="1" applyFill="1" applyBorder="1"/>
    <xf numFmtId="0" fontId="1" fillId="0" borderId="0" xfId="1" applyFont="1" applyFill="1" applyBorder="1" applyAlignment="1">
      <alignment horizontal="left" vertical="center"/>
    </xf>
    <xf numFmtId="165" fontId="1" fillId="0" borderId="0" xfId="1" applyNumberFormat="1" applyFont="1" applyFill="1" applyBorder="1"/>
    <xf numFmtId="0" fontId="1" fillId="0" borderId="0" xfId="1" applyFont="1" applyFill="1" applyBorder="1" applyAlignment="1"/>
    <xf numFmtId="164" fontId="6" fillId="0" borderId="3" xfId="1" applyNumberFormat="1" applyFont="1" applyFill="1" applyBorder="1"/>
    <xf numFmtId="3" fontId="1" fillId="0" borderId="0" xfId="1" applyNumberFormat="1" applyFont="1" applyFill="1" applyBorder="1" applyAlignment="1">
      <alignment horizontal="left" vertical="center"/>
    </xf>
    <xf numFmtId="164" fontId="3" fillId="0" borderId="3" xfId="1" applyNumberFormat="1" applyFont="1" applyFill="1" applyBorder="1"/>
    <xf numFmtId="167" fontId="1" fillId="0" borderId="0" xfId="8" applyNumberFormat="1" applyFont="1" applyFill="1" applyBorder="1"/>
    <xf numFmtId="164" fontId="1" fillId="0" borderId="0" xfId="1" applyNumberFormat="1" applyFont="1" applyFill="1" applyBorder="1"/>
    <xf numFmtId="164" fontId="3" fillId="0" borderId="8" xfId="1" applyNumberFormat="1" applyFont="1" applyFill="1" applyBorder="1"/>
    <xf numFmtId="0" fontId="1" fillId="0" borderId="9" xfId="1" applyFont="1" applyFill="1" applyBorder="1"/>
    <xf numFmtId="167" fontId="7" fillId="0" borderId="9" xfId="2" applyNumberFormat="1" applyFont="1" applyFill="1" applyBorder="1"/>
    <xf numFmtId="0" fontId="1" fillId="0" borderId="12" xfId="1" applyFont="1" applyFill="1" applyBorder="1"/>
    <xf numFmtId="0" fontId="7" fillId="0" borderId="0" xfId="1" applyFont="1" applyFill="1" applyBorder="1"/>
    <xf numFmtId="0" fontId="8" fillId="0" borderId="0" xfId="1" applyFont="1" applyFill="1" applyBorder="1"/>
    <xf numFmtId="0" fontId="1" fillId="0" borderId="3" xfId="1" applyFont="1" applyFill="1" applyBorder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164" fontId="7" fillId="3" borderId="0" xfId="4" applyNumberFormat="1" applyFont="1" applyFill="1" applyBorder="1"/>
    <xf numFmtId="164" fontId="7" fillId="3" borderId="11" xfId="4" applyNumberFormat="1" applyFont="1" applyFill="1" applyBorder="1"/>
    <xf numFmtId="164" fontId="9" fillId="3" borderId="11" xfId="4" applyNumberFormat="1" applyFont="1" applyFill="1" applyBorder="1"/>
    <xf numFmtId="0" fontId="7" fillId="0" borderId="3" xfId="1" applyFont="1" applyFill="1" applyBorder="1"/>
    <xf numFmtId="164" fontId="7" fillId="0" borderId="0" xfId="4" applyNumberFormat="1" applyFont="1" applyFill="1" applyBorder="1"/>
    <xf numFmtId="44" fontId="7" fillId="0" borderId="0" xfId="4" applyFont="1" applyFill="1" applyBorder="1"/>
    <xf numFmtId="169" fontId="1" fillId="0" borderId="0" xfId="1" applyNumberFormat="1" applyFont="1" applyFill="1" applyBorder="1"/>
    <xf numFmtId="44" fontId="9" fillId="0" borderId="0" xfId="4" applyFont="1" applyFill="1"/>
    <xf numFmtId="0" fontId="1" fillId="0" borderId="10" xfId="1" applyFont="1" applyFill="1" applyBorder="1"/>
    <xf numFmtId="0" fontId="1" fillId="0" borderId="19" xfId="1" applyFont="1" applyFill="1" applyBorder="1" applyAlignment="1">
      <alignment horizontal="right"/>
    </xf>
    <xf numFmtId="44" fontId="7" fillId="0" borderId="11" xfId="4" applyFont="1" applyFill="1" applyBorder="1"/>
    <xf numFmtId="164" fontId="7" fillId="0" borderId="11" xfId="4" applyNumberFormat="1" applyFont="1" applyFill="1" applyBorder="1"/>
    <xf numFmtId="0" fontId="1" fillId="0" borderId="11" xfId="1" applyFont="1" applyFill="1" applyBorder="1"/>
    <xf numFmtId="169" fontId="1" fillId="0" borderId="11" xfId="1" applyNumberFormat="1" applyFont="1" applyFill="1" applyBorder="1"/>
    <xf numFmtId="5" fontId="14" fillId="0" borderId="0" xfId="5" applyNumberFormat="1" applyFont="1" applyFill="1"/>
  </cellXfs>
  <cellStyles count="9">
    <cellStyle name="Comma" xfId="8" builtinId="3"/>
    <cellStyle name="Comma 55" xfId="2" xr:uid="{9FB93C91-3A76-4700-8894-DEAF16CA9DDD}"/>
    <cellStyle name="Currency 2" xfId="7" xr:uid="{E2A6D0D0-E3E3-4D12-8142-AB6DE903451B}"/>
    <cellStyle name="Currency 33" xfId="4" xr:uid="{73031853-EC1D-4740-8B50-987503A271AD}"/>
    <cellStyle name="Normal" xfId="0" builtinId="0"/>
    <cellStyle name="Normal 139" xfId="1" xr:uid="{0606CE16-4776-4852-B6F8-A1BBCE67403B}"/>
    <cellStyle name="Normal 2" xfId="5" xr:uid="{6302CAD1-5C1D-457D-8EB7-F429949C5D36}"/>
    <cellStyle name="Percent 2" xfId="6" xr:uid="{029F00C0-8C60-422D-B8C0-4C8E803A7CF3}"/>
    <cellStyle name="Percent 39" xfId="3" xr:uid="{FC470330-CB00-4EED-AAB8-48CB209D41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275034</xdr:colOff>
      <xdr:row>64</xdr:row>
      <xdr:rowOff>161925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A7C07D3-EC69-48E1-98DF-1E0A9C154A6D}"/>
            </a:ext>
          </a:extLst>
        </xdr:cNvPr>
        <xdr:cNvSpPr txBox="1"/>
      </xdr:nvSpPr>
      <xdr:spPr>
        <a:xfrm>
          <a:off x="12467034" y="120396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LUKEOW~1\LOCALS~1\Temp\notesC41F34\08.10.20-Quanta-SOLAR%20ECONOMICS%20MODEL-%20V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TRY\HKS\Acquisition%20Model%2010.18.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tb9718\AppData\Local\Microsoft\Windows\INetCache\Content.Outlook\ZOSODB89\DERMod%2016040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12138\Local%20Settings\Temporary%20Internet%20Files\Content.Outlook\UEFZMG32\SC_Y2012%20_Filing%20Support_Variable%20and%205%20Year%20Rates%20expanded%20for%20RE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Structure"/>
      <sheetName val="Input Tables (module and misc.)"/>
      <sheetName val="Input Tables (system component)"/>
      <sheetName val="Global Assumptions"/>
      <sheetName val="Project Assumptions"/>
      <sheetName val="Region Assumptions"/>
      <sheetName val="Energy Price Assumptions"/>
      <sheetName val="LCOE Calculation (fixed)"/>
      <sheetName val="Project Costs"/>
      <sheetName val="Power Output"/>
      <sheetName val="Power Revenue"/>
      <sheetName val="Cash Flow"/>
      <sheetName val="LCOE Calculation"/>
      <sheetName val="Gloss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Assum"/>
      <sheetName val="OpBS"/>
      <sheetName val="IS"/>
      <sheetName val="BSCF"/>
      <sheetName val="Ratios"/>
      <sheetName val="AcqIS"/>
      <sheetName val="AcqBSCF"/>
      <sheetName val="AcqRat"/>
      <sheetName val="AcqDCF1"/>
      <sheetName val="AcqDCF2"/>
      <sheetName val="TargIS"/>
      <sheetName val="TargSeg IS"/>
      <sheetName val="TargBSCF"/>
      <sheetName val="TargRat"/>
      <sheetName val="TargDCF1"/>
      <sheetName val="TargDCF2"/>
      <sheetName val="2TargIS"/>
      <sheetName val="2TargBSCF"/>
      <sheetName val="Matrix"/>
      <sheetName val="Contrib"/>
      <sheetName val="Acq LBO Assum"/>
      <sheetName val="Acq LBO IS"/>
      <sheetName val="Acq LBO  BSCF"/>
      <sheetName val="Acq LBO Ratios"/>
      <sheetName val="Acq LBO Returns"/>
      <sheetName val="Targ LBO Assum"/>
      <sheetName val="Targ LBO IS"/>
      <sheetName val="Targ LBO  BSCF"/>
      <sheetName val="Targ LBO Ratios"/>
      <sheetName val="Targ LBO Returns"/>
      <sheetName val="Summary"/>
      <sheetName val="TargSegFP Summary"/>
      <sheetName val="TargFP Summary"/>
      <sheetName val="Targ Transaction Matrix"/>
      <sheetName val="AcqFP Summary"/>
      <sheetName val="AcqFP Summary ($)"/>
      <sheetName val="Acq Transaction Matrix"/>
      <sheetName val="Contribution"/>
      <sheetName val="ValuationMed"/>
      <sheetName val="PF FP"/>
      <sheetName val="PF EPS Impact"/>
      <sheetName val="PF EPS Impact (2)"/>
      <sheetName val="PF SP"/>
      <sheetName val="PF SP (2)"/>
      <sheetName val="PF SP (3)"/>
      <sheetName val="PF SP (4)"/>
      <sheetName val="TargDCF Summary"/>
      <sheetName val="Acq Stock Price"/>
      <sheetName val="AcqDCF Summary"/>
      <sheetName val="PF FP (w HANDLE)"/>
      <sheetName val="PF EPS Impact (w HANDLE)"/>
      <sheetName val="OUT"/>
      <sheetName val="ValuationMed BackUp"/>
      <sheetName val="PF SP Impact"/>
      <sheetName val="PF SP Sens"/>
      <sheetName val="PF EPS Sens"/>
      <sheetName val="AcqDCF Summary ($)"/>
      <sheetName val="Acq Transaction Matrix ($)"/>
      <sheetName val="AcqBE Summary"/>
      <sheetName val="TargBE Summary"/>
      <sheetName val="Impl. Own. DCF"/>
      <sheetName val="Impl. Own. Public Comps"/>
    </sheetNames>
    <sheetDataSet>
      <sheetData sheetId="0" refreshError="1"/>
      <sheetData sheetId="1" refreshError="1">
        <row r="15">
          <cell r="E15">
            <v>13.298</v>
          </cell>
        </row>
        <row r="16">
          <cell r="E16">
            <v>0</v>
          </cell>
        </row>
        <row r="17">
          <cell r="E17">
            <v>13.298</v>
          </cell>
        </row>
        <row r="19">
          <cell r="E19">
            <v>465.24133799999993</v>
          </cell>
        </row>
        <row r="20">
          <cell r="C20">
            <v>0</v>
          </cell>
          <cell r="E20">
            <v>0</v>
          </cell>
        </row>
        <row r="21">
          <cell r="E21">
            <v>465.24133799999993</v>
          </cell>
        </row>
        <row r="22">
          <cell r="E22">
            <v>85.749793199999999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CapBudInput_Duke_CHP"/>
      <sheetName val="CapBudInput_KapStone"/>
      <sheetName val="ProjectInputs"/>
      <sheetName val="Control"/>
      <sheetName val="Analysis"/>
      <sheetName val="Asset"/>
      <sheetName val="Assetn"/>
      <sheetName val="AnnualProForma"/>
      <sheetName val="NonProjectInputs"/>
      <sheetName val="DepreciationInputs"/>
      <sheetName val="ValidationOptions"/>
      <sheetName val="CapBudInput_Mocksville"/>
      <sheetName val="CapBudInput_Woodleaf"/>
      <sheetName val="CapBudInput_Monroe"/>
      <sheetName val="CapBudInput_NSACrane"/>
      <sheetName val="CapBudInput_Perry"/>
      <sheetName val="CapBudInput_Seminole"/>
      <sheetName val="CapBudInput_Battery1"/>
      <sheetName val="CapBudInput_Battery2"/>
      <sheetName val="CapBudInput_Battery3"/>
      <sheetName val="CapBudInput_Test"/>
      <sheetName val="InputsForModelForNCPS==&gt;"/>
      <sheetName val="Inputs"/>
      <sheetName val="Revenue Requirements"/>
      <sheetName val="Fed ITC"/>
      <sheetName val="NC ETC"/>
      <sheetName val="Dep &amp; Prop Tax"/>
      <sheetName val="SCInputsForModelFor==&gt;"/>
      <sheetName val="SCInputs"/>
      <sheetName val="SCRevenue Requirements"/>
      <sheetName val="SCFed ITC"/>
      <sheetName val="SCStateTaxCredit"/>
      <sheetName val="SCDep &amp; Prop Tax"/>
    </sheetNames>
    <sheetDataSet>
      <sheetData sheetId="0"/>
      <sheetData sheetId="1"/>
      <sheetData sheetId="2"/>
      <sheetData sheetId="3">
        <row r="3">
          <cell r="C3">
            <v>1</v>
          </cell>
          <cell r="D3">
            <v>2</v>
          </cell>
          <cell r="E3">
            <v>3</v>
          </cell>
          <cell r="F3">
            <v>4</v>
          </cell>
          <cell r="G3">
            <v>5</v>
          </cell>
          <cell r="H3">
            <v>6</v>
          </cell>
          <cell r="I3">
            <v>7</v>
          </cell>
          <cell r="J3">
            <v>8</v>
          </cell>
          <cell r="K3">
            <v>9</v>
          </cell>
          <cell r="L3">
            <v>10</v>
          </cell>
          <cell r="M3">
            <v>11</v>
          </cell>
          <cell r="N3">
            <v>12</v>
          </cell>
          <cell r="O3">
            <v>13</v>
          </cell>
          <cell r="P3">
            <v>14</v>
          </cell>
          <cell r="Q3">
            <v>15</v>
          </cell>
          <cell r="R3">
            <v>16</v>
          </cell>
          <cell r="S3">
            <v>17</v>
          </cell>
          <cell r="T3">
            <v>18</v>
          </cell>
          <cell r="U3">
            <v>19</v>
          </cell>
          <cell r="V3">
            <v>20</v>
          </cell>
          <cell r="W3">
            <v>21</v>
          </cell>
          <cell r="X3">
            <v>22</v>
          </cell>
          <cell r="Y3">
            <v>0</v>
          </cell>
        </row>
        <row r="4">
          <cell r="C4" t="str">
            <v xml:space="preserve">Mocksville </v>
          </cell>
          <cell r="D4" t="str">
            <v>Woodleaf</v>
          </cell>
          <cell r="E4" t="str">
            <v>Monroe</v>
          </cell>
          <cell r="F4" t="str">
            <v>NSA Crane</v>
          </cell>
          <cell r="G4" t="str">
            <v>Perry Solar</v>
          </cell>
          <cell r="H4" t="str">
            <v>Duke University CHP</v>
          </cell>
          <cell r="I4" t="str">
            <v>KapStone CHP</v>
          </cell>
          <cell r="J4" t="str">
            <v>Seminole Solar RFP</v>
          </cell>
          <cell r="K4" t="str">
            <v>Lithium Ion 2 MW / 8 MWH / 95% Efficiency / 10 Year life / 1 cycle per day</v>
          </cell>
          <cell r="L4" t="str">
            <v>Lithium Ion 2 MW / 8 MWH / 95% Efficiency / 10 Year life / 1 cycle per day</v>
          </cell>
          <cell r="M4" t="str">
            <v>Lithium Ion 2 MW / 8 MWH / 95% Efficiency / 10 Year life / 1 cycle per day</v>
          </cell>
          <cell r="N4" t="str">
            <v>Kentucky Example</v>
          </cell>
          <cell r="O4" t="str">
            <v>Test DEP NC</v>
          </cell>
          <cell r="P4" t="str">
            <v>Test DEP SC</v>
          </cell>
          <cell r="Q4" t="str">
            <v>Test DEC NC</v>
          </cell>
          <cell r="R4" t="str">
            <v>Test DEC SC</v>
          </cell>
          <cell r="S4" t="str">
            <v>Test Indiana</v>
          </cell>
          <cell r="T4">
            <v>0</v>
          </cell>
          <cell r="U4" t="str">
            <v>Walmart Project</v>
          </cell>
          <cell r="V4" t="str">
            <v>SC - 65 MW Purchase from Strata</v>
          </cell>
          <cell r="W4" t="str">
            <v>Indiana Example</v>
          </cell>
          <cell r="X4">
            <v>0</v>
          </cell>
          <cell r="Y4">
            <v>0</v>
          </cell>
        </row>
      </sheetData>
      <sheetData sheetId="4">
        <row r="10">
          <cell r="D10" t="str">
            <v>DEC</v>
          </cell>
        </row>
        <row r="11">
          <cell r="D11" t="str">
            <v>NC</v>
          </cell>
        </row>
        <row r="169">
          <cell r="D169">
            <v>42460</v>
          </cell>
        </row>
        <row r="170">
          <cell r="D170">
            <v>43252</v>
          </cell>
        </row>
        <row r="171">
          <cell r="D171">
            <v>6.7500000000000004E-2</v>
          </cell>
        </row>
      </sheetData>
      <sheetData sheetId="5">
        <row r="22">
          <cell r="C22">
            <v>5.2108082949169798E-2</v>
          </cell>
        </row>
        <row r="130">
          <cell r="B130">
            <v>0</v>
          </cell>
        </row>
        <row r="217">
          <cell r="B217" t="str">
            <v>Rate Base</v>
          </cell>
        </row>
        <row r="366">
          <cell r="C366">
            <v>0.7</v>
          </cell>
        </row>
        <row r="444">
          <cell r="C444">
            <v>0.24</v>
          </cell>
        </row>
        <row r="512">
          <cell r="C512">
            <v>0</v>
          </cell>
        </row>
        <row r="556">
          <cell r="C556">
            <v>0</v>
          </cell>
        </row>
        <row r="640">
          <cell r="C640">
            <v>0</v>
          </cell>
        </row>
        <row r="651">
          <cell r="C651">
            <v>0</v>
          </cell>
        </row>
        <row r="674">
          <cell r="C674">
            <v>0.06</v>
          </cell>
        </row>
      </sheetData>
      <sheetData sheetId="6"/>
      <sheetData sheetId="7"/>
      <sheetData sheetId="8"/>
      <sheetData sheetId="9">
        <row r="4">
          <cell r="B4">
            <v>2015</v>
          </cell>
        </row>
      </sheetData>
      <sheetData sheetId="10">
        <row r="2">
          <cell r="B2" t="str">
            <v>5-yr MACRS</v>
          </cell>
          <cell r="C2" t="str">
            <v>15-yr MACRS</v>
          </cell>
          <cell r="D2" t="str">
            <v>20-yr MACRS</v>
          </cell>
          <cell r="E2" t="str">
            <v>Deducted Tax Year 1</v>
          </cell>
          <cell r="F2" t="str">
            <v>Deducted Tax Year 2</v>
          </cell>
          <cell r="G2" t="str">
            <v>Placeholder 1</v>
          </cell>
          <cell r="H2" t="str">
            <v>Placeholder 2</v>
          </cell>
          <cell r="I2" t="str">
            <v>Non Depreciable Tax</v>
          </cell>
        </row>
        <row r="3">
          <cell r="B3" t="str">
            <v>YES</v>
          </cell>
          <cell r="C3" t="str">
            <v>YES</v>
          </cell>
          <cell r="D3" t="str">
            <v>YES</v>
          </cell>
          <cell r="E3" t="str">
            <v>NO</v>
          </cell>
          <cell r="F3" t="str">
            <v>NO</v>
          </cell>
          <cell r="G3" t="str">
            <v>NO</v>
          </cell>
          <cell r="H3" t="str">
            <v>NO</v>
          </cell>
          <cell r="I3" t="str">
            <v>NO</v>
          </cell>
        </row>
        <row r="4">
          <cell r="B4">
            <v>0.2</v>
          </cell>
          <cell r="C4">
            <v>0.05</v>
          </cell>
          <cell r="D4">
            <v>3.7499999999999999E-2</v>
          </cell>
          <cell r="E4">
            <v>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L4" t="str">
            <v>Default Book LIfe</v>
          </cell>
        </row>
        <row r="5">
          <cell r="B5">
            <v>0.32</v>
          </cell>
          <cell r="C5">
            <v>9.5000000000000001E-2</v>
          </cell>
          <cell r="D5">
            <v>7.2190000000000004E-2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L5" t="str">
            <v>5-Yr Book Life</v>
          </cell>
        </row>
        <row r="6">
          <cell r="B6">
            <v>0.192</v>
          </cell>
          <cell r="C6">
            <v>8.5500000000000007E-2</v>
          </cell>
          <cell r="D6">
            <v>6.6769999999999996E-2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L6" t="str">
            <v>Placeholder 1 Book Life</v>
          </cell>
        </row>
        <row r="7">
          <cell r="B7">
            <v>0.1152</v>
          </cell>
          <cell r="C7">
            <v>7.6999999999999999E-2</v>
          </cell>
          <cell r="D7">
            <v>6.1769999999999999E-2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L7" t="str">
            <v>Placeholder 2 Book Life</v>
          </cell>
        </row>
        <row r="8">
          <cell r="B8">
            <v>0.1152</v>
          </cell>
          <cell r="C8">
            <v>6.93E-2</v>
          </cell>
          <cell r="D8">
            <v>5.713E-2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L8" t="str">
            <v>Non Depreciable Book LIfe</v>
          </cell>
        </row>
        <row r="9">
          <cell r="B9">
            <v>5.7599999999999998E-2</v>
          </cell>
          <cell r="C9">
            <v>6.2300000000000001E-2</v>
          </cell>
          <cell r="D9">
            <v>5.2850000000000001E-2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C10">
            <v>5.8999999999999997E-2</v>
          </cell>
          <cell r="D10">
            <v>4.888E-2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5.8999999999999997E-2</v>
          </cell>
          <cell r="D11">
            <v>4.5220000000000003E-2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5.91E-2</v>
          </cell>
          <cell r="D12">
            <v>4.462E-2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5.8999999999999997E-2</v>
          </cell>
          <cell r="D13">
            <v>4.4609999999999997E-2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5.91E-2</v>
          </cell>
          <cell r="D14">
            <v>4.462E-2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5.8999999999999997E-2</v>
          </cell>
          <cell r="D15">
            <v>4.4609999999999997E-2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5.91E-2</v>
          </cell>
          <cell r="D16">
            <v>4.462E-2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5.8999999999999997E-2</v>
          </cell>
          <cell r="D17">
            <v>4.4609999999999997E-2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5.91E-2</v>
          </cell>
          <cell r="D18">
            <v>4.462E-2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2.9499999999999998E-2</v>
          </cell>
          <cell r="D19">
            <v>4.4609999999999997E-2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0</v>
          </cell>
          <cell r="D20">
            <v>4.462E-2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4.4609999999999997E-2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4.462E-2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0</v>
          </cell>
          <cell r="D23">
            <v>4.4609999999999997E-2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2.231E-2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0.99999999999999989</v>
          </cell>
          <cell r="C55">
            <v>1.0000000000000002</v>
          </cell>
          <cell r="D55">
            <v>1.0000000000000002</v>
          </cell>
          <cell r="E55">
            <v>1</v>
          </cell>
          <cell r="F55">
            <v>1</v>
          </cell>
          <cell r="G55">
            <v>0</v>
          </cell>
          <cell r="H55">
            <v>0</v>
          </cell>
          <cell r="I55">
            <v>0</v>
          </cell>
        </row>
      </sheetData>
      <sheetData sheetId="11">
        <row r="3">
          <cell r="B3">
            <v>42004</v>
          </cell>
          <cell r="C3">
            <v>41913</v>
          </cell>
        </row>
        <row r="4">
          <cell r="B4">
            <v>42094</v>
          </cell>
          <cell r="C4">
            <v>42005</v>
          </cell>
        </row>
        <row r="5">
          <cell r="B5">
            <v>42185</v>
          </cell>
          <cell r="C5">
            <v>42095</v>
          </cell>
        </row>
        <row r="6">
          <cell r="B6">
            <v>42277</v>
          </cell>
          <cell r="C6">
            <v>42186</v>
          </cell>
        </row>
        <row r="7">
          <cell r="B7">
            <v>42369</v>
          </cell>
          <cell r="C7">
            <v>42278</v>
          </cell>
        </row>
        <row r="8">
          <cell r="B8">
            <v>42460</v>
          </cell>
          <cell r="C8">
            <v>42370</v>
          </cell>
        </row>
        <row r="9">
          <cell r="B9">
            <v>42551</v>
          </cell>
          <cell r="C9">
            <v>42461</v>
          </cell>
        </row>
        <row r="10">
          <cell r="B10">
            <v>42643</v>
          </cell>
          <cell r="C10">
            <v>42552</v>
          </cell>
        </row>
        <row r="11">
          <cell r="B11">
            <v>42735</v>
          </cell>
          <cell r="C11">
            <v>42644</v>
          </cell>
        </row>
        <row r="12">
          <cell r="B12">
            <v>42825</v>
          </cell>
          <cell r="C12">
            <v>42736</v>
          </cell>
        </row>
        <row r="13">
          <cell r="B13">
            <v>42916</v>
          </cell>
          <cell r="C13">
            <v>42826</v>
          </cell>
        </row>
        <row r="14">
          <cell r="B14">
            <v>43008</v>
          </cell>
          <cell r="C14">
            <v>42917</v>
          </cell>
        </row>
        <row r="15">
          <cell r="B15">
            <v>43100</v>
          </cell>
          <cell r="C15">
            <v>43009</v>
          </cell>
        </row>
        <row r="16">
          <cell r="B16">
            <v>43190</v>
          </cell>
          <cell r="C16">
            <v>43101</v>
          </cell>
        </row>
        <row r="17">
          <cell r="B17">
            <v>43281</v>
          </cell>
          <cell r="C17">
            <v>43191</v>
          </cell>
        </row>
        <row r="18">
          <cell r="B18">
            <v>43373</v>
          </cell>
          <cell r="C18">
            <v>43282</v>
          </cell>
        </row>
        <row r="19">
          <cell r="B19">
            <v>43465</v>
          </cell>
          <cell r="C19">
            <v>43374</v>
          </cell>
        </row>
        <row r="20">
          <cell r="B20">
            <v>43555</v>
          </cell>
          <cell r="C20">
            <v>43466</v>
          </cell>
        </row>
        <row r="21">
          <cell r="B21">
            <v>43646</v>
          </cell>
          <cell r="C21">
            <v>43556</v>
          </cell>
        </row>
        <row r="22">
          <cell r="B22">
            <v>43738</v>
          </cell>
          <cell r="C22">
            <v>43647</v>
          </cell>
        </row>
        <row r="23">
          <cell r="B23">
            <v>43830</v>
          </cell>
          <cell r="C23">
            <v>43739</v>
          </cell>
        </row>
        <row r="24">
          <cell r="B24">
            <v>43921</v>
          </cell>
          <cell r="C24">
            <v>43831</v>
          </cell>
        </row>
        <row r="25">
          <cell r="B25">
            <v>44012</v>
          </cell>
          <cell r="C25">
            <v>43922</v>
          </cell>
        </row>
        <row r="26">
          <cell r="B26">
            <v>44104</v>
          </cell>
          <cell r="C26">
            <v>44013</v>
          </cell>
        </row>
        <row r="27">
          <cell r="B27">
            <v>44196</v>
          </cell>
          <cell r="C27">
            <v>44105</v>
          </cell>
        </row>
        <row r="28">
          <cell r="B28">
            <v>44286</v>
          </cell>
          <cell r="C28">
            <v>44197</v>
          </cell>
        </row>
        <row r="29">
          <cell r="B29">
            <v>44377</v>
          </cell>
          <cell r="C29">
            <v>44287</v>
          </cell>
        </row>
        <row r="30">
          <cell r="B30">
            <v>44469</v>
          </cell>
          <cell r="C30">
            <v>44378</v>
          </cell>
        </row>
        <row r="31">
          <cell r="B31">
            <v>44561</v>
          </cell>
          <cell r="C31">
            <v>44470</v>
          </cell>
        </row>
        <row r="32">
          <cell r="B32">
            <v>44651</v>
          </cell>
          <cell r="C32">
            <v>44562</v>
          </cell>
        </row>
        <row r="33">
          <cell r="B33">
            <v>44742</v>
          </cell>
          <cell r="C33">
            <v>44652</v>
          </cell>
        </row>
        <row r="34">
          <cell r="B34">
            <v>44834</v>
          </cell>
          <cell r="C34">
            <v>44743</v>
          </cell>
        </row>
        <row r="35">
          <cell r="B35">
            <v>44926</v>
          </cell>
          <cell r="C35">
            <v>44835</v>
          </cell>
        </row>
        <row r="36">
          <cell r="B36">
            <v>45016</v>
          </cell>
          <cell r="C36">
            <v>44927</v>
          </cell>
        </row>
        <row r="37">
          <cell r="B37">
            <v>45107</v>
          </cell>
          <cell r="C37">
            <v>45017</v>
          </cell>
        </row>
        <row r="38">
          <cell r="B38">
            <v>45199</v>
          </cell>
          <cell r="C38">
            <v>45108</v>
          </cell>
        </row>
        <row r="39">
          <cell r="B39">
            <v>45291</v>
          </cell>
          <cell r="C39">
            <v>45200</v>
          </cell>
        </row>
        <row r="40">
          <cell r="B40">
            <v>45382</v>
          </cell>
          <cell r="C40">
            <v>45292</v>
          </cell>
        </row>
        <row r="41">
          <cell r="B41">
            <v>45473</v>
          </cell>
          <cell r="C41">
            <v>45383</v>
          </cell>
        </row>
        <row r="42">
          <cell r="B42">
            <v>45565</v>
          </cell>
          <cell r="C42">
            <v>45474</v>
          </cell>
        </row>
        <row r="43">
          <cell r="B43">
            <v>45657</v>
          </cell>
          <cell r="C43">
            <v>45566</v>
          </cell>
        </row>
        <row r="44">
          <cell r="B44">
            <v>45747</v>
          </cell>
          <cell r="C44">
            <v>45658</v>
          </cell>
        </row>
        <row r="45">
          <cell r="B45">
            <v>45838</v>
          </cell>
          <cell r="C45">
            <v>45748</v>
          </cell>
        </row>
        <row r="46">
          <cell r="B46">
            <v>45930</v>
          </cell>
          <cell r="C46">
            <v>45839</v>
          </cell>
        </row>
        <row r="47">
          <cell r="B47">
            <v>46022</v>
          </cell>
          <cell r="C47">
            <v>45931</v>
          </cell>
        </row>
        <row r="48">
          <cell r="B48">
            <v>46112</v>
          </cell>
          <cell r="C48">
            <v>46023</v>
          </cell>
        </row>
        <row r="49">
          <cell r="B49">
            <v>46203</v>
          </cell>
          <cell r="C49">
            <v>46113</v>
          </cell>
        </row>
        <row r="50">
          <cell r="B50">
            <v>46295</v>
          </cell>
          <cell r="C50">
            <v>46204</v>
          </cell>
        </row>
        <row r="51">
          <cell r="B51">
            <v>46387</v>
          </cell>
          <cell r="C51">
            <v>46296</v>
          </cell>
        </row>
        <row r="52">
          <cell r="B52">
            <v>46477</v>
          </cell>
          <cell r="C52">
            <v>46388</v>
          </cell>
        </row>
        <row r="53">
          <cell r="B53">
            <v>46568</v>
          </cell>
          <cell r="C53">
            <v>46478</v>
          </cell>
        </row>
        <row r="54">
          <cell r="B54">
            <v>46660</v>
          </cell>
          <cell r="C54">
            <v>46569</v>
          </cell>
        </row>
        <row r="55">
          <cell r="B55">
            <v>46752</v>
          </cell>
          <cell r="C55">
            <v>46661</v>
          </cell>
        </row>
        <row r="56">
          <cell r="B56">
            <v>46843</v>
          </cell>
          <cell r="C56">
            <v>46753</v>
          </cell>
        </row>
        <row r="57">
          <cell r="B57">
            <v>46934</v>
          </cell>
          <cell r="C57">
            <v>46844</v>
          </cell>
        </row>
        <row r="58">
          <cell r="B58">
            <v>47026</v>
          </cell>
          <cell r="C58">
            <v>46935</v>
          </cell>
        </row>
        <row r="59">
          <cell r="B59">
            <v>47118</v>
          </cell>
          <cell r="C59">
            <v>47027</v>
          </cell>
        </row>
        <row r="60">
          <cell r="B60">
            <v>47208</v>
          </cell>
          <cell r="C60">
            <v>47119</v>
          </cell>
        </row>
        <row r="61">
          <cell r="B61">
            <v>47299</v>
          </cell>
          <cell r="C61">
            <v>47209</v>
          </cell>
        </row>
        <row r="62">
          <cell r="B62">
            <v>47391</v>
          </cell>
          <cell r="C62">
            <v>47300</v>
          </cell>
        </row>
        <row r="63">
          <cell r="B63">
            <v>47483</v>
          </cell>
          <cell r="C63">
            <v>47392</v>
          </cell>
        </row>
        <row r="64">
          <cell r="B64">
            <v>47573</v>
          </cell>
          <cell r="C64">
            <v>47484</v>
          </cell>
        </row>
        <row r="65">
          <cell r="B65">
            <v>47664</v>
          </cell>
          <cell r="C65">
            <v>47574</v>
          </cell>
        </row>
        <row r="66">
          <cell r="B66">
            <v>47756</v>
          </cell>
          <cell r="C66">
            <v>47665</v>
          </cell>
        </row>
        <row r="67">
          <cell r="B67">
            <v>47848</v>
          </cell>
          <cell r="C67">
            <v>47757</v>
          </cell>
        </row>
        <row r="68">
          <cell r="B68">
            <v>47938</v>
          </cell>
          <cell r="C68">
            <v>47849</v>
          </cell>
        </row>
        <row r="69">
          <cell r="B69">
            <v>48029</v>
          </cell>
          <cell r="C69">
            <v>47939</v>
          </cell>
        </row>
        <row r="70">
          <cell r="B70">
            <v>48121</v>
          </cell>
          <cell r="C70">
            <v>48030</v>
          </cell>
        </row>
        <row r="71">
          <cell r="B71">
            <v>48213</v>
          </cell>
          <cell r="C71">
            <v>48122</v>
          </cell>
        </row>
        <row r="72">
          <cell r="B72">
            <v>48304</v>
          </cell>
          <cell r="C72">
            <v>48214</v>
          </cell>
        </row>
        <row r="73">
          <cell r="B73">
            <v>48395</v>
          </cell>
          <cell r="C73">
            <v>48305</v>
          </cell>
        </row>
        <row r="74">
          <cell r="B74">
            <v>48487</v>
          </cell>
          <cell r="C74">
            <v>48396</v>
          </cell>
        </row>
        <row r="75">
          <cell r="B75">
            <v>48579</v>
          </cell>
          <cell r="C75">
            <v>48488</v>
          </cell>
        </row>
        <row r="76">
          <cell r="B76">
            <v>48669</v>
          </cell>
          <cell r="C76">
            <v>48580</v>
          </cell>
        </row>
        <row r="77">
          <cell r="B77">
            <v>48760</v>
          </cell>
          <cell r="C77">
            <v>48670</v>
          </cell>
        </row>
        <row r="78">
          <cell r="B78">
            <v>48852</v>
          </cell>
          <cell r="C78">
            <v>48761</v>
          </cell>
        </row>
        <row r="79">
          <cell r="B79">
            <v>48944</v>
          </cell>
          <cell r="C79">
            <v>48853</v>
          </cell>
        </row>
        <row r="80">
          <cell r="B80">
            <v>49034</v>
          </cell>
          <cell r="C80">
            <v>48945</v>
          </cell>
        </row>
        <row r="81">
          <cell r="B81">
            <v>49125</v>
          </cell>
          <cell r="C81">
            <v>49035</v>
          </cell>
        </row>
        <row r="82">
          <cell r="B82">
            <v>49217</v>
          </cell>
          <cell r="C82">
            <v>49126</v>
          </cell>
        </row>
        <row r="83">
          <cell r="B83">
            <v>49309</v>
          </cell>
          <cell r="C83">
            <v>49218</v>
          </cell>
        </row>
        <row r="84">
          <cell r="B84">
            <v>49399</v>
          </cell>
          <cell r="C84">
            <v>49310</v>
          </cell>
        </row>
        <row r="85">
          <cell r="B85">
            <v>49490</v>
          </cell>
          <cell r="C85">
            <v>49400</v>
          </cell>
        </row>
        <row r="86">
          <cell r="B86">
            <v>49582</v>
          </cell>
          <cell r="C86">
            <v>49491</v>
          </cell>
        </row>
        <row r="87">
          <cell r="B87">
            <v>49674</v>
          </cell>
          <cell r="C87">
            <v>49583</v>
          </cell>
        </row>
        <row r="88">
          <cell r="B88">
            <v>49765</v>
          </cell>
          <cell r="C88">
            <v>49675</v>
          </cell>
        </row>
        <row r="89">
          <cell r="B89">
            <v>49856</v>
          </cell>
          <cell r="C89">
            <v>49766</v>
          </cell>
        </row>
        <row r="90">
          <cell r="B90">
            <v>49948</v>
          </cell>
          <cell r="C90">
            <v>49857</v>
          </cell>
        </row>
        <row r="91">
          <cell r="B91">
            <v>50040</v>
          </cell>
          <cell r="C91">
            <v>49949</v>
          </cell>
        </row>
        <row r="92">
          <cell r="B92">
            <v>50130</v>
          </cell>
          <cell r="C92">
            <v>50041</v>
          </cell>
        </row>
        <row r="93">
          <cell r="B93">
            <v>50221</v>
          </cell>
          <cell r="C93">
            <v>50131</v>
          </cell>
        </row>
        <row r="94">
          <cell r="B94">
            <v>50313</v>
          </cell>
          <cell r="C94">
            <v>50222</v>
          </cell>
        </row>
        <row r="95">
          <cell r="B95">
            <v>50405</v>
          </cell>
          <cell r="C95">
            <v>50314</v>
          </cell>
        </row>
        <row r="96">
          <cell r="B96">
            <v>50495</v>
          </cell>
          <cell r="C96">
            <v>50406</v>
          </cell>
        </row>
        <row r="97">
          <cell r="B97">
            <v>50586</v>
          </cell>
          <cell r="C97">
            <v>50496</v>
          </cell>
        </row>
        <row r="98">
          <cell r="B98">
            <v>50678</v>
          </cell>
          <cell r="C98">
            <v>50587</v>
          </cell>
        </row>
        <row r="99">
          <cell r="B99">
            <v>50770</v>
          </cell>
          <cell r="C99">
            <v>50679</v>
          </cell>
        </row>
        <row r="100">
          <cell r="B100">
            <v>50860</v>
          </cell>
          <cell r="C100">
            <v>50771</v>
          </cell>
        </row>
        <row r="101">
          <cell r="B101">
            <v>50951</v>
          </cell>
          <cell r="C101">
            <v>50861</v>
          </cell>
        </row>
        <row r="102">
          <cell r="B102">
            <v>51043</v>
          </cell>
          <cell r="C102">
            <v>50952</v>
          </cell>
        </row>
        <row r="103">
          <cell r="B103">
            <v>51135</v>
          </cell>
          <cell r="C103">
            <v>51044</v>
          </cell>
        </row>
        <row r="104">
          <cell r="B104">
            <v>51226</v>
          </cell>
          <cell r="C104">
            <v>51136</v>
          </cell>
        </row>
        <row r="105">
          <cell r="B105">
            <v>51317</v>
          </cell>
          <cell r="C105">
            <v>51227</v>
          </cell>
        </row>
        <row r="106">
          <cell r="B106">
            <v>51409</v>
          </cell>
          <cell r="C106">
            <v>51318</v>
          </cell>
        </row>
        <row r="107">
          <cell r="B107">
            <v>51501</v>
          </cell>
          <cell r="C107">
            <v>51410</v>
          </cell>
        </row>
        <row r="108">
          <cell r="B108">
            <v>51591</v>
          </cell>
          <cell r="C108">
            <v>51502</v>
          </cell>
        </row>
        <row r="109">
          <cell r="B109">
            <v>51682</v>
          </cell>
          <cell r="C109">
            <v>51592</v>
          </cell>
        </row>
        <row r="110">
          <cell r="B110">
            <v>51774</v>
          </cell>
          <cell r="C110">
            <v>51683</v>
          </cell>
        </row>
        <row r="111">
          <cell r="B111">
            <v>51866</v>
          </cell>
          <cell r="C111">
            <v>51775</v>
          </cell>
        </row>
        <row r="112">
          <cell r="B112">
            <v>51956</v>
          </cell>
          <cell r="C112">
            <v>51867</v>
          </cell>
        </row>
        <row r="113">
          <cell r="B113">
            <v>52047</v>
          </cell>
          <cell r="C113">
            <v>51957</v>
          </cell>
        </row>
        <row r="114">
          <cell r="B114">
            <v>52139</v>
          </cell>
          <cell r="C114">
            <v>52048</v>
          </cell>
        </row>
        <row r="115">
          <cell r="B115">
            <v>52231</v>
          </cell>
          <cell r="C115">
            <v>52140</v>
          </cell>
        </row>
        <row r="116">
          <cell r="B116">
            <v>52321</v>
          </cell>
          <cell r="C116">
            <v>52232</v>
          </cell>
        </row>
        <row r="117">
          <cell r="B117">
            <v>52412</v>
          </cell>
          <cell r="C117">
            <v>52322</v>
          </cell>
        </row>
        <row r="118">
          <cell r="B118">
            <v>52504</v>
          </cell>
          <cell r="C118">
            <v>52413</v>
          </cell>
        </row>
        <row r="119">
          <cell r="B119">
            <v>52596</v>
          </cell>
          <cell r="C119">
            <v>52505</v>
          </cell>
        </row>
        <row r="120">
          <cell r="B120">
            <v>52687</v>
          </cell>
          <cell r="C120">
            <v>52597</v>
          </cell>
        </row>
        <row r="121">
          <cell r="B121">
            <v>52778</v>
          </cell>
          <cell r="C121">
            <v>52688</v>
          </cell>
        </row>
        <row r="122">
          <cell r="B122">
            <v>52870</v>
          </cell>
          <cell r="C122">
            <v>52779</v>
          </cell>
        </row>
        <row r="123">
          <cell r="B123">
            <v>52962</v>
          </cell>
          <cell r="C123">
            <v>52871</v>
          </cell>
        </row>
        <row r="124">
          <cell r="B124">
            <v>53052</v>
          </cell>
          <cell r="C124">
            <v>52963</v>
          </cell>
        </row>
        <row r="125">
          <cell r="B125">
            <v>53143</v>
          </cell>
          <cell r="C125">
            <v>53053</v>
          </cell>
        </row>
        <row r="126">
          <cell r="B126">
            <v>53235</v>
          </cell>
          <cell r="C126">
            <v>53144</v>
          </cell>
        </row>
        <row r="127">
          <cell r="B127">
            <v>53327</v>
          </cell>
          <cell r="C127">
            <v>53236</v>
          </cell>
        </row>
        <row r="128">
          <cell r="B128">
            <v>53417</v>
          </cell>
          <cell r="C128">
            <v>53328</v>
          </cell>
        </row>
        <row r="129">
          <cell r="B129">
            <v>53508</v>
          </cell>
          <cell r="C129">
            <v>53418</v>
          </cell>
        </row>
        <row r="130">
          <cell r="B130">
            <v>53600</v>
          </cell>
          <cell r="C130">
            <v>53509</v>
          </cell>
        </row>
        <row r="131">
          <cell r="B131">
            <v>53692</v>
          </cell>
          <cell r="C131">
            <v>53601</v>
          </cell>
        </row>
        <row r="132">
          <cell r="B132">
            <v>53782</v>
          </cell>
          <cell r="C132">
            <v>53693</v>
          </cell>
        </row>
        <row r="133">
          <cell r="B133">
            <v>53873</v>
          </cell>
          <cell r="C133">
            <v>53783</v>
          </cell>
        </row>
        <row r="134">
          <cell r="B134">
            <v>53965</v>
          </cell>
          <cell r="C134">
            <v>53874</v>
          </cell>
        </row>
        <row r="135">
          <cell r="B135">
            <v>54057</v>
          </cell>
          <cell r="C135">
            <v>53966</v>
          </cell>
        </row>
        <row r="136">
          <cell r="B136">
            <v>54148</v>
          </cell>
          <cell r="C136">
            <v>54058</v>
          </cell>
        </row>
        <row r="137">
          <cell r="B137">
            <v>54239</v>
          </cell>
          <cell r="C137">
            <v>54149</v>
          </cell>
        </row>
        <row r="138">
          <cell r="B138">
            <v>54331</v>
          </cell>
          <cell r="C138">
            <v>54240</v>
          </cell>
        </row>
        <row r="139">
          <cell r="B139">
            <v>54423</v>
          </cell>
          <cell r="C139">
            <v>54332</v>
          </cell>
        </row>
        <row r="140">
          <cell r="B140">
            <v>54513</v>
          </cell>
          <cell r="C140">
            <v>54424</v>
          </cell>
        </row>
        <row r="141">
          <cell r="B141">
            <v>54604</v>
          </cell>
          <cell r="C141">
            <v>54514</v>
          </cell>
        </row>
        <row r="142">
          <cell r="B142">
            <v>54696</v>
          </cell>
          <cell r="C142">
            <v>54605</v>
          </cell>
        </row>
        <row r="143">
          <cell r="B143">
            <v>54788</v>
          </cell>
          <cell r="C143">
            <v>54697</v>
          </cell>
        </row>
        <row r="144">
          <cell r="B144">
            <v>54878</v>
          </cell>
          <cell r="C144">
            <v>54789</v>
          </cell>
        </row>
        <row r="145">
          <cell r="B145">
            <v>54969</v>
          </cell>
          <cell r="C145">
            <v>54879</v>
          </cell>
        </row>
        <row r="146">
          <cell r="B146">
            <v>55061</v>
          </cell>
          <cell r="C146">
            <v>54970</v>
          </cell>
        </row>
        <row r="147">
          <cell r="B147">
            <v>55153</v>
          </cell>
          <cell r="C147">
            <v>55062</v>
          </cell>
        </row>
        <row r="148">
          <cell r="B148">
            <v>55243</v>
          </cell>
          <cell r="C148">
            <v>55154</v>
          </cell>
        </row>
        <row r="149">
          <cell r="B149">
            <v>55334</v>
          </cell>
          <cell r="C149">
            <v>55244</v>
          </cell>
        </row>
        <row r="150">
          <cell r="B150">
            <v>55426</v>
          </cell>
          <cell r="C150">
            <v>55335</v>
          </cell>
        </row>
        <row r="151">
          <cell r="B151">
            <v>55518</v>
          </cell>
          <cell r="C151">
            <v>55427</v>
          </cell>
        </row>
        <row r="152">
          <cell r="B152">
            <v>55609</v>
          </cell>
          <cell r="C152">
            <v>55519</v>
          </cell>
        </row>
        <row r="153">
          <cell r="B153">
            <v>55700</v>
          </cell>
          <cell r="C153">
            <v>55610</v>
          </cell>
        </row>
        <row r="154">
          <cell r="B154">
            <v>55792</v>
          </cell>
          <cell r="C154">
            <v>55701</v>
          </cell>
        </row>
        <row r="155">
          <cell r="B155">
            <v>55884</v>
          </cell>
          <cell r="C155">
            <v>55793</v>
          </cell>
        </row>
        <row r="156">
          <cell r="B156">
            <v>55974</v>
          </cell>
          <cell r="C156">
            <v>55885</v>
          </cell>
        </row>
        <row r="157">
          <cell r="B157">
            <v>56065</v>
          </cell>
          <cell r="C157">
            <v>55975</v>
          </cell>
        </row>
        <row r="158">
          <cell r="B158">
            <v>56157</v>
          </cell>
          <cell r="C158">
            <v>56066</v>
          </cell>
        </row>
        <row r="159">
          <cell r="B159">
            <v>56249</v>
          </cell>
          <cell r="C159">
            <v>56158</v>
          </cell>
        </row>
        <row r="160">
          <cell r="B160">
            <v>56339</v>
          </cell>
          <cell r="C160">
            <v>56250</v>
          </cell>
        </row>
        <row r="161">
          <cell r="B161">
            <v>56430</v>
          </cell>
          <cell r="C161">
            <v>56340</v>
          </cell>
        </row>
        <row r="162">
          <cell r="B162">
            <v>56522</v>
          </cell>
          <cell r="C162">
            <v>56431</v>
          </cell>
        </row>
        <row r="163">
          <cell r="B163">
            <v>56614</v>
          </cell>
          <cell r="C163">
            <v>56523</v>
          </cell>
        </row>
        <row r="164">
          <cell r="B164">
            <v>56704</v>
          </cell>
          <cell r="C164">
            <v>56615</v>
          </cell>
        </row>
        <row r="165">
          <cell r="B165">
            <v>56795</v>
          </cell>
          <cell r="C165">
            <v>56705</v>
          </cell>
        </row>
        <row r="166">
          <cell r="B166">
            <v>56887</v>
          </cell>
          <cell r="C166">
            <v>56796</v>
          </cell>
        </row>
        <row r="169">
          <cell r="B169" t="str">
            <v>Normalization</v>
          </cell>
        </row>
        <row r="170">
          <cell r="B170" t="str">
            <v>Flow through</v>
          </cell>
        </row>
        <row r="173">
          <cell r="B173" t="str">
            <v>Income</v>
          </cell>
        </row>
        <row r="174">
          <cell r="B174" t="str">
            <v>Ratebase</v>
          </cell>
        </row>
        <row r="175">
          <cell r="B175" t="str">
            <v>Both Income and Ratebase</v>
          </cell>
        </row>
        <row r="178">
          <cell r="B178" t="str">
            <v>DEC</v>
          </cell>
        </row>
        <row r="179">
          <cell r="B179" t="str">
            <v>DEP</v>
          </cell>
        </row>
        <row r="180">
          <cell r="B180" t="str">
            <v>DEF</v>
          </cell>
        </row>
        <row r="181">
          <cell r="B181" t="str">
            <v>DEI</v>
          </cell>
        </row>
        <row r="182">
          <cell r="B182" t="str">
            <v>DEO</v>
          </cell>
        </row>
        <row r="183">
          <cell r="B183" t="str">
            <v>DEK</v>
          </cell>
        </row>
        <row r="186">
          <cell r="B186" t="str">
            <v>DEC - NC</v>
          </cell>
          <cell r="C186" t="str">
            <v>DEC</v>
          </cell>
        </row>
        <row r="187">
          <cell r="B187" t="str">
            <v>DEC - SC</v>
          </cell>
          <cell r="C187" t="str">
            <v>DEC</v>
          </cell>
        </row>
        <row r="188">
          <cell r="B188" t="str">
            <v>DEP - NC</v>
          </cell>
          <cell r="C188" t="str">
            <v>DEP</v>
          </cell>
        </row>
        <row r="189">
          <cell r="B189" t="str">
            <v>DEP - SC</v>
          </cell>
          <cell r="C189" t="str">
            <v>DEP</v>
          </cell>
        </row>
        <row r="190">
          <cell r="B190" t="str">
            <v>DEF - FL</v>
          </cell>
          <cell r="C190" t="str">
            <v>DEF</v>
          </cell>
        </row>
        <row r="191">
          <cell r="B191" t="str">
            <v>DEI - IN</v>
          </cell>
          <cell r="C191" t="str">
            <v>DEI</v>
          </cell>
        </row>
        <row r="192">
          <cell r="B192" t="str">
            <v>DEO - OH</v>
          </cell>
          <cell r="C192" t="str">
            <v>DEO</v>
          </cell>
        </row>
        <row r="193">
          <cell r="B193" t="str">
            <v>DEK - KY</v>
          </cell>
          <cell r="C193" t="str">
            <v>DEK</v>
          </cell>
        </row>
        <row r="196">
          <cell r="B196" t="str">
            <v>FL</v>
          </cell>
          <cell r="C196" t="str">
            <v>Rate Base</v>
          </cell>
        </row>
        <row r="197">
          <cell r="B197" t="str">
            <v>IN</v>
          </cell>
          <cell r="C197" t="str">
            <v>Capitalization</v>
          </cell>
        </row>
        <row r="198">
          <cell r="B198" t="str">
            <v>KY</v>
          </cell>
          <cell r="C198" t="str">
            <v>Rate Base</v>
          </cell>
        </row>
        <row r="199">
          <cell r="B199" t="str">
            <v>NC</v>
          </cell>
          <cell r="C199" t="str">
            <v>Rate Base</v>
          </cell>
        </row>
        <row r="200">
          <cell r="B200" t="str">
            <v>OH</v>
          </cell>
          <cell r="C200" t="str">
            <v>Unknown</v>
          </cell>
        </row>
        <row r="201">
          <cell r="B201" t="str">
            <v>SC</v>
          </cell>
          <cell r="C201" t="str">
            <v>Rate Base</v>
          </cell>
        </row>
        <row r="223">
          <cell r="B223" t="str">
            <v>Gross Book Value</v>
          </cell>
        </row>
        <row r="224">
          <cell r="B224" t="str">
            <v>Net Book Value WithOUT Minimum</v>
          </cell>
        </row>
        <row r="225">
          <cell r="B225" t="str">
            <v>Net Book Value WITH Minimum</v>
          </cell>
        </row>
        <row r="228">
          <cell r="B228" t="str">
            <v>YES</v>
          </cell>
        </row>
        <row r="229">
          <cell r="B229" t="str">
            <v>NO</v>
          </cell>
        </row>
        <row r="232">
          <cell r="B232" t="str">
            <v>PPA</v>
          </cell>
        </row>
        <row r="233">
          <cell r="B233" t="str">
            <v>Regulated</v>
          </cell>
        </row>
        <row r="236">
          <cell r="B236" t="str">
            <v>Initial Test Year</v>
          </cell>
        </row>
        <row r="237">
          <cell r="B237" t="str">
            <v>6-Month Lag</v>
          </cell>
        </row>
        <row r="240">
          <cell r="B240" t="str">
            <v>N/A</v>
          </cell>
        </row>
        <row r="241">
          <cell r="B241">
            <v>42735</v>
          </cell>
        </row>
        <row r="242">
          <cell r="B242">
            <v>42825</v>
          </cell>
        </row>
        <row r="243">
          <cell r="B243">
            <v>42916</v>
          </cell>
        </row>
        <row r="244">
          <cell r="B244">
            <v>43008</v>
          </cell>
        </row>
        <row r="245">
          <cell r="B245">
            <v>43100</v>
          </cell>
        </row>
        <row r="246">
          <cell r="B246">
            <v>43190</v>
          </cell>
        </row>
        <row r="247">
          <cell r="B247">
            <v>43281</v>
          </cell>
        </row>
        <row r="248">
          <cell r="B248">
            <v>43373</v>
          </cell>
        </row>
        <row r="249">
          <cell r="B249">
            <v>43465</v>
          </cell>
        </row>
        <row r="250">
          <cell r="B250">
            <v>43555</v>
          </cell>
        </row>
        <row r="251">
          <cell r="B251">
            <v>43646</v>
          </cell>
        </row>
        <row r="252">
          <cell r="B252">
            <v>43738</v>
          </cell>
        </row>
        <row r="253">
          <cell r="B253">
            <v>43830</v>
          </cell>
        </row>
        <row r="254">
          <cell r="B254">
            <v>43921</v>
          </cell>
        </row>
        <row r="255">
          <cell r="B255">
            <v>44012</v>
          </cell>
        </row>
        <row r="256">
          <cell r="B256">
            <v>44104</v>
          </cell>
        </row>
        <row r="257">
          <cell r="B257">
            <v>44196</v>
          </cell>
        </row>
        <row r="258">
          <cell r="B258">
            <v>44286</v>
          </cell>
        </row>
        <row r="259">
          <cell r="B259">
            <v>44377</v>
          </cell>
        </row>
        <row r="260">
          <cell r="B260">
            <v>44469</v>
          </cell>
        </row>
        <row r="261">
          <cell r="B261">
            <v>44561</v>
          </cell>
        </row>
        <row r="262">
          <cell r="B262">
            <v>44651</v>
          </cell>
        </row>
        <row r="263">
          <cell r="B263">
            <v>44742</v>
          </cell>
        </row>
        <row r="264">
          <cell r="B264">
            <v>44834</v>
          </cell>
        </row>
        <row r="265">
          <cell r="B265" t="str">
            <v>TBD</v>
          </cell>
        </row>
        <row r="268">
          <cell r="B268" t="str">
            <v>Perfect</v>
          </cell>
        </row>
        <row r="269">
          <cell r="B269" t="str">
            <v>Rate Cases</v>
          </cell>
        </row>
        <row r="282">
          <cell r="B282" t="str">
            <v>TBD</v>
          </cell>
        </row>
        <row r="285">
          <cell r="B285" t="str">
            <v>Solar PV</v>
          </cell>
        </row>
        <row r="286">
          <cell r="B286" t="str">
            <v>CHP</v>
          </cell>
        </row>
        <row r="287">
          <cell r="B287" t="str">
            <v>EV Charging Stations</v>
          </cell>
        </row>
        <row r="288">
          <cell r="B288" t="str">
            <v>Battery</v>
          </cell>
        </row>
        <row r="289">
          <cell r="B289" t="str">
            <v>PHEV</v>
          </cell>
        </row>
        <row r="290">
          <cell r="B290" t="str">
            <v>Conversions to PHEV</v>
          </cell>
        </row>
        <row r="291">
          <cell r="B291" t="str">
            <v>Wind</v>
          </cell>
        </row>
        <row r="292">
          <cell r="B292" t="str">
            <v>Biomass - Closed Loop</v>
          </cell>
        </row>
        <row r="293">
          <cell r="B293" t="str">
            <v>Biomass - Open Loop</v>
          </cell>
        </row>
        <row r="294">
          <cell r="B294" t="str">
            <v>Geothermal</v>
          </cell>
        </row>
        <row r="295">
          <cell r="B295" t="str">
            <v>Small Irrigation Power</v>
          </cell>
        </row>
        <row r="296">
          <cell r="B296" t="str">
            <v>Municipal Solid Waste</v>
          </cell>
        </row>
        <row r="297">
          <cell r="B297" t="str">
            <v>Incremental Hydropower</v>
          </cell>
        </row>
        <row r="298">
          <cell r="B298" t="str">
            <v>Refined Coal</v>
          </cell>
        </row>
        <row r="299">
          <cell r="B299" t="str">
            <v>Indian Coal</v>
          </cell>
        </row>
        <row r="300">
          <cell r="B300" t="str">
            <v>TBD</v>
          </cell>
        </row>
        <row r="303">
          <cell r="B303" t="str">
            <v>Percentage</v>
          </cell>
        </row>
        <row r="304">
          <cell r="B304" t="str">
            <v>$/kWdc</v>
          </cell>
        </row>
        <row r="305">
          <cell r="B305" t="str">
            <v>$/kWac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apcost"/>
      <sheetName val="capcr"/>
      <sheetName val="energy"/>
      <sheetName val="workcap"/>
      <sheetName val="SUMM"/>
      <sheetName val="SUMM 30 year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7CEA-1C1E-4AAD-9040-4FEB07A70C99}">
  <sheetPr>
    <tabColor rgb="FFFFFF00"/>
  </sheetPr>
  <dimension ref="A1:AN105"/>
  <sheetViews>
    <sheetView tabSelected="1" zoomScale="75" zoomScaleNormal="75" workbookViewId="0"/>
  </sheetViews>
  <sheetFormatPr defaultColWidth="10" defaultRowHeight="14.5" x14ac:dyDescent="0.35"/>
  <cols>
    <col min="1" max="1" width="25.453125" style="1" customWidth="1"/>
    <col min="2" max="2" width="18" style="1" customWidth="1"/>
    <col min="3" max="3" width="40.81640625" style="1" customWidth="1"/>
    <col min="4" max="4" width="22" style="1" customWidth="1"/>
    <col min="5" max="5" width="16.1796875" style="1" customWidth="1"/>
    <col min="6" max="7" width="13.81640625" style="1" customWidth="1"/>
    <col min="8" max="8" width="16.54296875" style="1" customWidth="1"/>
    <col min="9" max="9" width="16.1796875" style="1" bestFit="1" customWidth="1"/>
    <col min="10" max="14" width="13.81640625" style="1" customWidth="1"/>
    <col min="15" max="15" width="15.26953125" style="1" customWidth="1"/>
    <col min="16" max="34" width="13.81640625" style="1" customWidth="1"/>
    <col min="35" max="35" width="15.453125" style="1" customWidth="1"/>
    <col min="36" max="36" width="16.81640625" style="1" customWidth="1"/>
    <col min="37" max="37" width="15.1796875" style="1" customWidth="1"/>
    <col min="38" max="38" width="10" style="1"/>
    <col min="39" max="39" width="11.7265625" style="1" customWidth="1"/>
    <col min="40" max="16384" width="10" style="1"/>
  </cols>
  <sheetData>
    <row r="1" spans="2:40" ht="15" thickBot="1" x14ac:dyDescent="0.4"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2:40" x14ac:dyDescent="0.35">
      <c r="B2" s="147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2:40" x14ac:dyDescent="0.35">
      <c r="B3" s="4"/>
      <c r="C3" s="2"/>
      <c r="D3" s="2"/>
      <c r="E3" s="5"/>
      <c r="F3" s="2"/>
      <c r="G3" s="2"/>
      <c r="H3" s="2"/>
      <c r="I3" s="6"/>
      <c r="J3" s="7" t="s">
        <v>1</v>
      </c>
      <c r="K3" s="8"/>
      <c r="L3" s="8"/>
      <c r="M3" s="8"/>
      <c r="O3" s="9"/>
      <c r="P3" s="149" t="s">
        <v>2</v>
      </c>
      <c r="Q3" s="149"/>
      <c r="R3" s="10"/>
      <c r="U3" s="11" t="s">
        <v>3</v>
      </c>
      <c r="V3" s="12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M3" s="150" t="s">
        <v>4</v>
      </c>
      <c r="AN3" s="151"/>
    </row>
    <row r="4" spans="2:40" ht="15" customHeight="1" x14ac:dyDescent="0.35">
      <c r="B4" s="130">
        <f>SUM(D33:AK33)+SUM(D34:AK34)</f>
        <v>700000</v>
      </c>
      <c r="C4" s="8" t="s">
        <v>5</v>
      </c>
      <c r="D4" s="13"/>
      <c r="E4" s="131">
        <f>F8*T5</f>
        <v>36509.256000000001</v>
      </c>
      <c r="F4" s="8" t="s">
        <v>6</v>
      </c>
      <c r="G4" s="8"/>
      <c r="H4" s="132">
        <v>149.80000000000001</v>
      </c>
      <c r="I4" s="6" t="s">
        <v>7</v>
      </c>
      <c r="J4" s="6" t="s">
        <v>8</v>
      </c>
      <c r="K4" s="133">
        <f>H4/(H4/2)</f>
        <v>2</v>
      </c>
      <c r="L4" s="8" t="s">
        <v>9</v>
      </c>
      <c r="M4" s="14"/>
      <c r="N4" s="81"/>
      <c r="O4" s="15" t="s">
        <v>10</v>
      </c>
      <c r="P4" s="16" t="s">
        <v>11</v>
      </c>
      <c r="Q4" s="16" t="s">
        <v>12</v>
      </c>
      <c r="R4" s="16" t="s">
        <v>13</v>
      </c>
      <c r="T4" s="16" t="s">
        <v>11</v>
      </c>
      <c r="U4" s="16" t="s">
        <v>12</v>
      </c>
      <c r="V4" s="16" t="s">
        <v>13</v>
      </c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M4" s="17" t="s">
        <v>14</v>
      </c>
      <c r="AN4" s="17" t="s">
        <v>15</v>
      </c>
    </row>
    <row r="5" spans="2:40" x14ac:dyDescent="0.35">
      <c r="B5" s="130">
        <f>SUM(D41:AK41)</f>
        <v>10536448.984571252</v>
      </c>
      <c r="C5" s="18" t="s">
        <v>16</v>
      </c>
      <c r="D5" s="13"/>
      <c r="E5" s="131">
        <f>F8*U5</f>
        <v>1318164.1013333334</v>
      </c>
      <c r="F5" s="8" t="s">
        <v>17</v>
      </c>
      <c r="G5" s="8"/>
      <c r="H5" s="132">
        <v>299.60000000000002</v>
      </c>
      <c r="I5" s="6" t="s">
        <v>18</v>
      </c>
      <c r="J5" s="6" t="s">
        <v>8</v>
      </c>
      <c r="K5" s="133">
        <f>H5/(H5/4)</f>
        <v>4</v>
      </c>
      <c r="L5" s="8" t="s">
        <v>19</v>
      </c>
      <c r="M5" s="19"/>
      <c r="N5" s="81"/>
      <c r="O5" s="15">
        <v>450</v>
      </c>
      <c r="P5" s="20">
        <f>$O5*T$5</f>
        <v>21934.799999999999</v>
      </c>
      <c r="Q5" s="20">
        <f t="shared" ref="Q5:R7" si="0">$O5*U$5</f>
        <v>791954.4</v>
      </c>
      <c r="R5" s="20">
        <f t="shared" si="0"/>
        <v>190443</v>
      </c>
      <c r="T5" s="21">
        <v>48.744</v>
      </c>
      <c r="U5" s="21">
        <v>1759.8986666666667</v>
      </c>
      <c r="V5" s="21">
        <v>423.20666666666665</v>
      </c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M5" s="22" t="s">
        <v>8</v>
      </c>
      <c r="AN5" s="23">
        <f>12/12</f>
        <v>1</v>
      </c>
    </row>
    <row r="6" spans="2:40" ht="15" customHeight="1" x14ac:dyDescent="0.35">
      <c r="B6" s="130">
        <f>SUM(D67:AK67)</f>
        <v>2133538.9564533345</v>
      </c>
      <c r="C6" s="8" t="s">
        <v>20</v>
      </c>
      <c r="D6" s="13"/>
      <c r="E6" s="131">
        <f>F8*V5</f>
        <v>316981.79333333333</v>
      </c>
      <c r="F6" s="8" t="s">
        <v>21</v>
      </c>
      <c r="G6" s="134"/>
      <c r="H6" s="132">
        <f>H5</f>
        <v>299.60000000000002</v>
      </c>
      <c r="I6" s="6" t="s">
        <v>22</v>
      </c>
      <c r="J6" s="6" t="s">
        <v>8</v>
      </c>
      <c r="K6" s="133">
        <f>H6/(H6/4)</f>
        <v>4</v>
      </c>
      <c r="L6" s="8" t="s">
        <v>23</v>
      </c>
      <c r="M6" s="8"/>
      <c r="N6" s="81"/>
      <c r="O6" s="15">
        <v>600</v>
      </c>
      <c r="P6" s="20">
        <f t="shared" ref="P6:P7" si="1">$O6*T$5</f>
        <v>29246.400000000001</v>
      </c>
      <c r="Q6" s="20">
        <f t="shared" si="0"/>
        <v>1055939.2</v>
      </c>
      <c r="R6" s="20">
        <f t="shared" si="0"/>
        <v>253924</v>
      </c>
      <c r="T6" s="24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M6" s="22" t="s">
        <v>24</v>
      </c>
      <c r="AN6" s="23">
        <f>11/12</f>
        <v>0.91666666666666663</v>
      </c>
    </row>
    <row r="7" spans="2:40" ht="16" x14ac:dyDescent="0.5">
      <c r="B7" s="135">
        <f>SUM(D74:AK74)</f>
        <v>3263915.8940000013</v>
      </c>
      <c r="C7" s="25" t="s">
        <v>25</v>
      </c>
      <c r="D7" s="26"/>
      <c r="E7" s="27"/>
      <c r="F7" s="8"/>
      <c r="G7" s="8"/>
      <c r="H7" s="136">
        <v>2351</v>
      </c>
      <c r="I7" s="6" t="s">
        <v>26</v>
      </c>
      <c r="J7" s="8"/>
      <c r="K7" s="8"/>
      <c r="L7" s="8"/>
      <c r="M7" s="8"/>
      <c r="N7" s="8"/>
      <c r="O7" s="15">
        <v>750</v>
      </c>
      <c r="P7" s="20">
        <f t="shared" si="1"/>
        <v>36558</v>
      </c>
      <c r="Q7" s="20">
        <f t="shared" si="0"/>
        <v>1319924</v>
      </c>
      <c r="R7" s="20">
        <f t="shared" si="0"/>
        <v>317405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M7" s="22" t="s">
        <v>27</v>
      </c>
      <c r="AN7" s="23">
        <f>10/12</f>
        <v>0.83333333333333337</v>
      </c>
    </row>
    <row r="8" spans="2:40" x14ac:dyDescent="0.35">
      <c r="B8" s="137">
        <f>SUM(B4:B7)</f>
        <v>16633903.835024588</v>
      </c>
      <c r="C8" s="138"/>
      <c r="D8" s="139"/>
      <c r="E8" s="28" t="s">
        <v>28</v>
      </c>
      <c r="F8" s="15">
        <v>749</v>
      </c>
      <c r="G8" s="8"/>
      <c r="H8" s="8"/>
      <c r="I8" s="8"/>
      <c r="J8" s="8"/>
      <c r="K8" s="8"/>
      <c r="L8" s="8"/>
      <c r="M8" s="8"/>
      <c r="N8" s="8"/>
      <c r="O8" s="2"/>
      <c r="P8" s="29"/>
      <c r="Q8" s="29"/>
      <c r="R8" s="29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M8" s="22" t="s">
        <v>29</v>
      </c>
      <c r="AN8" s="23">
        <f>9/12</f>
        <v>0.75</v>
      </c>
    </row>
    <row r="9" spans="2:40" ht="15" thickBot="1" x14ac:dyDescent="0.4">
      <c r="B9" s="140"/>
      <c r="C9" s="141"/>
      <c r="D9" s="141"/>
      <c r="E9" s="31"/>
      <c r="F9" s="141"/>
      <c r="G9" s="141"/>
      <c r="H9" s="141"/>
      <c r="I9" s="142"/>
      <c r="J9" s="142"/>
      <c r="K9" s="141"/>
      <c r="L9" s="141"/>
      <c r="M9" s="141"/>
      <c r="N9" s="141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M9" s="22" t="s">
        <v>30</v>
      </c>
      <c r="AN9" s="23">
        <f>8/12</f>
        <v>0.66666666666666663</v>
      </c>
    </row>
    <row r="10" spans="2:40" x14ac:dyDescent="0.35">
      <c r="B10" s="152" t="s">
        <v>31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32"/>
      <c r="AJ10" s="32"/>
      <c r="AK10" s="32"/>
      <c r="AM10" s="22" t="s">
        <v>32</v>
      </c>
      <c r="AN10" s="23">
        <f>7/12</f>
        <v>0.58333333333333337</v>
      </c>
    </row>
    <row r="11" spans="2:40" x14ac:dyDescent="0.35">
      <c r="B11" s="143" t="s">
        <v>33</v>
      </c>
      <c r="C11" s="131">
        <v>1000</v>
      </c>
      <c r="D11" s="8" t="s">
        <v>34</v>
      </c>
      <c r="E11" s="102" t="s">
        <v>35</v>
      </c>
      <c r="F11" s="144">
        <v>1</v>
      </c>
      <c r="G11" s="8" t="s">
        <v>34</v>
      </c>
      <c r="H11" s="38"/>
      <c r="I11" s="145" t="s">
        <v>36</v>
      </c>
      <c r="J11" s="38">
        <v>7</v>
      </c>
      <c r="K11" s="8" t="s">
        <v>37</v>
      </c>
      <c r="L11" s="8"/>
      <c r="M11" s="8"/>
      <c r="N11" s="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M11" s="22" t="s">
        <v>38</v>
      </c>
      <c r="AN11" s="23">
        <f>6/12</f>
        <v>0.5</v>
      </c>
    </row>
    <row r="12" spans="2:40" x14ac:dyDescent="0.35">
      <c r="B12" s="146"/>
      <c r="C12" s="131"/>
      <c r="D12" s="8"/>
      <c r="E12" s="102"/>
      <c r="F12" s="144"/>
      <c r="G12" s="8"/>
      <c r="H12" s="8"/>
      <c r="I12" s="8" t="s">
        <v>39</v>
      </c>
      <c r="J12" s="38">
        <v>3</v>
      </c>
      <c r="K12" s="8" t="s">
        <v>37</v>
      </c>
      <c r="L12" s="8"/>
      <c r="M12" s="8"/>
      <c r="N12" s="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M12" s="22" t="s">
        <v>40</v>
      </c>
      <c r="AN12" s="23">
        <f>5/12</f>
        <v>0.41666666666666669</v>
      </c>
    </row>
    <row r="13" spans="2:40" x14ac:dyDescent="0.35">
      <c r="B13" s="37"/>
      <c r="C13" s="33"/>
      <c r="D13" s="2"/>
      <c r="E13" s="34"/>
      <c r="F13" s="35"/>
      <c r="G13" s="2"/>
      <c r="H13" s="2"/>
      <c r="I13" s="2"/>
      <c r="J13" s="3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M13" s="22" t="s">
        <v>41</v>
      </c>
      <c r="AN13" s="23">
        <f>4/12</f>
        <v>0.33333333333333331</v>
      </c>
    </row>
    <row r="14" spans="2:40" x14ac:dyDescent="0.35">
      <c r="B14" s="4"/>
      <c r="C14" s="39"/>
      <c r="D14" s="128" t="s">
        <v>42</v>
      </c>
      <c r="E14" s="128" t="s">
        <v>43</v>
      </c>
      <c r="F14" s="128" t="s">
        <v>44</v>
      </c>
      <c r="G14" s="128" t="s">
        <v>45</v>
      </c>
      <c r="H14" s="128" t="s">
        <v>46</v>
      </c>
      <c r="I14" s="128" t="s">
        <v>47</v>
      </c>
      <c r="J14" s="128" t="s">
        <v>48</v>
      </c>
      <c r="K14" s="128" t="s">
        <v>49</v>
      </c>
      <c r="L14" s="128" t="s">
        <v>50</v>
      </c>
      <c r="M14" s="128" t="s">
        <v>51</v>
      </c>
      <c r="N14" s="129" t="s">
        <v>52</v>
      </c>
      <c r="O14" s="129" t="s">
        <v>53</v>
      </c>
      <c r="P14" s="129" t="s">
        <v>54</v>
      </c>
      <c r="Q14" s="129" t="s">
        <v>55</v>
      </c>
      <c r="R14" s="129" t="s">
        <v>56</v>
      </c>
      <c r="S14" s="129" t="s">
        <v>57</v>
      </c>
      <c r="T14" s="129" t="s">
        <v>58</v>
      </c>
      <c r="U14" s="129" t="s">
        <v>59</v>
      </c>
      <c r="V14" s="129" t="s">
        <v>60</v>
      </c>
      <c r="W14" s="129" t="s">
        <v>61</v>
      </c>
      <c r="X14" s="129" t="s">
        <v>62</v>
      </c>
      <c r="Y14" s="129" t="s">
        <v>63</v>
      </c>
      <c r="Z14" s="129" t="s">
        <v>64</v>
      </c>
      <c r="AA14" s="129" t="s">
        <v>65</v>
      </c>
      <c r="AB14" s="129" t="s">
        <v>66</v>
      </c>
      <c r="AC14" s="129" t="s">
        <v>67</v>
      </c>
      <c r="AD14" s="129" t="s">
        <v>68</v>
      </c>
      <c r="AE14" s="129" t="s">
        <v>69</v>
      </c>
      <c r="AF14" s="129" t="s">
        <v>70</v>
      </c>
      <c r="AG14" s="129" t="s">
        <v>71</v>
      </c>
      <c r="AH14" s="128" t="s">
        <v>72</v>
      </c>
      <c r="AI14" s="128" t="s">
        <v>73</v>
      </c>
      <c r="AJ14" s="128" t="s">
        <v>74</v>
      </c>
      <c r="AK14" s="128" t="s">
        <v>75</v>
      </c>
      <c r="AM14" s="41" t="s">
        <v>76</v>
      </c>
      <c r="AN14" s="23">
        <f>3/12</f>
        <v>0.25</v>
      </c>
    </row>
    <row r="15" spans="2:40" x14ac:dyDescent="0.35">
      <c r="B15" s="4"/>
      <c r="C15" s="2"/>
      <c r="D15" s="128">
        <v>2020</v>
      </c>
      <c r="E15" s="128">
        <f>D15+1</f>
        <v>2021</v>
      </c>
      <c r="F15" s="128">
        <v>2022</v>
      </c>
      <c r="G15" s="128">
        <v>2023</v>
      </c>
      <c r="H15" s="128">
        <v>2024</v>
      </c>
      <c r="I15" s="128">
        <v>2025</v>
      </c>
      <c r="J15" s="128">
        <v>2026</v>
      </c>
      <c r="K15" s="128">
        <v>2027</v>
      </c>
      <c r="L15" s="128">
        <v>2028</v>
      </c>
      <c r="M15" s="128">
        <v>2029</v>
      </c>
      <c r="N15" s="129">
        <v>2030</v>
      </c>
      <c r="O15" s="129">
        <f>N15+1</f>
        <v>2031</v>
      </c>
      <c r="P15" s="129">
        <f t="shared" ref="P15:AK15" si="2">O15+1</f>
        <v>2032</v>
      </c>
      <c r="Q15" s="129">
        <f t="shared" si="2"/>
        <v>2033</v>
      </c>
      <c r="R15" s="129">
        <f t="shared" si="2"/>
        <v>2034</v>
      </c>
      <c r="S15" s="129">
        <f t="shared" si="2"/>
        <v>2035</v>
      </c>
      <c r="T15" s="129">
        <f t="shared" si="2"/>
        <v>2036</v>
      </c>
      <c r="U15" s="129">
        <f t="shared" si="2"/>
        <v>2037</v>
      </c>
      <c r="V15" s="129">
        <f t="shared" si="2"/>
        <v>2038</v>
      </c>
      <c r="W15" s="129">
        <f t="shared" si="2"/>
        <v>2039</v>
      </c>
      <c r="X15" s="129">
        <f t="shared" si="2"/>
        <v>2040</v>
      </c>
      <c r="Y15" s="129">
        <f t="shared" si="2"/>
        <v>2041</v>
      </c>
      <c r="Z15" s="129">
        <f t="shared" si="2"/>
        <v>2042</v>
      </c>
      <c r="AA15" s="129">
        <f t="shared" si="2"/>
        <v>2043</v>
      </c>
      <c r="AB15" s="129">
        <f t="shared" si="2"/>
        <v>2044</v>
      </c>
      <c r="AC15" s="129">
        <f t="shared" si="2"/>
        <v>2045</v>
      </c>
      <c r="AD15" s="129">
        <f t="shared" si="2"/>
        <v>2046</v>
      </c>
      <c r="AE15" s="129">
        <f t="shared" si="2"/>
        <v>2047</v>
      </c>
      <c r="AF15" s="129">
        <f t="shared" si="2"/>
        <v>2048</v>
      </c>
      <c r="AG15" s="129">
        <f t="shared" si="2"/>
        <v>2049</v>
      </c>
      <c r="AH15" s="129">
        <f t="shared" si="2"/>
        <v>2050</v>
      </c>
      <c r="AI15" s="129">
        <f t="shared" si="2"/>
        <v>2051</v>
      </c>
      <c r="AJ15" s="129">
        <f t="shared" si="2"/>
        <v>2052</v>
      </c>
      <c r="AK15" s="129">
        <f t="shared" si="2"/>
        <v>2053</v>
      </c>
      <c r="AM15" s="41" t="s">
        <v>77</v>
      </c>
      <c r="AN15" s="23">
        <f>2/12</f>
        <v>0.16666666666666666</v>
      </c>
    </row>
    <row r="16" spans="2:40" x14ac:dyDescent="0.35">
      <c r="B16" s="42" t="s">
        <v>78</v>
      </c>
      <c r="C16" s="43" t="s">
        <v>79</v>
      </c>
      <c r="D16" s="44">
        <v>0</v>
      </c>
      <c r="E16" s="126">
        <f>H4*0.25*0.8612</f>
        <v>32.251939999999998</v>
      </c>
      <c r="F16" s="126">
        <f>H5*0.25*0.8612</f>
        <v>64.503879999999995</v>
      </c>
      <c r="G16" s="126">
        <f>H6*0.25*0.8612</f>
        <v>64.503879999999995</v>
      </c>
      <c r="H16" s="35">
        <v>0</v>
      </c>
      <c r="I16" s="35">
        <f t="shared" ref="I16:M16" si="3">H16</f>
        <v>0</v>
      </c>
      <c r="J16" s="35">
        <f t="shared" si="3"/>
        <v>0</v>
      </c>
      <c r="K16" s="35">
        <f t="shared" si="3"/>
        <v>0</v>
      </c>
      <c r="L16" s="35">
        <f t="shared" si="3"/>
        <v>0</v>
      </c>
      <c r="M16" s="35">
        <f t="shared" si="3"/>
        <v>0</v>
      </c>
      <c r="N16" s="35">
        <f>M16</f>
        <v>0</v>
      </c>
      <c r="O16" s="35">
        <f t="shared" ref="O16:AK16" si="4">N16</f>
        <v>0</v>
      </c>
      <c r="P16" s="35">
        <f t="shared" si="4"/>
        <v>0</v>
      </c>
      <c r="Q16" s="35">
        <f t="shared" si="4"/>
        <v>0</v>
      </c>
      <c r="R16" s="35">
        <f t="shared" si="4"/>
        <v>0</v>
      </c>
      <c r="S16" s="35">
        <f t="shared" si="4"/>
        <v>0</v>
      </c>
      <c r="T16" s="35">
        <f t="shared" si="4"/>
        <v>0</v>
      </c>
      <c r="U16" s="35">
        <f t="shared" si="4"/>
        <v>0</v>
      </c>
      <c r="V16" s="35">
        <f t="shared" si="4"/>
        <v>0</v>
      </c>
      <c r="W16" s="35">
        <f t="shared" si="4"/>
        <v>0</v>
      </c>
      <c r="X16" s="35">
        <f t="shared" si="4"/>
        <v>0</v>
      </c>
      <c r="Y16" s="35">
        <f t="shared" si="4"/>
        <v>0</v>
      </c>
      <c r="Z16" s="35">
        <f t="shared" si="4"/>
        <v>0</v>
      </c>
      <c r="AA16" s="35">
        <f t="shared" si="4"/>
        <v>0</v>
      </c>
      <c r="AB16" s="35">
        <f t="shared" si="4"/>
        <v>0</v>
      </c>
      <c r="AC16" s="35">
        <f t="shared" si="4"/>
        <v>0</v>
      </c>
      <c r="AD16" s="35">
        <f t="shared" si="4"/>
        <v>0</v>
      </c>
      <c r="AE16" s="35">
        <f t="shared" si="4"/>
        <v>0</v>
      </c>
      <c r="AF16" s="35">
        <f t="shared" si="4"/>
        <v>0</v>
      </c>
      <c r="AG16" s="35">
        <f t="shared" si="4"/>
        <v>0</v>
      </c>
      <c r="AH16" s="35">
        <f t="shared" si="4"/>
        <v>0</v>
      </c>
      <c r="AI16" s="35">
        <f t="shared" si="4"/>
        <v>0</v>
      </c>
      <c r="AJ16" s="35">
        <f t="shared" si="4"/>
        <v>0</v>
      </c>
      <c r="AK16" s="35">
        <f t="shared" si="4"/>
        <v>0</v>
      </c>
      <c r="AM16" s="41" t="s">
        <v>80</v>
      </c>
      <c r="AN16" s="23">
        <f>1/12</f>
        <v>8.3333333333333329E-2</v>
      </c>
    </row>
    <row r="17" spans="2:37" x14ac:dyDescent="0.35">
      <c r="B17" s="37"/>
      <c r="C17" s="45" t="s">
        <v>81</v>
      </c>
      <c r="D17" s="46"/>
      <c r="E17" s="47">
        <f>E16*C11/J11</f>
        <v>4607.42</v>
      </c>
      <c r="F17" s="47">
        <f>-E18+(F16*$C$11/$J$11)</f>
        <v>9675.5820000000003</v>
      </c>
      <c r="G17" s="47">
        <f t="shared" ref="G17:AK17" si="5">-F18+(G16*$C$11/$J$11)</f>
        <v>10643.1402</v>
      </c>
      <c r="H17" s="47">
        <f t="shared" si="5"/>
        <v>2303.71</v>
      </c>
      <c r="I17" s="47">
        <f t="shared" si="5"/>
        <v>2303.71</v>
      </c>
      <c r="J17" s="47">
        <f t="shared" si="5"/>
        <v>2303.71</v>
      </c>
      <c r="K17" s="47">
        <f t="shared" si="5"/>
        <v>2303.71</v>
      </c>
      <c r="L17" s="47">
        <f t="shared" si="5"/>
        <v>2303.71</v>
      </c>
      <c r="M17" s="47">
        <f t="shared" si="5"/>
        <v>2303.71</v>
      </c>
      <c r="N17" s="47">
        <f t="shared" si="5"/>
        <v>2303.71</v>
      </c>
      <c r="O17" s="47">
        <f t="shared" si="5"/>
        <v>2303.71</v>
      </c>
      <c r="P17" s="47">
        <f t="shared" si="5"/>
        <v>2303.71</v>
      </c>
      <c r="Q17" s="47">
        <f t="shared" si="5"/>
        <v>2303.71</v>
      </c>
      <c r="R17" s="47">
        <f t="shared" si="5"/>
        <v>2303.71</v>
      </c>
      <c r="S17" s="47">
        <f t="shared" si="5"/>
        <v>2303.71</v>
      </c>
      <c r="T17" s="47">
        <f t="shared" si="5"/>
        <v>2303.71</v>
      </c>
      <c r="U17" s="47">
        <f t="shared" si="5"/>
        <v>2303.71</v>
      </c>
      <c r="V17" s="47">
        <f t="shared" si="5"/>
        <v>2303.71</v>
      </c>
      <c r="W17" s="47">
        <f t="shared" si="5"/>
        <v>2303.71</v>
      </c>
      <c r="X17" s="47">
        <f t="shared" si="5"/>
        <v>2303.71</v>
      </c>
      <c r="Y17" s="47">
        <f t="shared" si="5"/>
        <v>2303.71</v>
      </c>
      <c r="Z17" s="47">
        <f t="shared" si="5"/>
        <v>2303.71</v>
      </c>
      <c r="AA17" s="47">
        <f t="shared" si="5"/>
        <v>2303.71</v>
      </c>
      <c r="AB17" s="47">
        <f t="shared" si="5"/>
        <v>2303.71</v>
      </c>
      <c r="AC17" s="47">
        <f t="shared" si="5"/>
        <v>2303.71</v>
      </c>
      <c r="AD17" s="47">
        <f t="shared" si="5"/>
        <v>2303.71</v>
      </c>
      <c r="AE17" s="47">
        <f t="shared" si="5"/>
        <v>2303.71</v>
      </c>
      <c r="AF17" s="47">
        <f t="shared" si="5"/>
        <v>2303.71</v>
      </c>
      <c r="AG17" s="47">
        <f t="shared" si="5"/>
        <v>2303.71</v>
      </c>
      <c r="AH17" s="47">
        <f t="shared" si="5"/>
        <v>2303.71</v>
      </c>
      <c r="AI17" s="47">
        <f t="shared" si="5"/>
        <v>2303.71</v>
      </c>
      <c r="AJ17" s="47">
        <f t="shared" si="5"/>
        <v>2303.71</v>
      </c>
      <c r="AK17" s="47">
        <f t="shared" si="5"/>
        <v>2303.71</v>
      </c>
    </row>
    <row r="18" spans="2:37" x14ac:dyDescent="0.35">
      <c r="B18" s="48">
        <v>0.1</v>
      </c>
      <c r="C18" s="34" t="s">
        <v>82</v>
      </c>
      <c r="D18" s="2"/>
      <c r="E18" s="49">
        <f>E17*-$B$18</f>
        <v>-460.74200000000002</v>
      </c>
      <c r="F18" s="49">
        <f>(E17+F17)*-$B$18</f>
        <v>-1428.3002000000001</v>
      </c>
      <c r="G18" s="49">
        <f t="shared" ref="G18:AK18" si="6">(F19+G17)*-$B$18</f>
        <v>-2303.71</v>
      </c>
      <c r="H18" s="49">
        <f t="shared" si="6"/>
        <v>-2303.71</v>
      </c>
      <c r="I18" s="49">
        <f t="shared" si="6"/>
        <v>-2303.71</v>
      </c>
      <c r="J18" s="49">
        <f t="shared" si="6"/>
        <v>-2303.71</v>
      </c>
      <c r="K18" s="49">
        <f t="shared" si="6"/>
        <v>-2303.71</v>
      </c>
      <c r="L18" s="49">
        <f t="shared" si="6"/>
        <v>-2303.71</v>
      </c>
      <c r="M18" s="49">
        <f t="shared" si="6"/>
        <v>-2303.71</v>
      </c>
      <c r="N18" s="49">
        <f t="shared" si="6"/>
        <v>-2303.71</v>
      </c>
      <c r="O18" s="49">
        <f t="shared" si="6"/>
        <v>-2303.71</v>
      </c>
      <c r="P18" s="49">
        <f t="shared" si="6"/>
        <v>-2303.71</v>
      </c>
      <c r="Q18" s="49">
        <f t="shared" si="6"/>
        <v>-2303.71</v>
      </c>
      <c r="R18" s="49">
        <f t="shared" si="6"/>
        <v>-2303.71</v>
      </c>
      <c r="S18" s="49">
        <f t="shared" si="6"/>
        <v>-2303.71</v>
      </c>
      <c r="T18" s="49">
        <f t="shared" si="6"/>
        <v>-2303.71</v>
      </c>
      <c r="U18" s="49">
        <f t="shared" si="6"/>
        <v>-2303.71</v>
      </c>
      <c r="V18" s="49">
        <f t="shared" si="6"/>
        <v>-2303.71</v>
      </c>
      <c r="W18" s="49">
        <f t="shared" si="6"/>
        <v>-2303.71</v>
      </c>
      <c r="X18" s="49">
        <f t="shared" si="6"/>
        <v>-2303.71</v>
      </c>
      <c r="Y18" s="49">
        <f t="shared" si="6"/>
        <v>-2303.71</v>
      </c>
      <c r="Z18" s="49">
        <f t="shared" si="6"/>
        <v>-2303.71</v>
      </c>
      <c r="AA18" s="49">
        <f t="shared" si="6"/>
        <v>-2303.71</v>
      </c>
      <c r="AB18" s="49">
        <f t="shared" si="6"/>
        <v>-2303.71</v>
      </c>
      <c r="AC18" s="49">
        <f t="shared" si="6"/>
        <v>-2303.71</v>
      </c>
      <c r="AD18" s="49">
        <f t="shared" si="6"/>
        <v>-2303.71</v>
      </c>
      <c r="AE18" s="49">
        <f t="shared" si="6"/>
        <v>-2303.71</v>
      </c>
      <c r="AF18" s="49">
        <f t="shared" si="6"/>
        <v>-2303.71</v>
      </c>
      <c r="AG18" s="49">
        <f t="shared" si="6"/>
        <v>-2303.71</v>
      </c>
      <c r="AH18" s="49">
        <f t="shared" si="6"/>
        <v>-2303.71</v>
      </c>
      <c r="AI18" s="49">
        <f t="shared" si="6"/>
        <v>-2303.71</v>
      </c>
      <c r="AJ18" s="49">
        <f t="shared" si="6"/>
        <v>-2303.71</v>
      </c>
      <c r="AK18" s="49">
        <f t="shared" si="6"/>
        <v>-2303.71</v>
      </c>
    </row>
    <row r="19" spans="2:37" hidden="1" x14ac:dyDescent="0.35">
      <c r="B19" s="50"/>
      <c r="C19" s="34" t="s">
        <v>83</v>
      </c>
      <c r="D19" s="2"/>
      <c r="E19" s="49">
        <f>SUM(E17:E18)</f>
        <v>4146.6779999999999</v>
      </c>
      <c r="F19" s="51">
        <f>E19+F17+F18</f>
        <v>12393.959800000001</v>
      </c>
      <c r="G19" s="51">
        <f>F19+G17+G18</f>
        <v>20733.39</v>
      </c>
      <c r="H19" s="51">
        <f t="shared" ref="H19:M19" si="7">G19+H17+H18</f>
        <v>20733.39</v>
      </c>
      <c r="I19" s="51">
        <f t="shared" si="7"/>
        <v>20733.39</v>
      </c>
      <c r="J19" s="51">
        <f t="shared" si="7"/>
        <v>20733.39</v>
      </c>
      <c r="K19" s="51">
        <f t="shared" si="7"/>
        <v>20733.39</v>
      </c>
      <c r="L19" s="51">
        <f t="shared" si="7"/>
        <v>20733.39</v>
      </c>
      <c r="M19" s="51">
        <f t="shared" si="7"/>
        <v>20733.39</v>
      </c>
      <c r="N19" s="52">
        <f>M19+N17+N18</f>
        <v>20733.39</v>
      </c>
      <c r="O19" s="52">
        <f t="shared" ref="O19:AK19" si="8">N19+O17+O18</f>
        <v>20733.39</v>
      </c>
      <c r="P19" s="52">
        <f t="shared" si="8"/>
        <v>20733.39</v>
      </c>
      <c r="Q19" s="52">
        <f t="shared" si="8"/>
        <v>20733.39</v>
      </c>
      <c r="R19" s="52">
        <f t="shared" si="8"/>
        <v>20733.39</v>
      </c>
      <c r="S19" s="52">
        <f t="shared" si="8"/>
        <v>20733.39</v>
      </c>
      <c r="T19" s="52">
        <f t="shared" si="8"/>
        <v>20733.39</v>
      </c>
      <c r="U19" s="52">
        <f t="shared" si="8"/>
        <v>20733.39</v>
      </c>
      <c r="V19" s="52">
        <f t="shared" si="8"/>
        <v>20733.39</v>
      </c>
      <c r="W19" s="52">
        <f t="shared" si="8"/>
        <v>20733.39</v>
      </c>
      <c r="X19" s="52">
        <f t="shared" si="8"/>
        <v>20733.39</v>
      </c>
      <c r="Y19" s="52">
        <f t="shared" si="8"/>
        <v>20733.39</v>
      </c>
      <c r="Z19" s="52">
        <f t="shared" si="8"/>
        <v>20733.39</v>
      </c>
      <c r="AA19" s="52">
        <f t="shared" si="8"/>
        <v>20733.39</v>
      </c>
      <c r="AB19" s="52">
        <f t="shared" si="8"/>
        <v>20733.39</v>
      </c>
      <c r="AC19" s="52">
        <f t="shared" si="8"/>
        <v>20733.39</v>
      </c>
      <c r="AD19" s="52">
        <f t="shared" si="8"/>
        <v>20733.39</v>
      </c>
      <c r="AE19" s="52">
        <f t="shared" si="8"/>
        <v>20733.39</v>
      </c>
      <c r="AF19" s="52">
        <f t="shared" si="8"/>
        <v>20733.39</v>
      </c>
      <c r="AG19" s="52">
        <f t="shared" si="8"/>
        <v>20733.39</v>
      </c>
      <c r="AH19" s="52">
        <f t="shared" si="8"/>
        <v>20733.39</v>
      </c>
      <c r="AI19" s="52">
        <f t="shared" si="8"/>
        <v>20733.39</v>
      </c>
      <c r="AJ19" s="52">
        <f t="shared" si="8"/>
        <v>20733.39</v>
      </c>
      <c r="AK19" s="52">
        <f t="shared" si="8"/>
        <v>20733.39</v>
      </c>
    </row>
    <row r="20" spans="2:37" hidden="1" x14ac:dyDescent="0.35">
      <c r="B20" s="53"/>
      <c r="C20" s="45" t="s">
        <v>84</v>
      </c>
      <c r="D20" s="46"/>
      <c r="E20" s="54">
        <f>AVERAGE(E19,E17)</f>
        <v>4377.049</v>
      </c>
      <c r="F20" s="54">
        <f>AVERAGE(E20,F19)</f>
        <v>8385.5043999999998</v>
      </c>
      <c r="G20" s="54">
        <f>AVERAGE($E$19:G19)</f>
        <v>12424.675933333332</v>
      </c>
      <c r="H20" s="54">
        <f>AVERAGE($E$19:H19)</f>
        <v>14501.854449999999</v>
      </c>
      <c r="I20" s="54">
        <f>AVERAGE($E$19:I19)</f>
        <v>15748.161559999999</v>
      </c>
      <c r="J20" s="54">
        <f>AVERAGE($E$19:J19)</f>
        <v>16579.032966666666</v>
      </c>
      <c r="K20" s="54">
        <f>AVERAGE($E$19:K19)</f>
        <v>17172.512542857141</v>
      </c>
      <c r="L20" s="54">
        <f>AVERAGE($E$19:L19)</f>
        <v>17617.622224999999</v>
      </c>
      <c r="M20" s="54">
        <f>AVERAGE($E$19:M19)</f>
        <v>17963.818644444444</v>
      </c>
      <c r="N20" s="55">
        <f>AVERAGE($E$19:N19)</f>
        <v>18240.775780000004</v>
      </c>
      <c r="O20" s="55">
        <f>AVERAGE($E$19:O19)</f>
        <v>18467.377072727275</v>
      </c>
      <c r="P20" s="55">
        <f>AVERAGE($E$19:P19)</f>
        <v>18656.211483333336</v>
      </c>
      <c r="Q20" s="55">
        <f>AVERAGE($E$19:Q19)</f>
        <v>18815.994446153851</v>
      </c>
      <c r="R20" s="55">
        <f>AVERAGE($E$19:R19)</f>
        <v>18952.951271428577</v>
      </c>
      <c r="S20" s="55">
        <f>AVERAGE($E$19:S19)</f>
        <v>19071.647186666672</v>
      </c>
      <c r="T20" s="55">
        <f>AVERAGE($E$19:T19)</f>
        <v>19175.506112500007</v>
      </c>
      <c r="U20" s="55">
        <f>AVERAGE($E$19:U19)</f>
        <v>19267.146341176478</v>
      </c>
      <c r="V20" s="55">
        <f>AVERAGE($E$19:V19)</f>
        <v>19348.604322222229</v>
      </c>
      <c r="W20" s="55">
        <f>AVERAGE($E$19:W19)</f>
        <v>19421.487778947376</v>
      </c>
      <c r="X20" s="55">
        <f>AVERAGE($E$19:X19)</f>
        <v>19487.082890000009</v>
      </c>
      <c r="Y20" s="55">
        <f>AVERAGE($E$19:Y19)</f>
        <v>19546.430847619056</v>
      </c>
      <c r="Z20" s="55">
        <f>AVERAGE($E$19:Z19)</f>
        <v>19600.383536363646</v>
      </c>
      <c r="AA20" s="55">
        <f>AVERAGE($E$19:AA19)</f>
        <v>19649.64468695653</v>
      </c>
      <c r="AB20" s="55">
        <f>AVERAGE($E$19:AB19)</f>
        <v>19694.800741666677</v>
      </c>
      <c r="AC20" s="55">
        <f>AVERAGE($E$19:AC19)</f>
        <v>19736.344312000008</v>
      </c>
      <c r="AD20" s="55">
        <f>AVERAGE($E$19:AD19)</f>
        <v>19774.692223076934</v>
      </c>
      <c r="AE20" s="55">
        <f>AVERAGE($E$19:AE19)</f>
        <v>19810.199548148157</v>
      </c>
      <c r="AF20" s="55">
        <f>AVERAGE($E$19:AF19)</f>
        <v>19843.170635714294</v>
      </c>
      <c r="AG20" s="55">
        <f>AVERAGE($E$19:AG19)</f>
        <v>19873.867855172422</v>
      </c>
      <c r="AH20" s="55">
        <f>AVERAGE($E$19:AH19)</f>
        <v>19902.518593333345</v>
      </c>
      <c r="AI20" s="55">
        <f>AVERAGE($E$19:AI19)</f>
        <v>19929.320896774203</v>
      </c>
      <c r="AJ20" s="55">
        <f>AVERAGE($E$19:AJ19)</f>
        <v>19954.44805625001</v>
      </c>
      <c r="AK20" s="55">
        <f>AVERAGE($E$19:AK19)</f>
        <v>19978.052357575769</v>
      </c>
    </row>
    <row r="21" spans="2:37" x14ac:dyDescent="0.35">
      <c r="B21" s="42" t="s">
        <v>13</v>
      </c>
      <c r="C21" s="43" t="s">
        <v>79</v>
      </c>
      <c r="D21" s="44">
        <v>0</v>
      </c>
      <c r="E21" s="127">
        <f>H4*0.25*0.1388</f>
        <v>5.1980600000000008</v>
      </c>
      <c r="F21" s="127">
        <f>H5*0.25*0.1388</f>
        <v>10.396120000000002</v>
      </c>
      <c r="G21" s="127">
        <f>H6*0.25*0.1388</f>
        <v>10.396120000000002</v>
      </c>
      <c r="H21" s="44">
        <v>0</v>
      </c>
      <c r="I21" s="44">
        <v>0</v>
      </c>
      <c r="J21" s="44">
        <f t="shared" ref="J21:M21" si="9">I21</f>
        <v>0</v>
      </c>
      <c r="K21" s="44">
        <f t="shared" si="9"/>
        <v>0</v>
      </c>
      <c r="L21" s="44">
        <f t="shared" si="9"/>
        <v>0</v>
      </c>
      <c r="M21" s="44">
        <f t="shared" si="9"/>
        <v>0</v>
      </c>
      <c r="N21" s="44">
        <f>M21</f>
        <v>0</v>
      </c>
      <c r="O21" s="44">
        <f t="shared" ref="O21:AK21" si="10">N21</f>
        <v>0</v>
      </c>
      <c r="P21" s="44">
        <f t="shared" si="10"/>
        <v>0</v>
      </c>
      <c r="Q21" s="44">
        <f t="shared" si="10"/>
        <v>0</v>
      </c>
      <c r="R21" s="44">
        <f t="shared" si="10"/>
        <v>0</v>
      </c>
      <c r="S21" s="44">
        <f t="shared" si="10"/>
        <v>0</v>
      </c>
      <c r="T21" s="44">
        <f t="shared" si="10"/>
        <v>0</v>
      </c>
      <c r="U21" s="44">
        <f t="shared" si="10"/>
        <v>0</v>
      </c>
      <c r="V21" s="44">
        <f t="shared" si="10"/>
        <v>0</v>
      </c>
      <c r="W21" s="44">
        <f t="shared" si="10"/>
        <v>0</v>
      </c>
      <c r="X21" s="44">
        <f t="shared" si="10"/>
        <v>0</v>
      </c>
      <c r="Y21" s="44">
        <f t="shared" si="10"/>
        <v>0</v>
      </c>
      <c r="Z21" s="44">
        <f t="shared" si="10"/>
        <v>0</v>
      </c>
      <c r="AA21" s="44">
        <f t="shared" si="10"/>
        <v>0</v>
      </c>
      <c r="AB21" s="44">
        <f t="shared" si="10"/>
        <v>0</v>
      </c>
      <c r="AC21" s="44">
        <f t="shared" si="10"/>
        <v>0</v>
      </c>
      <c r="AD21" s="44">
        <f t="shared" si="10"/>
        <v>0</v>
      </c>
      <c r="AE21" s="44">
        <f t="shared" si="10"/>
        <v>0</v>
      </c>
      <c r="AF21" s="44">
        <f t="shared" si="10"/>
        <v>0</v>
      </c>
      <c r="AG21" s="44">
        <f t="shared" si="10"/>
        <v>0</v>
      </c>
      <c r="AH21" s="44">
        <f t="shared" si="10"/>
        <v>0</v>
      </c>
      <c r="AI21" s="44">
        <f t="shared" si="10"/>
        <v>0</v>
      </c>
      <c r="AJ21" s="44">
        <f t="shared" si="10"/>
        <v>0</v>
      </c>
      <c r="AK21" s="44">
        <f t="shared" si="10"/>
        <v>0</v>
      </c>
    </row>
    <row r="22" spans="2:37" x14ac:dyDescent="0.35">
      <c r="B22" s="37"/>
      <c r="C22" s="45" t="s">
        <v>81</v>
      </c>
      <c r="D22" s="46"/>
      <c r="E22" s="47">
        <f>E21*$C$11/$J$12</f>
        <v>1732.6866666666667</v>
      </c>
      <c r="F22" s="47">
        <f>F21*$C$11/$J$12</f>
        <v>3465.3733333333334</v>
      </c>
      <c r="G22" s="47">
        <f>G21*$C$11/$J$12</f>
        <v>3465.3733333333334</v>
      </c>
      <c r="H22" s="47">
        <f>H21*$C$11/$J$12</f>
        <v>0</v>
      </c>
      <c r="I22" s="47">
        <f t="shared" ref="I22:AK22" si="11">I21*$C$11/$J$12</f>
        <v>0</v>
      </c>
      <c r="J22" s="47">
        <f t="shared" si="11"/>
        <v>0</v>
      </c>
      <c r="K22" s="47">
        <f t="shared" si="11"/>
        <v>0</v>
      </c>
      <c r="L22" s="47">
        <f t="shared" si="11"/>
        <v>0</v>
      </c>
      <c r="M22" s="47">
        <f t="shared" si="11"/>
        <v>0</v>
      </c>
      <c r="N22" s="47">
        <f t="shared" si="11"/>
        <v>0</v>
      </c>
      <c r="O22" s="47">
        <f t="shared" si="11"/>
        <v>0</v>
      </c>
      <c r="P22" s="47">
        <f t="shared" si="11"/>
        <v>0</v>
      </c>
      <c r="Q22" s="47">
        <f t="shared" si="11"/>
        <v>0</v>
      </c>
      <c r="R22" s="47">
        <f t="shared" si="11"/>
        <v>0</v>
      </c>
      <c r="S22" s="47">
        <f t="shared" si="11"/>
        <v>0</v>
      </c>
      <c r="T22" s="47">
        <f t="shared" si="11"/>
        <v>0</v>
      </c>
      <c r="U22" s="47">
        <f t="shared" si="11"/>
        <v>0</v>
      </c>
      <c r="V22" s="47">
        <f t="shared" si="11"/>
        <v>0</v>
      </c>
      <c r="W22" s="47">
        <f t="shared" si="11"/>
        <v>0</v>
      </c>
      <c r="X22" s="47">
        <f t="shared" si="11"/>
        <v>0</v>
      </c>
      <c r="Y22" s="47">
        <f t="shared" si="11"/>
        <v>0</v>
      </c>
      <c r="Z22" s="47">
        <f t="shared" si="11"/>
        <v>0</v>
      </c>
      <c r="AA22" s="47">
        <f t="shared" si="11"/>
        <v>0</v>
      </c>
      <c r="AB22" s="47">
        <f t="shared" si="11"/>
        <v>0</v>
      </c>
      <c r="AC22" s="47">
        <f t="shared" si="11"/>
        <v>0</v>
      </c>
      <c r="AD22" s="47">
        <f t="shared" si="11"/>
        <v>0</v>
      </c>
      <c r="AE22" s="47">
        <f t="shared" si="11"/>
        <v>0</v>
      </c>
      <c r="AF22" s="47">
        <f t="shared" si="11"/>
        <v>0</v>
      </c>
      <c r="AG22" s="47">
        <f t="shared" si="11"/>
        <v>0</v>
      </c>
      <c r="AH22" s="47">
        <f t="shared" si="11"/>
        <v>0</v>
      </c>
      <c r="AI22" s="47">
        <f t="shared" si="11"/>
        <v>0</v>
      </c>
      <c r="AJ22" s="47">
        <f t="shared" si="11"/>
        <v>0</v>
      </c>
      <c r="AK22" s="47">
        <f t="shared" si="11"/>
        <v>0</v>
      </c>
    </row>
    <row r="23" spans="2:37" x14ac:dyDescent="0.35">
      <c r="B23" s="56">
        <f>B18</f>
        <v>0.1</v>
      </c>
      <c r="C23" s="34" t="s">
        <v>82</v>
      </c>
      <c r="D23" s="2"/>
      <c r="E23" s="49">
        <f>E22*-$B$18</f>
        <v>-173.26866666666669</v>
      </c>
      <c r="F23" s="49">
        <f>F22*-$B$18</f>
        <v>-346.53733333333338</v>
      </c>
      <c r="G23" s="49">
        <f>(F22+G22)*-$B$18</f>
        <v>-693.07466666666676</v>
      </c>
      <c r="H23" s="49">
        <f t="shared" ref="H23:AK23" si="12">(G24+H22)*-$B$18</f>
        <v>-589.1134666666668</v>
      </c>
      <c r="I23" s="49">
        <f t="shared" si="12"/>
        <v>-530.20212000000015</v>
      </c>
      <c r="J23" s="49">
        <f t="shared" si="12"/>
        <v>-477.18190800000013</v>
      </c>
      <c r="K23" s="49">
        <f t="shared" si="12"/>
        <v>-429.46371720000008</v>
      </c>
      <c r="L23" s="49">
        <f t="shared" si="12"/>
        <v>-386.51734548000007</v>
      </c>
      <c r="M23" s="49">
        <f t="shared" si="12"/>
        <v>-347.86561093200004</v>
      </c>
      <c r="N23" s="57">
        <f t="shared" si="12"/>
        <v>-313.07904983880007</v>
      </c>
      <c r="O23" s="57">
        <f t="shared" si="12"/>
        <v>-281.77114485492001</v>
      </c>
      <c r="P23" s="57">
        <f t="shared" si="12"/>
        <v>-253.59403036942805</v>
      </c>
      <c r="Q23" s="57">
        <f t="shared" si="12"/>
        <v>-228.23462733248527</v>
      </c>
      <c r="R23" s="57">
        <f t="shared" si="12"/>
        <v>-205.41116459923674</v>
      </c>
      <c r="S23" s="57">
        <f t="shared" si="12"/>
        <v>-184.87004813931307</v>
      </c>
      <c r="T23" s="57">
        <f t="shared" si="12"/>
        <v>-166.38304332538178</v>
      </c>
      <c r="U23" s="57">
        <f t="shared" si="12"/>
        <v>-149.74473899284359</v>
      </c>
      <c r="V23" s="57">
        <f t="shared" si="12"/>
        <v>-134.77026509355923</v>
      </c>
      <c r="W23" s="57">
        <f t="shared" si="12"/>
        <v>-121.29323858420331</v>
      </c>
      <c r="X23" s="57">
        <f t="shared" si="12"/>
        <v>-109.16391472578299</v>
      </c>
      <c r="Y23" s="57">
        <f t="shared" si="12"/>
        <v>-98.24752325320469</v>
      </c>
      <c r="Z23" s="57">
        <f t="shared" si="12"/>
        <v>-88.422770927884216</v>
      </c>
      <c r="AA23" s="57">
        <f t="shared" si="12"/>
        <v>-79.580493835095794</v>
      </c>
      <c r="AB23" s="57">
        <f t="shared" si="12"/>
        <v>-71.622444451586205</v>
      </c>
      <c r="AC23" s="57">
        <f t="shared" si="12"/>
        <v>-64.460200006427598</v>
      </c>
      <c r="AD23" s="57">
        <f t="shared" si="12"/>
        <v>-58.01418000578483</v>
      </c>
      <c r="AE23" s="57">
        <f t="shared" si="12"/>
        <v>-52.212762005206343</v>
      </c>
      <c r="AF23" s="57">
        <f t="shared" si="12"/>
        <v>-46.991485804685709</v>
      </c>
      <c r="AG23" s="57">
        <f t="shared" si="12"/>
        <v>-42.292337224217135</v>
      </c>
      <c r="AH23" s="57">
        <f t="shared" si="12"/>
        <v>-38.063103501795425</v>
      </c>
      <c r="AI23" s="57">
        <f t="shared" si="12"/>
        <v>-34.256793151615881</v>
      </c>
      <c r="AJ23" s="57">
        <f t="shared" si="12"/>
        <v>-30.831113836454293</v>
      </c>
      <c r="AK23" s="57">
        <f t="shared" si="12"/>
        <v>-27.748002452808862</v>
      </c>
    </row>
    <row r="24" spans="2:37" x14ac:dyDescent="0.35">
      <c r="B24" s="50"/>
      <c r="C24" s="34" t="s">
        <v>83</v>
      </c>
      <c r="D24" s="2"/>
      <c r="E24" s="49">
        <f>SUM(E21:E22)</f>
        <v>1737.8847266666667</v>
      </c>
      <c r="F24" s="51">
        <f>SUM(F22:F23)</f>
        <v>3118.8360000000002</v>
      </c>
      <c r="G24" s="51">
        <f>F24+G22+G23</f>
        <v>5891.1346666666677</v>
      </c>
      <c r="H24" s="51">
        <f t="shared" ref="H24:AK24" si="13">G24+H22+H23</f>
        <v>5302.021200000001</v>
      </c>
      <c r="I24" s="51">
        <f t="shared" si="13"/>
        <v>4771.8190800000011</v>
      </c>
      <c r="J24" s="51">
        <f t="shared" si="13"/>
        <v>4294.6371720000006</v>
      </c>
      <c r="K24" s="51">
        <f t="shared" si="13"/>
        <v>3865.1734548000004</v>
      </c>
      <c r="L24" s="51">
        <f t="shared" si="13"/>
        <v>3478.6561093200003</v>
      </c>
      <c r="M24" s="51">
        <f t="shared" si="13"/>
        <v>3130.7904983880003</v>
      </c>
      <c r="N24" s="51">
        <f t="shared" si="13"/>
        <v>2817.7114485492002</v>
      </c>
      <c r="O24" s="51">
        <f t="shared" si="13"/>
        <v>2535.9403036942804</v>
      </c>
      <c r="P24" s="51">
        <f t="shared" si="13"/>
        <v>2282.3462733248525</v>
      </c>
      <c r="Q24" s="51">
        <f t="shared" si="13"/>
        <v>2054.1116459923674</v>
      </c>
      <c r="R24" s="51">
        <f t="shared" si="13"/>
        <v>1848.7004813931305</v>
      </c>
      <c r="S24" s="51">
        <f t="shared" si="13"/>
        <v>1663.8304332538175</v>
      </c>
      <c r="T24" s="51">
        <f t="shared" si="13"/>
        <v>1497.4473899284358</v>
      </c>
      <c r="U24" s="51">
        <f t="shared" si="13"/>
        <v>1347.7026509355921</v>
      </c>
      <c r="V24" s="51">
        <f t="shared" si="13"/>
        <v>1212.932385842033</v>
      </c>
      <c r="W24" s="51">
        <f t="shared" si="13"/>
        <v>1091.6391472578298</v>
      </c>
      <c r="X24" s="51">
        <f t="shared" si="13"/>
        <v>982.47523253204679</v>
      </c>
      <c r="Y24" s="51">
        <f t="shared" si="13"/>
        <v>884.2277092788421</v>
      </c>
      <c r="Z24" s="51">
        <f t="shared" si="13"/>
        <v>795.80493835095785</v>
      </c>
      <c r="AA24" s="51">
        <f t="shared" si="13"/>
        <v>716.22444451586205</v>
      </c>
      <c r="AB24" s="51">
        <f t="shared" si="13"/>
        <v>644.6020000642759</v>
      </c>
      <c r="AC24" s="51">
        <f t="shared" si="13"/>
        <v>580.14180005784829</v>
      </c>
      <c r="AD24" s="51">
        <f t="shared" si="13"/>
        <v>522.12762005206343</v>
      </c>
      <c r="AE24" s="51">
        <f t="shared" si="13"/>
        <v>469.91485804685709</v>
      </c>
      <c r="AF24" s="51">
        <f t="shared" si="13"/>
        <v>422.92337224217135</v>
      </c>
      <c r="AG24" s="51">
        <f t="shared" si="13"/>
        <v>380.63103501795422</v>
      </c>
      <c r="AH24" s="51">
        <f t="shared" si="13"/>
        <v>342.56793151615881</v>
      </c>
      <c r="AI24" s="51">
        <f t="shared" si="13"/>
        <v>308.3111383645429</v>
      </c>
      <c r="AJ24" s="51">
        <f t="shared" si="13"/>
        <v>277.48002452808862</v>
      </c>
      <c r="AK24" s="51">
        <f t="shared" si="13"/>
        <v>249.73202207527976</v>
      </c>
    </row>
    <row r="25" spans="2:37" x14ac:dyDescent="0.35">
      <c r="B25" s="58" t="s">
        <v>85</v>
      </c>
      <c r="C25" s="34"/>
      <c r="D25" s="59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</row>
    <row r="26" spans="2:37" x14ac:dyDescent="0.35">
      <c r="B26" s="36"/>
      <c r="C26" s="61" t="s">
        <v>79</v>
      </c>
      <c r="D26" s="2"/>
      <c r="E26" s="62">
        <f t="shared" ref="E26:AH26" si="14">SUM(E16+E21)</f>
        <v>37.449999999999996</v>
      </c>
      <c r="F26" s="62">
        <f t="shared" si="14"/>
        <v>74.899999999999991</v>
      </c>
      <c r="G26" s="62">
        <f t="shared" si="14"/>
        <v>74.899999999999991</v>
      </c>
      <c r="H26" s="62">
        <f t="shared" si="14"/>
        <v>0</v>
      </c>
      <c r="I26" s="62">
        <f t="shared" si="14"/>
        <v>0</v>
      </c>
      <c r="J26" s="62">
        <f t="shared" si="14"/>
        <v>0</v>
      </c>
      <c r="K26" s="62">
        <f t="shared" si="14"/>
        <v>0</v>
      </c>
      <c r="L26" s="62">
        <f t="shared" si="14"/>
        <v>0</v>
      </c>
      <c r="M26" s="62">
        <f t="shared" si="14"/>
        <v>0</v>
      </c>
      <c r="N26" s="62">
        <f t="shared" si="14"/>
        <v>0</v>
      </c>
      <c r="O26" s="62">
        <f t="shared" si="14"/>
        <v>0</v>
      </c>
      <c r="P26" s="62">
        <f t="shared" si="14"/>
        <v>0</v>
      </c>
      <c r="Q26" s="62">
        <f t="shared" si="14"/>
        <v>0</v>
      </c>
      <c r="R26" s="62">
        <f t="shared" si="14"/>
        <v>0</v>
      </c>
      <c r="S26" s="62">
        <f t="shared" si="14"/>
        <v>0</v>
      </c>
      <c r="T26" s="62">
        <f t="shared" si="14"/>
        <v>0</v>
      </c>
      <c r="U26" s="62">
        <f t="shared" si="14"/>
        <v>0</v>
      </c>
      <c r="V26" s="62">
        <f t="shared" si="14"/>
        <v>0</v>
      </c>
      <c r="W26" s="62">
        <f t="shared" si="14"/>
        <v>0</v>
      </c>
      <c r="X26" s="62">
        <f t="shared" si="14"/>
        <v>0</v>
      </c>
      <c r="Y26" s="62">
        <f t="shared" si="14"/>
        <v>0</v>
      </c>
      <c r="Z26" s="62">
        <f t="shared" si="14"/>
        <v>0</v>
      </c>
      <c r="AA26" s="62">
        <f t="shared" si="14"/>
        <v>0</v>
      </c>
      <c r="AB26" s="62">
        <f t="shared" si="14"/>
        <v>0</v>
      </c>
      <c r="AC26" s="62">
        <f t="shared" si="14"/>
        <v>0</v>
      </c>
      <c r="AD26" s="62">
        <f t="shared" si="14"/>
        <v>0</v>
      </c>
      <c r="AE26" s="62">
        <f t="shared" si="14"/>
        <v>0</v>
      </c>
      <c r="AF26" s="62">
        <f t="shared" si="14"/>
        <v>0</v>
      </c>
      <c r="AG26" s="62">
        <f t="shared" si="14"/>
        <v>0</v>
      </c>
      <c r="AH26" s="62">
        <f t="shared" si="14"/>
        <v>0</v>
      </c>
      <c r="AI26" s="62">
        <f t="shared" ref="AI26:AK28" si="15">SUM(AI16+AI21)</f>
        <v>0</v>
      </c>
      <c r="AJ26" s="62">
        <f t="shared" si="15"/>
        <v>0</v>
      </c>
      <c r="AK26" s="62">
        <f t="shared" si="15"/>
        <v>0</v>
      </c>
    </row>
    <row r="27" spans="2:37" x14ac:dyDescent="0.35">
      <c r="B27" s="50"/>
      <c r="C27" s="63" t="s">
        <v>81</v>
      </c>
      <c r="D27" s="5"/>
      <c r="E27" s="62">
        <f t="shared" ref="E27:AH28" si="16">SUM(E17+E22)</f>
        <v>6340.1066666666666</v>
      </c>
      <c r="F27" s="62">
        <f t="shared" si="16"/>
        <v>13140.955333333333</v>
      </c>
      <c r="G27" s="62">
        <f t="shared" si="16"/>
        <v>14108.513533333333</v>
      </c>
      <c r="H27" s="62">
        <f t="shared" si="16"/>
        <v>2303.71</v>
      </c>
      <c r="I27" s="62">
        <f t="shared" si="16"/>
        <v>2303.71</v>
      </c>
      <c r="J27" s="62">
        <f t="shared" si="16"/>
        <v>2303.71</v>
      </c>
      <c r="K27" s="62">
        <f t="shared" si="16"/>
        <v>2303.71</v>
      </c>
      <c r="L27" s="62">
        <f t="shared" si="16"/>
        <v>2303.71</v>
      </c>
      <c r="M27" s="62">
        <f t="shared" si="16"/>
        <v>2303.71</v>
      </c>
      <c r="N27" s="62">
        <f t="shared" si="16"/>
        <v>2303.71</v>
      </c>
      <c r="O27" s="62">
        <f t="shared" si="16"/>
        <v>2303.71</v>
      </c>
      <c r="P27" s="62">
        <f t="shared" si="16"/>
        <v>2303.71</v>
      </c>
      <c r="Q27" s="62">
        <f t="shared" si="16"/>
        <v>2303.71</v>
      </c>
      <c r="R27" s="62">
        <f t="shared" si="16"/>
        <v>2303.71</v>
      </c>
      <c r="S27" s="62">
        <f t="shared" si="16"/>
        <v>2303.71</v>
      </c>
      <c r="T27" s="62">
        <f t="shared" si="16"/>
        <v>2303.71</v>
      </c>
      <c r="U27" s="62">
        <f t="shared" si="16"/>
        <v>2303.71</v>
      </c>
      <c r="V27" s="62">
        <f t="shared" si="16"/>
        <v>2303.71</v>
      </c>
      <c r="W27" s="62">
        <f t="shared" si="16"/>
        <v>2303.71</v>
      </c>
      <c r="X27" s="62">
        <f t="shared" si="16"/>
        <v>2303.71</v>
      </c>
      <c r="Y27" s="62">
        <f t="shared" si="16"/>
        <v>2303.71</v>
      </c>
      <c r="Z27" s="62">
        <f t="shared" si="16"/>
        <v>2303.71</v>
      </c>
      <c r="AA27" s="62">
        <f t="shared" si="16"/>
        <v>2303.71</v>
      </c>
      <c r="AB27" s="62">
        <f t="shared" si="16"/>
        <v>2303.71</v>
      </c>
      <c r="AC27" s="62">
        <f t="shared" si="16"/>
        <v>2303.71</v>
      </c>
      <c r="AD27" s="62">
        <f t="shared" si="16"/>
        <v>2303.71</v>
      </c>
      <c r="AE27" s="62">
        <f t="shared" si="16"/>
        <v>2303.71</v>
      </c>
      <c r="AF27" s="62">
        <f t="shared" si="16"/>
        <v>2303.71</v>
      </c>
      <c r="AG27" s="62">
        <f t="shared" si="16"/>
        <v>2303.71</v>
      </c>
      <c r="AH27" s="62">
        <f t="shared" si="16"/>
        <v>2303.71</v>
      </c>
      <c r="AI27" s="62">
        <f t="shared" si="15"/>
        <v>2303.71</v>
      </c>
      <c r="AJ27" s="62">
        <f t="shared" si="15"/>
        <v>2303.71</v>
      </c>
      <c r="AK27" s="62">
        <f t="shared" si="15"/>
        <v>2303.71</v>
      </c>
    </row>
    <row r="28" spans="2:37" x14ac:dyDescent="0.35">
      <c r="B28" s="50"/>
      <c r="C28" s="61" t="s">
        <v>82</v>
      </c>
      <c r="D28" s="2"/>
      <c r="E28" s="62">
        <f t="shared" si="16"/>
        <v>-634.01066666666668</v>
      </c>
      <c r="F28" s="62">
        <f t="shared" si="16"/>
        <v>-1774.8375333333336</v>
      </c>
      <c r="G28" s="62">
        <f t="shared" si="16"/>
        <v>-2996.7846666666669</v>
      </c>
      <c r="H28" s="62">
        <f t="shared" si="16"/>
        <v>-2892.8234666666667</v>
      </c>
      <c r="I28" s="62">
        <f t="shared" si="16"/>
        <v>-2833.91212</v>
      </c>
      <c r="J28" s="62">
        <f t="shared" si="16"/>
        <v>-2780.8919080000001</v>
      </c>
      <c r="K28" s="62">
        <f t="shared" si="16"/>
        <v>-2733.1737172000003</v>
      </c>
      <c r="L28" s="62">
        <f t="shared" si="16"/>
        <v>-2690.2273454800002</v>
      </c>
      <c r="M28" s="62">
        <f t="shared" si="16"/>
        <v>-2651.575610932</v>
      </c>
      <c r="N28" s="62">
        <f t="shared" si="16"/>
        <v>-2616.7890498388001</v>
      </c>
      <c r="O28" s="62">
        <f t="shared" si="16"/>
        <v>-2585.4811448549199</v>
      </c>
      <c r="P28" s="62">
        <f t="shared" si="16"/>
        <v>-2557.3040303694279</v>
      </c>
      <c r="Q28" s="62">
        <f t="shared" si="16"/>
        <v>-2531.9446273324852</v>
      </c>
      <c r="R28" s="62">
        <f t="shared" si="16"/>
        <v>-2509.1211645992366</v>
      </c>
      <c r="S28" s="62">
        <f t="shared" si="16"/>
        <v>-2488.580048139313</v>
      </c>
      <c r="T28" s="62">
        <f t="shared" si="16"/>
        <v>-2470.0930433253816</v>
      </c>
      <c r="U28" s="62">
        <f t="shared" si="16"/>
        <v>-2453.4547389928434</v>
      </c>
      <c r="V28" s="62">
        <f t="shared" si="16"/>
        <v>-2438.4802650935594</v>
      </c>
      <c r="W28" s="62">
        <f t="shared" si="16"/>
        <v>-2425.0032385842032</v>
      </c>
      <c r="X28" s="62">
        <f t="shared" si="16"/>
        <v>-2412.8739147257829</v>
      </c>
      <c r="Y28" s="62">
        <f t="shared" si="16"/>
        <v>-2401.9575232532047</v>
      </c>
      <c r="Z28" s="62">
        <f t="shared" si="16"/>
        <v>-2392.1327709278844</v>
      </c>
      <c r="AA28" s="62">
        <f t="shared" si="16"/>
        <v>-2383.2904938350957</v>
      </c>
      <c r="AB28" s="62">
        <f t="shared" si="16"/>
        <v>-2375.3324444515861</v>
      </c>
      <c r="AC28" s="62">
        <f t="shared" si="16"/>
        <v>-2368.1702000064274</v>
      </c>
      <c r="AD28" s="62">
        <f t="shared" si="16"/>
        <v>-2361.724180005785</v>
      </c>
      <c r="AE28" s="62">
        <f t="shared" si="16"/>
        <v>-2355.9227620052066</v>
      </c>
      <c r="AF28" s="62">
        <f t="shared" si="16"/>
        <v>-2350.7014858046859</v>
      </c>
      <c r="AG28" s="62">
        <f t="shared" si="16"/>
        <v>-2346.0023372242172</v>
      </c>
      <c r="AH28" s="62">
        <f t="shared" si="16"/>
        <v>-2341.7731035017955</v>
      </c>
      <c r="AI28" s="62">
        <f t="shared" si="15"/>
        <v>-2337.966793151616</v>
      </c>
      <c r="AJ28" s="62">
        <f t="shared" si="15"/>
        <v>-2334.5411138364543</v>
      </c>
      <c r="AK28" s="62">
        <f t="shared" si="15"/>
        <v>-2331.4580024528091</v>
      </c>
    </row>
    <row r="29" spans="2:37" x14ac:dyDescent="0.35">
      <c r="B29" s="50"/>
      <c r="C29" s="63" t="s">
        <v>86</v>
      </c>
      <c r="D29" s="5"/>
      <c r="E29" s="64">
        <f>SUM(E27:E28)</f>
        <v>5706.0959999999995</v>
      </c>
      <c r="F29" s="64">
        <f>SUM(E29,F27:F28)</f>
        <v>17072.213799999998</v>
      </c>
      <c r="G29" s="64">
        <f t="shared" ref="G29:AK29" si="17">SUM(F29,G27:G28)</f>
        <v>28183.942666666662</v>
      </c>
      <c r="H29" s="64">
        <f t="shared" si="17"/>
        <v>27594.829199999993</v>
      </c>
      <c r="I29" s="64">
        <f t="shared" si="17"/>
        <v>27064.627079999991</v>
      </c>
      <c r="J29" s="64">
        <f>SUM(I29,J27:J28)</f>
        <v>26587.445171999989</v>
      </c>
      <c r="K29" s="64">
        <f>SUM(J29,K27:K28)</f>
        <v>26157.981454799989</v>
      </c>
      <c r="L29" s="64">
        <f>SUM(K29,L27:L28)</f>
        <v>25771.464109319986</v>
      </c>
      <c r="M29" s="64">
        <f>SUM(L29,M27:M28)</f>
        <v>25423.598498387986</v>
      </c>
      <c r="N29" s="64">
        <f t="shared" si="17"/>
        <v>25110.519448549185</v>
      </c>
      <c r="O29" s="64">
        <f t="shared" si="17"/>
        <v>24828.748303694265</v>
      </c>
      <c r="P29" s="64">
        <f t="shared" si="17"/>
        <v>24575.154273324835</v>
      </c>
      <c r="Q29" s="64">
        <f t="shared" si="17"/>
        <v>24346.919645992348</v>
      </c>
      <c r="R29" s="64">
        <f t="shared" si="17"/>
        <v>24141.50848139311</v>
      </c>
      <c r="S29" s="64">
        <f t="shared" si="17"/>
        <v>23956.638433253796</v>
      </c>
      <c r="T29" s="64">
        <f t="shared" si="17"/>
        <v>23790.255389928414</v>
      </c>
      <c r="U29" s="64">
        <f t="shared" si="17"/>
        <v>23640.510650935568</v>
      </c>
      <c r="V29" s="64">
        <f t="shared" si="17"/>
        <v>23505.740385842008</v>
      </c>
      <c r="W29" s="64">
        <f t="shared" si="17"/>
        <v>23384.447147257804</v>
      </c>
      <c r="X29" s="64">
        <f t="shared" si="17"/>
        <v>23275.28323253202</v>
      </c>
      <c r="Y29" s="64">
        <f t="shared" si="17"/>
        <v>23177.035709278814</v>
      </c>
      <c r="Z29" s="64">
        <f t="shared" si="17"/>
        <v>23088.612938350929</v>
      </c>
      <c r="AA29" s="64">
        <f t="shared" si="17"/>
        <v>23009.032444515833</v>
      </c>
      <c r="AB29" s="64">
        <f t="shared" si="17"/>
        <v>22937.410000064247</v>
      </c>
      <c r="AC29" s="64">
        <f t="shared" si="17"/>
        <v>22872.949800057817</v>
      </c>
      <c r="AD29" s="64">
        <f t="shared" si="17"/>
        <v>22814.935620052031</v>
      </c>
      <c r="AE29" s="64">
        <f t="shared" si="17"/>
        <v>22762.722858046822</v>
      </c>
      <c r="AF29" s="64">
        <f t="shared" si="17"/>
        <v>22715.731372242135</v>
      </c>
      <c r="AG29" s="64">
        <f t="shared" si="17"/>
        <v>22673.439035017916</v>
      </c>
      <c r="AH29" s="64">
        <f t="shared" si="17"/>
        <v>22635.375931516119</v>
      </c>
      <c r="AI29" s="64">
        <f t="shared" si="17"/>
        <v>22601.119138364502</v>
      </c>
      <c r="AJ29" s="64">
        <f t="shared" si="17"/>
        <v>22570.288024528047</v>
      </c>
      <c r="AK29" s="64">
        <f t="shared" si="17"/>
        <v>22542.540022075238</v>
      </c>
    </row>
    <row r="30" spans="2:37" ht="15" thickBot="1" x14ac:dyDescent="0.4">
      <c r="B30" s="65"/>
      <c r="C30" s="66"/>
      <c r="D30" s="30"/>
      <c r="E30" s="67"/>
      <c r="F30" s="30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</row>
    <row r="31" spans="2:37" x14ac:dyDescent="0.35">
      <c r="B31" s="147" t="s">
        <v>87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68"/>
      <c r="AI31" s="68"/>
      <c r="AJ31" s="68"/>
      <c r="AK31" s="68"/>
    </row>
    <row r="32" spans="2:37" x14ac:dyDescent="0.35">
      <c r="B32" s="4"/>
      <c r="C32" s="2"/>
      <c r="D32" s="69" t="s">
        <v>42</v>
      </c>
      <c r="E32" s="69" t="s">
        <v>43</v>
      </c>
      <c r="F32" s="69" t="s">
        <v>44</v>
      </c>
      <c r="G32" s="69" t="s">
        <v>45</v>
      </c>
      <c r="H32" s="69" t="s">
        <v>46</v>
      </c>
      <c r="I32" s="69" t="s">
        <v>47</v>
      </c>
      <c r="J32" s="69" t="s">
        <v>48</v>
      </c>
      <c r="K32" s="69" t="s">
        <v>49</v>
      </c>
      <c r="L32" s="69" t="s">
        <v>50</v>
      </c>
      <c r="M32" s="69" t="s">
        <v>51</v>
      </c>
      <c r="N32" s="69" t="s">
        <v>52</v>
      </c>
      <c r="O32" s="69" t="s">
        <v>53</v>
      </c>
      <c r="P32" s="69" t="s">
        <v>54</v>
      </c>
      <c r="Q32" s="69" t="s">
        <v>55</v>
      </c>
      <c r="R32" s="69" t="s">
        <v>56</v>
      </c>
      <c r="S32" s="69" t="s">
        <v>57</v>
      </c>
      <c r="T32" s="69" t="s">
        <v>58</v>
      </c>
      <c r="U32" s="69" t="s">
        <v>59</v>
      </c>
      <c r="V32" s="69" t="s">
        <v>60</v>
      </c>
      <c r="W32" s="69" t="s">
        <v>61</v>
      </c>
      <c r="X32" s="69" t="s">
        <v>62</v>
      </c>
      <c r="Y32" s="69" t="s">
        <v>63</v>
      </c>
      <c r="Z32" s="69" t="s">
        <v>64</v>
      </c>
      <c r="AA32" s="69" t="s">
        <v>65</v>
      </c>
      <c r="AB32" s="69" t="s">
        <v>66</v>
      </c>
      <c r="AC32" s="69" t="s">
        <v>67</v>
      </c>
      <c r="AD32" s="69" t="s">
        <v>68</v>
      </c>
      <c r="AE32" s="69" t="s">
        <v>69</v>
      </c>
      <c r="AF32" s="69" t="s">
        <v>70</v>
      </c>
      <c r="AG32" s="69" t="s">
        <v>71</v>
      </c>
      <c r="AH32" s="69" t="s">
        <v>72</v>
      </c>
      <c r="AI32" s="69" t="s">
        <v>73</v>
      </c>
      <c r="AJ32" s="69" t="s">
        <v>74</v>
      </c>
      <c r="AK32" s="69" t="s">
        <v>75</v>
      </c>
    </row>
    <row r="33" spans="2:37" x14ac:dyDescent="0.35">
      <c r="B33" s="4"/>
      <c r="C33" s="34" t="s">
        <v>88</v>
      </c>
      <c r="D33" s="70">
        <v>500000</v>
      </c>
      <c r="E33" s="70">
        <v>0</v>
      </c>
      <c r="F33" s="70">
        <v>0</v>
      </c>
      <c r="G33" s="70">
        <f>$AL$33*(G26-F26)</f>
        <v>0</v>
      </c>
      <c r="H33" s="70">
        <f t="shared" ref="H33:AK33" si="18">$AL$33*(H26-G26)</f>
        <v>0</v>
      </c>
      <c r="I33" s="70">
        <f t="shared" si="18"/>
        <v>0</v>
      </c>
      <c r="J33" s="70">
        <f t="shared" si="18"/>
        <v>0</v>
      </c>
      <c r="K33" s="70">
        <f t="shared" si="18"/>
        <v>0</v>
      </c>
      <c r="L33" s="70">
        <f t="shared" si="18"/>
        <v>0</v>
      </c>
      <c r="M33" s="70">
        <f t="shared" si="18"/>
        <v>0</v>
      </c>
      <c r="N33" s="70">
        <f t="shared" si="18"/>
        <v>0</v>
      </c>
      <c r="O33" s="70">
        <f t="shared" si="18"/>
        <v>0</v>
      </c>
      <c r="P33" s="70">
        <f t="shared" si="18"/>
        <v>0</v>
      </c>
      <c r="Q33" s="70">
        <f t="shared" si="18"/>
        <v>0</v>
      </c>
      <c r="R33" s="70">
        <f t="shared" si="18"/>
        <v>0</v>
      </c>
      <c r="S33" s="70">
        <f t="shared" si="18"/>
        <v>0</v>
      </c>
      <c r="T33" s="70">
        <f t="shared" si="18"/>
        <v>0</v>
      </c>
      <c r="U33" s="70">
        <f t="shared" si="18"/>
        <v>0</v>
      </c>
      <c r="V33" s="70">
        <f t="shared" si="18"/>
        <v>0</v>
      </c>
      <c r="W33" s="70">
        <f t="shared" si="18"/>
        <v>0</v>
      </c>
      <c r="X33" s="70">
        <f t="shared" si="18"/>
        <v>0</v>
      </c>
      <c r="Y33" s="70">
        <f t="shared" si="18"/>
        <v>0</v>
      </c>
      <c r="Z33" s="70">
        <f t="shared" si="18"/>
        <v>0</v>
      </c>
      <c r="AA33" s="70">
        <f t="shared" si="18"/>
        <v>0</v>
      </c>
      <c r="AB33" s="70">
        <f t="shared" si="18"/>
        <v>0</v>
      </c>
      <c r="AC33" s="70">
        <f t="shared" si="18"/>
        <v>0</v>
      </c>
      <c r="AD33" s="70">
        <f t="shared" si="18"/>
        <v>0</v>
      </c>
      <c r="AE33" s="70">
        <f t="shared" si="18"/>
        <v>0</v>
      </c>
      <c r="AF33" s="70">
        <f t="shared" si="18"/>
        <v>0</v>
      </c>
      <c r="AG33" s="70">
        <f t="shared" si="18"/>
        <v>0</v>
      </c>
      <c r="AH33" s="70">
        <f t="shared" si="18"/>
        <v>0</v>
      </c>
      <c r="AI33" s="70">
        <f t="shared" si="18"/>
        <v>0</v>
      </c>
      <c r="AJ33" s="70">
        <f t="shared" si="18"/>
        <v>0</v>
      </c>
      <c r="AK33" s="70">
        <f t="shared" si="18"/>
        <v>0</v>
      </c>
    </row>
    <row r="34" spans="2:37" x14ac:dyDescent="0.35">
      <c r="B34" s="71"/>
      <c r="C34" s="45" t="s">
        <v>89</v>
      </c>
      <c r="D34" s="72">
        <v>200000</v>
      </c>
      <c r="E34" s="73">
        <v>0</v>
      </c>
      <c r="F34" s="73">
        <v>0</v>
      </c>
      <c r="G34" s="73">
        <v>0</v>
      </c>
      <c r="H34" s="73">
        <f>$AL$34*H26</f>
        <v>0</v>
      </c>
      <c r="I34" s="73">
        <f t="shared" ref="I34:AK34" si="19">$AL$34*I26</f>
        <v>0</v>
      </c>
      <c r="J34" s="73">
        <f t="shared" si="19"/>
        <v>0</v>
      </c>
      <c r="K34" s="73">
        <f t="shared" si="19"/>
        <v>0</v>
      </c>
      <c r="L34" s="73">
        <f t="shared" si="19"/>
        <v>0</v>
      </c>
      <c r="M34" s="73">
        <f t="shared" si="19"/>
        <v>0</v>
      </c>
      <c r="N34" s="73">
        <f t="shared" si="19"/>
        <v>0</v>
      </c>
      <c r="O34" s="73">
        <f t="shared" si="19"/>
        <v>0</v>
      </c>
      <c r="P34" s="73">
        <f t="shared" si="19"/>
        <v>0</v>
      </c>
      <c r="Q34" s="73">
        <f t="shared" si="19"/>
        <v>0</v>
      </c>
      <c r="R34" s="73">
        <f t="shared" si="19"/>
        <v>0</v>
      </c>
      <c r="S34" s="73">
        <f t="shared" si="19"/>
        <v>0</v>
      </c>
      <c r="T34" s="73">
        <f t="shared" si="19"/>
        <v>0</v>
      </c>
      <c r="U34" s="73">
        <f t="shared" si="19"/>
        <v>0</v>
      </c>
      <c r="V34" s="73">
        <f t="shared" si="19"/>
        <v>0</v>
      </c>
      <c r="W34" s="73">
        <f t="shared" si="19"/>
        <v>0</v>
      </c>
      <c r="X34" s="73">
        <f t="shared" si="19"/>
        <v>0</v>
      </c>
      <c r="Y34" s="73">
        <f t="shared" si="19"/>
        <v>0</v>
      </c>
      <c r="Z34" s="73">
        <f t="shared" si="19"/>
        <v>0</v>
      </c>
      <c r="AA34" s="73">
        <f t="shared" si="19"/>
        <v>0</v>
      </c>
      <c r="AB34" s="73">
        <f t="shared" si="19"/>
        <v>0</v>
      </c>
      <c r="AC34" s="73">
        <f t="shared" si="19"/>
        <v>0</v>
      </c>
      <c r="AD34" s="73">
        <f t="shared" si="19"/>
        <v>0</v>
      </c>
      <c r="AE34" s="73">
        <f t="shared" si="19"/>
        <v>0</v>
      </c>
      <c r="AF34" s="73">
        <f t="shared" si="19"/>
        <v>0</v>
      </c>
      <c r="AG34" s="73">
        <f t="shared" si="19"/>
        <v>0</v>
      </c>
      <c r="AH34" s="73">
        <f t="shared" si="19"/>
        <v>0</v>
      </c>
      <c r="AI34" s="73">
        <f t="shared" si="19"/>
        <v>0</v>
      </c>
      <c r="AJ34" s="73">
        <f t="shared" si="19"/>
        <v>0</v>
      </c>
      <c r="AK34" s="73">
        <f t="shared" si="19"/>
        <v>0</v>
      </c>
    </row>
    <row r="35" spans="2:37" x14ac:dyDescent="0.35">
      <c r="B35" s="4" t="s">
        <v>90</v>
      </c>
      <c r="C35" s="2"/>
      <c r="D35" s="2"/>
      <c r="E35" s="2"/>
      <c r="F35" s="2"/>
      <c r="G35" s="2"/>
      <c r="H35" s="7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2:37" x14ac:dyDescent="0.35">
      <c r="B36" s="4" t="s">
        <v>91</v>
      </c>
      <c r="C36" s="2"/>
      <c r="D36" s="69" t="s">
        <v>42</v>
      </c>
      <c r="E36" s="69" t="s">
        <v>43</v>
      </c>
      <c r="F36" s="69" t="s">
        <v>44</v>
      </c>
      <c r="G36" s="69" t="s">
        <v>45</v>
      </c>
      <c r="H36" s="69" t="s">
        <v>46</v>
      </c>
      <c r="I36" s="69" t="s">
        <v>47</v>
      </c>
      <c r="J36" s="69" t="s">
        <v>48</v>
      </c>
      <c r="K36" s="69" t="s">
        <v>49</v>
      </c>
      <c r="L36" s="69" t="s">
        <v>50</v>
      </c>
      <c r="M36" s="69" t="s">
        <v>51</v>
      </c>
      <c r="N36" s="69" t="s">
        <v>52</v>
      </c>
      <c r="O36" s="69" t="s">
        <v>53</v>
      </c>
      <c r="P36" s="69" t="s">
        <v>54</v>
      </c>
      <c r="Q36" s="69" t="s">
        <v>55</v>
      </c>
      <c r="R36" s="69" t="s">
        <v>56</v>
      </c>
      <c r="S36" s="69" t="s">
        <v>57</v>
      </c>
      <c r="T36" s="69" t="s">
        <v>58</v>
      </c>
      <c r="U36" s="69" t="s">
        <v>59</v>
      </c>
      <c r="V36" s="69" t="s">
        <v>60</v>
      </c>
      <c r="W36" s="69" t="s">
        <v>61</v>
      </c>
      <c r="X36" s="69" t="s">
        <v>62</v>
      </c>
      <c r="Y36" s="69" t="s">
        <v>63</v>
      </c>
      <c r="Z36" s="69" t="s">
        <v>64</v>
      </c>
      <c r="AA36" s="69" t="s">
        <v>65</v>
      </c>
      <c r="AB36" s="69" t="s">
        <v>66</v>
      </c>
      <c r="AC36" s="69" t="s">
        <v>67</v>
      </c>
      <c r="AD36" s="69" t="s">
        <v>68</v>
      </c>
      <c r="AE36" s="69" t="s">
        <v>69</v>
      </c>
      <c r="AF36" s="69" t="s">
        <v>70</v>
      </c>
      <c r="AG36" s="69" t="s">
        <v>71</v>
      </c>
      <c r="AH36" s="69" t="s">
        <v>72</v>
      </c>
      <c r="AI36" s="69" t="s">
        <v>73</v>
      </c>
      <c r="AJ36" s="69" t="s">
        <v>74</v>
      </c>
      <c r="AK36" s="69" t="s">
        <v>75</v>
      </c>
    </row>
    <row r="37" spans="2:37" s="81" customFormat="1" x14ac:dyDescent="0.35">
      <c r="B37" s="158"/>
      <c r="C37" s="83" t="s">
        <v>92</v>
      </c>
      <c r="D37" s="155">
        <f>100000*1.105*1.28*0.5</f>
        <v>70720</v>
      </c>
      <c r="E37" s="155">
        <f>100000*1.105*1.28</f>
        <v>141440</v>
      </c>
      <c r="F37" s="155">
        <f t="shared" ref="F37:N40" si="20">E37*1.03</f>
        <v>145683.20000000001</v>
      </c>
      <c r="G37" s="155">
        <f t="shared" si="20"/>
        <v>150053.69600000003</v>
      </c>
      <c r="H37" s="155">
        <f t="shared" si="20"/>
        <v>154555.30688000002</v>
      </c>
      <c r="I37" s="155">
        <f t="shared" si="20"/>
        <v>159191.96608640003</v>
      </c>
      <c r="J37" s="155">
        <f t="shared" si="20"/>
        <v>163967.72506899203</v>
      </c>
      <c r="K37" s="155">
        <f t="shared" si="20"/>
        <v>168886.7568210618</v>
      </c>
      <c r="L37" s="155">
        <f t="shared" si="20"/>
        <v>173953.35952569367</v>
      </c>
      <c r="M37" s="155">
        <f t="shared" si="20"/>
        <v>179171.96031146447</v>
      </c>
      <c r="N37" s="155">
        <f>M37*1.03/2</f>
        <v>92273.559560404203</v>
      </c>
      <c r="O37" s="155">
        <f t="shared" ref="O37:AD40" si="21">N37*1.03</f>
        <v>95041.766347216326</v>
      </c>
      <c r="P37" s="155">
        <f t="shared" si="21"/>
        <v>97893.019337632824</v>
      </c>
      <c r="Q37" s="155">
        <f t="shared" si="21"/>
        <v>100829.80991776181</v>
      </c>
      <c r="R37" s="155">
        <f t="shared" si="21"/>
        <v>103854.70421529467</v>
      </c>
      <c r="S37" s="155">
        <f t="shared" si="21"/>
        <v>106970.34534175351</v>
      </c>
      <c r="T37" s="155">
        <f t="shared" si="21"/>
        <v>110179.45570200612</v>
      </c>
      <c r="U37" s="155">
        <f t="shared" si="21"/>
        <v>113484.83937306631</v>
      </c>
      <c r="V37" s="155">
        <f t="shared" si="21"/>
        <v>116889.3845542583</v>
      </c>
      <c r="W37" s="155">
        <f t="shared" si="21"/>
        <v>120396.06609088606</v>
      </c>
      <c r="X37" s="155">
        <f t="shared" si="21"/>
        <v>124007.94807361264</v>
      </c>
      <c r="Y37" s="155">
        <f t="shared" si="21"/>
        <v>127728.18651582103</v>
      </c>
      <c r="Z37" s="155">
        <f t="shared" si="21"/>
        <v>131560.03211129567</v>
      </c>
      <c r="AA37" s="155">
        <f t="shared" si="21"/>
        <v>135506.83307463455</v>
      </c>
      <c r="AB37" s="155">
        <f t="shared" si="21"/>
        <v>139572.03806687359</v>
      </c>
      <c r="AC37" s="155">
        <f t="shared" si="21"/>
        <v>143759.19920887981</v>
      </c>
      <c r="AD37" s="155">
        <f t="shared" si="21"/>
        <v>148071.97518514621</v>
      </c>
      <c r="AE37" s="155">
        <f t="shared" ref="AE37:AJ40" si="22">AD37*1.03</f>
        <v>152514.13444070058</v>
      </c>
      <c r="AF37" s="155">
        <f t="shared" si="22"/>
        <v>157089.55847392161</v>
      </c>
      <c r="AG37" s="155">
        <f t="shared" si="22"/>
        <v>161802.24522813928</v>
      </c>
      <c r="AH37" s="155">
        <f t="shared" si="22"/>
        <v>166656.31258498345</v>
      </c>
      <c r="AI37" s="155">
        <f t="shared" si="22"/>
        <v>171656.00196253296</v>
      </c>
      <c r="AJ37" s="155">
        <f t="shared" si="22"/>
        <v>176805.68202140895</v>
      </c>
      <c r="AK37" s="155">
        <f>IF($AK$72=0,0,AJ37*1.03)</f>
        <v>0</v>
      </c>
    </row>
    <row r="38" spans="2:37" s="81" customFormat="1" x14ac:dyDescent="0.35">
      <c r="B38" s="158"/>
      <c r="C38" s="83" t="s">
        <v>93</v>
      </c>
      <c r="D38" s="155"/>
      <c r="E38" s="155">
        <f>68000*1.105*1.28*0.25</f>
        <v>24044.799999999999</v>
      </c>
      <c r="F38" s="155">
        <f>68000*1.105*1.28</f>
        <v>96179.199999999997</v>
      </c>
      <c r="G38" s="155">
        <f>F38*1.03</f>
        <v>99064.576000000001</v>
      </c>
      <c r="H38" s="155">
        <f t="shared" si="20"/>
        <v>102036.51328</v>
      </c>
      <c r="I38" s="155">
        <f t="shared" si="20"/>
        <v>105097.60867840001</v>
      </c>
      <c r="J38" s="155">
        <f t="shared" si="20"/>
        <v>108250.536938752</v>
      </c>
      <c r="K38" s="155">
        <f t="shared" si="20"/>
        <v>111498.05304691457</v>
      </c>
      <c r="L38" s="155">
        <f t="shared" si="20"/>
        <v>114842.99463832201</v>
      </c>
      <c r="M38" s="155">
        <f t="shared" si="20"/>
        <v>118288.28447747167</v>
      </c>
      <c r="N38" s="155">
        <f>M38*1.03/2</f>
        <v>60918.466505897908</v>
      </c>
      <c r="O38" s="155">
        <f t="shared" si="21"/>
        <v>62746.020501074847</v>
      </c>
      <c r="P38" s="155">
        <f t="shared" si="21"/>
        <v>64628.401116107096</v>
      </c>
      <c r="Q38" s="155">
        <f t="shared" si="21"/>
        <v>66567.253149590309</v>
      </c>
      <c r="R38" s="155">
        <f t="shared" si="21"/>
        <v>68564.270744078021</v>
      </c>
      <c r="S38" s="155">
        <f t="shared" si="21"/>
        <v>70621.198866400358</v>
      </c>
      <c r="T38" s="155">
        <f t="shared" si="21"/>
        <v>72739.834832392371</v>
      </c>
      <c r="U38" s="155">
        <f t="shared" si="21"/>
        <v>74922.029877364141</v>
      </c>
      <c r="V38" s="155">
        <f t="shared" si="21"/>
        <v>77169.69077368507</v>
      </c>
      <c r="W38" s="155">
        <f t="shared" si="21"/>
        <v>79484.781496895623</v>
      </c>
      <c r="X38" s="155">
        <f t="shared" si="21"/>
        <v>81869.324941802493</v>
      </c>
      <c r="Y38" s="155">
        <f t="shared" si="21"/>
        <v>84325.404690056574</v>
      </c>
      <c r="Z38" s="155">
        <f t="shared" si="21"/>
        <v>86855.166830758273</v>
      </c>
      <c r="AA38" s="155">
        <f t="shared" si="21"/>
        <v>89460.821835681025</v>
      </c>
      <c r="AB38" s="155">
        <f t="shared" si="21"/>
        <v>92144.64649075146</v>
      </c>
      <c r="AC38" s="155">
        <f t="shared" si="21"/>
        <v>94908.985885474001</v>
      </c>
      <c r="AD38" s="155">
        <f t="shared" si="21"/>
        <v>97756.255462038229</v>
      </c>
      <c r="AE38" s="155">
        <f t="shared" si="22"/>
        <v>100688.94312589937</v>
      </c>
      <c r="AF38" s="155">
        <f t="shared" si="22"/>
        <v>103709.61141967635</v>
      </c>
      <c r="AG38" s="155">
        <f t="shared" si="22"/>
        <v>106820.89976226665</v>
      </c>
      <c r="AH38" s="155">
        <f t="shared" si="22"/>
        <v>110025.52675513465</v>
      </c>
      <c r="AI38" s="155">
        <f t="shared" si="22"/>
        <v>113326.29255778869</v>
      </c>
      <c r="AJ38" s="155">
        <f t="shared" si="22"/>
        <v>116726.08133452236</v>
      </c>
      <c r="AK38" s="155">
        <f t="shared" ref="AK38:AK40" si="23">IF($AK$72=0,0,AJ38*1.03)</f>
        <v>0</v>
      </c>
    </row>
    <row r="39" spans="2:37" s="81" customFormat="1" x14ac:dyDescent="0.35">
      <c r="B39" s="158"/>
      <c r="C39" s="83" t="s">
        <v>94</v>
      </c>
      <c r="D39" s="155">
        <f>1.5*100000*1.105*1.28</f>
        <v>212160</v>
      </c>
      <c r="E39" s="155">
        <f>100000*1.105*1.28</f>
        <v>141440</v>
      </c>
      <c r="F39" s="155">
        <f>0.75*100000*1.105*1.28</f>
        <v>106080</v>
      </c>
      <c r="G39" s="155">
        <f>0.5*100000*1.105*1.28</f>
        <v>70720</v>
      </c>
      <c r="H39" s="155">
        <f>G39*1.03</f>
        <v>72841.600000000006</v>
      </c>
      <c r="I39" s="155">
        <f t="shared" si="20"/>
        <v>75026.848000000013</v>
      </c>
      <c r="J39" s="155">
        <f t="shared" si="20"/>
        <v>77277.653440000009</v>
      </c>
      <c r="K39" s="155">
        <f t="shared" si="20"/>
        <v>79595.983043200016</v>
      </c>
      <c r="L39" s="155">
        <f t="shared" si="20"/>
        <v>81983.862534496016</v>
      </c>
      <c r="M39" s="155">
        <f t="shared" si="20"/>
        <v>84443.378410530902</v>
      </c>
      <c r="N39" s="155">
        <f>M39*1.03/2</f>
        <v>43488.339881423417</v>
      </c>
      <c r="O39" s="155">
        <f t="shared" si="21"/>
        <v>44792.990077866118</v>
      </c>
      <c r="P39" s="155">
        <f t="shared" si="21"/>
        <v>46136.779780202101</v>
      </c>
      <c r="Q39" s="155">
        <f t="shared" si="21"/>
        <v>47520.883173608163</v>
      </c>
      <c r="R39" s="155">
        <f t="shared" si="21"/>
        <v>48946.509668816412</v>
      </c>
      <c r="S39" s="155">
        <f t="shared" si="21"/>
        <v>50414.904958880907</v>
      </c>
      <c r="T39" s="155">
        <f t="shared" si="21"/>
        <v>51927.352107647333</v>
      </c>
      <c r="U39" s="155">
        <f t="shared" si="21"/>
        <v>53485.172670876753</v>
      </c>
      <c r="V39" s="155">
        <f t="shared" si="21"/>
        <v>55089.727851003059</v>
      </c>
      <c r="W39" s="155">
        <f t="shared" si="21"/>
        <v>56742.419686533154</v>
      </c>
      <c r="X39" s="155">
        <f t="shared" si="21"/>
        <v>58444.69227712915</v>
      </c>
      <c r="Y39" s="155">
        <f t="shared" si="21"/>
        <v>60198.03304544303</v>
      </c>
      <c r="Z39" s="155">
        <f t="shared" si="21"/>
        <v>62003.974036806321</v>
      </c>
      <c r="AA39" s="155">
        <f t="shared" si="21"/>
        <v>63864.093257910514</v>
      </c>
      <c r="AB39" s="155">
        <f t="shared" si="21"/>
        <v>65780.016055647837</v>
      </c>
      <c r="AC39" s="155">
        <f t="shared" si="21"/>
        <v>67753.416537317273</v>
      </c>
      <c r="AD39" s="155">
        <f t="shared" si="21"/>
        <v>69786.019033436794</v>
      </c>
      <c r="AE39" s="155">
        <f t="shared" si="22"/>
        <v>71879.599604439907</v>
      </c>
      <c r="AF39" s="155">
        <f t="shared" si="22"/>
        <v>74035.987592573103</v>
      </c>
      <c r="AG39" s="155">
        <f t="shared" si="22"/>
        <v>76257.067220350291</v>
      </c>
      <c r="AH39" s="155">
        <f t="shared" si="22"/>
        <v>78544.779236960807</v>
      </c>
      <c r="AI39" s="155">
        <f t="shared" si="22"/>
        <v>80901.122614069638</v>
      </c>
      <c r="AJ39" s="155">
        <f t="shared" si="22"/>
        <v>83328.156292491723</v>
      </c>
      <c r="AK39" s="155">
        <f t="shared" si="23"/>
        <v>0</v>
      </c>
    </row>
    <row r="40" spans="2:37" s="81" customFormat="1" x14ac:dyDescent="0.35">
      <c r="B40" s="158"/>
      <c r="C40" s="83" t="s">
        <v>95</v>
      </c>
      <c r="D40" s="156">
        <v>0.2</v>
      </c>
      <c r="E40" s="156">
        <f>0.25*100000*1.105*1.3188</f>
        <v>36431.85</v>
      </c>
      <c r="F40" s="157">
        <f>0.1*100000*1.105*1.3188</f>
        <v>14572.74</v>
      </c>
      <c r="G40" s="157">
        <f>F40*1.03</f>
        <v>15009.922200000001</v>
      </c>
      <c r="H40" s="157">
        <f t="shared" ref="H40" si="24">G40*1.03</f>
        <v>15460.219866000001</v>
      </c>
      <c r="I40" s="157">
        <f t="shared" si="20"/>
        <v>15924.026461980002</v>
      </c>
      <c r="J40" s="157">
        <f t="shared" si="20"/>
        <v>16401.747255839404</v>
      </c>
      <c r="K40" s="157">
        <f t="shared" si="20"/>
        <v>16893.799673514586</v>
      </c>
      <c r="L40" s="157">
        <f t="shared" si="20"/>
        <v>17400.613663720025</v>
      </c>
      <c r="M40" s="157">
        <f t="shared" si="20"/>
        <v>17922.632073631627</v>
      </c>
      <c r="N40" s="157">
        <f t="shared" si="20"/>
        <v>18460.311035840576</v>
      </c>
      <c r="O40" s="157">
        <f t="shared" si="21"/>
        <v>19014.120366915795</v>
      </c>
      <c r="P40" s="157">
        <f t="shared" si="21"/>
        <v>19584.543977923269</v>
      </c>
      <c r="Q40" s="157">
        <f t="shared" si="21"/>
        <v>20172.080297260967</v>
      </c>
      <c r="R40" s="157">
        <f t="shared" si="21"/>
        <v>20777.242706178797</v>
      </c>
      <c r="S40" s="157">
        <f t="shared" si="21"/>
        <v>21400.559987364162</v>
      </c>
      <c r="T40" s="157">
        <f t="shared" si="21"/>
        <v>22042.576786985086</v>
      </c>
      <c r="U40" s="157">
        <f t="shared" si="21"/>
        <v>22703.854090594639</v>
      </c>
      <c r="V40" s="157">
        <f t="shared" si="21"/>
        <v>23384.969713312479</v>
      </c>
      <c r="W40" s="157">
        <f t="shared" si="21"/>
        <v>24086.518804711854</v>
      </c>
      <c r="X40" s="157">
        <f t="shared" si="21"/>
        <v>24809.11436885321</v>
      </c>
      <c r="Y40" s="157">
        <f t="shared" si="21"/>
        <v>25553.387799918808</v>
      </c>
      <c r="Z40" s="157">
        <f t="shared" si="21"/>
        <v>26319.989433916373</v>
      </c>
      <c r="AA40" s="157">
        <f t="shared" si="21"/>
        <v>27109.589116933865</v>
      </c>
      <c r="AB40" s="157">
        <f t="shared" si="21"/>
        <v>27922.876790441882</v>
      </c>
      <c r="AC40" s="157">
        <f t="shared" si="21"/>
        <v>28760.563094155139</v>
      </c>
      <c r="AD40" s="157">
        <f t="shared" si="21"/>
        <v>29623.379986979795</v>
      </c>
      <c r="AE40" s="157">
        <f t="shared" si="22"/>
        <v>30512.081386589191</v>
      </c>
      <c r="AF40" s="157">
        <f t="shared" si="22"/>
        <v>31427.443828186868</v>
      </c>
      <c r="AG40" s="157">
        <f t="shared" si="22"/>
        <v>32370.267143032474</v>
      </c>
      <c r="AH40" s="157">
        <f t="shared" si="22"/>
        <v>33341.375157323448</v>
      </c>
      <c r="AI40" s="157">
        <f t="shared" si="22"/>
        <v>34341.616412043149</v>
      </c>
      <c r="AJ40" s="157">
        <f t="shared" si="22"/>
        <v>35371.864904404443</v>
      </c>
      <c r="AK40" s="155">
        <f t="shared" si="23"/>
        <v>0</v>
      </c>
    </row>
    <row r="41" spans="2:37" x14ac:dyDescent="0.35">
      <c r="B41" s="36"/>
      <c r="C41" s="61" t="s">
        <v>96</v>
      </c>
      <c r="D41" s="76">
        <f>SUM(D37:D40)</f>
        <v>282880.2</v>
      </c>
      <c r="E41" s="76">
        <f t="shared" ref="E41:AK41" si="25">SUM(E37:E40)</f>
        <v>343356.64999999997</v>
      </c>
      <c r="F41" s="76">
        <f t="shared" si="25"/>
        <v>362515.14</v>
      </c>
      <c r="G41" s="76">
        <f t="shared" si="25"/>
        <v>334848.19420000003</v>
      </c>
      <c r="H41" s="76">
        <f t="shared" si="25"/>
        <v>344893.64002599998</v>
      </c>
      <c r="I41" s="76">
        <f t="shared" si="25"/>
        <v>355240.44922678004</v>
      </c>
      <c r="J41" s="76">
        <f t="shared" si="25"/>
        <v>365897.66270358348</v>
      </c>
      <c r="K41" s="76">
        <f t="shared" si="25"/>
        <v>376874.59258469089</v>
      </c>
      <c r="L41" s="76">
        <f t="shared" si="25"/>
        <v>388180.8303622317</v>
      </c>
      <c r="M41" s="76">
        <f t="shared" si="25"/>
        <v>399826.25527309865</v>
      </c>
      <c r="N41" s="76">
        <f t="shared" si="25"/>
        <v>215140.67698356611</v>
      </c>
      <c r="O41" s="76">
        <f t="shared" si="25"/>
        <v>221594.8972930731</v>
      </c>
      <c r="P41" s="76">
        <f t="shared" si="25"/>
        <v>228242.7442118653</v>
      </c>
      <c r="Q41" s="76">
        <f t="shared" si="25"/>
        <v>235090.02653822122</v>
      </c>
      <c r="R41" s="76">
        <f t="shared" si="25"/>
        <v>242142.7273343679</v>
      </c>
      <c r="S41" s="76">
        <f t="shared" si="25"/>
        <v>249407.00915439893</v>
      </c>
      <c r="T41" s="76">
        <f t="shared" si="25"/>
        <v>256889.21942903093</v>
      </c>
      <c r="U41" s="76">
        <f t="shared" si="25"/>
        <v>264595.89601190184</v>
      </c>
      <c r="V41" s="76">
        <f t="shared" si="25"/>
        <v>272533.77289225889</v>
      </c>
      <c r="W41" s="76">
        <f t="shared" si="25"/>
        <v>280709.7860790267</v>
      </c>
      <c r="X41" s="76">
        <f t="shared" si="25"/>
        <v>289131.0796613975</v>
      </c>
      <c r="Y41" s="76">
        <f t="shared" si="25"/>
        <v>297805.01205123944</v>
      </c>
      <c r="Z41" s="76">
        <f t="shared" si="25"/>
        <v>306739.16241277661</v>
      </c>
      <c r="AA41" s="76">
        <f t="shared" si="25"/>
        <v>315941.33728515997</v>
      </c>
      <c r="AB41" s="76">
        <f t="shared" si="25"/>
        <v>325419.57740371471</v>
      </c>
      <c r="AC41" s="76">
        <f t="shared" si="25"/>
        <v>335182.16472582624</v>
      </c>
      <c r="AD41" s="76">
        <f t="shared" si="25"/>
        <v>345237.62966760097</v>
      </c>
      <c r="AE41" s="76">
        <f t="shared" si="25"/>
        <v>355594.75855762907</v>
      </c>
      <c r="AF41" s="76">
        <f t="shared" si="25"/>
        <v>366262.60131435795</v>
      </c>
      <c r="AG41" s="76">
        <f t="shared" si="25"/>
        <v>377250.47935378872</v>
      </c>
      <c r="AH41" s="76">
        <f t="shared" si="25"/>
        <v>388567.99373440235</v>
      </c>
      <c r="AI41" s="76">
        <f t="shared" si="25"/>
        <v>400225.03354643442</v>
      </c>
      <c r="AJ41" s="76">
        <f t="shared" si="25"/>
        <v>412231.78455282748</v>
      </c>
      <c r="AK41" s="76">
        <f t="shared" si="25"/>
        <v>0</v>
      </c>
    </row>
    <row r="42" spans="2:37" ht="15" thickBot="1" x14ac:dyDescent="0.4">
      <c r="B42" s="37"/>
      <c r="C42" s="46"/>
      <c r="D42" s="77"/>
      <c r="E42" s="69"/>
      <c r="F42" s="73"/>
      <c r="G42" s="46"/>
      <c r="H42" s="46"/>
      <c r="I42" s="46"/>
      <c r="J42" s="78"/>
      <c r="K42" s="69"/>
      <c r="L42" s="46"/>
      <c r="M42" s="46"/>
      <c r="N42" s="4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2:37" x14ac:dyDescent="0.35">
      <c r="B43" s="147" t="s">
        <v>97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</row>
    <row r="44" spans="2:37" x14ac:dyDescent="0.35">
      <c r="B44" s="4" t="s">
        <v>20</v>
      </c>
      <c r="C44" s="2"/>
      <c r="D44" s="40" t="s">
        <v>98</v>
      </c>
      <c r="E44" s="40" t="s">
        <v>99</v>
      </c>
      <c r="F44" s="40" t="s">
        <v>100</v>
      </c>
      <c r="G44" s="40" t="s">
        <v>101</v>
      </c>
      <c r="H44" s="7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7" s="81" customFormat="1" x14ac:dyDescent="0.35">
      <c r="B45" s="146"/>
      <c r="C45" s="83" t="s">
        <v>102</v>
      </c>
      <c r="D45" s="160">
        <v>1.25</v>
      </c>
      <c r="E45" s="159">
        <v>2000</v>
      </c>
      <c r="F45" s="8"/>
      <c r="G45" s="8"/>
      <c r="H45" s="161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K45" s="162"/>
    </row>
    <row r="46" spans="2:37" s="81" customFormat="1" x14ac:dyDescent="0.35">
      <c r="B46" s="146"/>
      <c r="C46" s="83" t="s">
        <v>103</v>
      </c>
      <c r="D46" s="160">
        <v>0.01</v>
      </c>
      <c r="E46" s="159">
        <v>2000</v>
      </c>
      <c r="F46" s="8"/>
      <c r="G46" s="8"/>
      <c r="H46" s="161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2:37" s="81" customFormat="1" x14ac:dyDescent="0.35">
      <c r="B47" s="146"/>
      <c r="C47" s="83" t="s">
        <v>104</v>
      </c>
      <c r="D47" s="160"/>
      <c r="E47" s="159">
        <v>10000</v>
      </c>
      <c r="F47" s="8"/>
      <c r="G47" s="159">
        <v>25000</v>
      </c>
      <c r="H47" s="161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2:37" s="81" customFormat="1" x14ac:dyDescent="0.35">
      <c r="B48" s="146"/>
      <c r="C48" s="83" t="s">
        <v>105</v>
      </c>
      <c r="D48" s="144"/>
      <c r="E48" s="159">
        <v>8500</v>
      </c>
      <c r="F48" s="8"/>
      <c r="G48" s="8"/>
      <c r="H48" s="161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2:39" s="81" customFormat="1" x14ac:dyDescent="0.35">
      <c r="B49" s="146"/>
      <c r="C49" s="83" t="s">
        <v>106</v>
      </c>
      <c r="D49" s="160"/>
      <c r="E49" s="159">
        <f>E47</f>
        <v>10000</v>
      </c>
      <c r="F49" s="159"/>
      <c r="G49" s="159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2:39" s="81" customFormat="1" x14ac:dyDescent="0.35">
      <c r="B50" s="146"/>
      <c r="C50" s="83" t="s">
        <v>107</v>
      </c>
      <c r="D50" s="160">
        <v>0.02</v>
      </c>
      <c r="E50" s="159">
        <v>2000</v>
      </c>
      <c r="F50" s="159"/>
      <c r="G50" s="159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2:39" s="81" customFormat="1" x14ac:dyDescent="0.35">
      <c r="B51" s="146"/>
      <c r="C51" s="83" t="s">
        <v>108</v>
      </c>
      <c r="D51" s="160"/>
      <c r="E51" s="159">
        <v>3000</v>
      </c>
      <c r="F51" s="159"/>
      <c r="G51" s="159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2:39" s="81" customFormat="1" x14ac:dyDescent="0.35">
      <c r="B52" s="146"/>
      <c r="C52" s="83" t="s">
        <v>109</v>
      </c>
      <c r="D52" s="160"/>
      <c r="E52" s="159">
        <v>25000</v>
      </c>
      <c r="F52" s="159" t="s">
        <v>110</v>
      </c>
      <c r="G52" s="159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2:39" s="81" customFormat="1" x14ac:dyDescent="0.35">
      <c r="B53" s="146"/>
      <c r="C53" s="83" t="s">
        <v>111</v>
      </c>
      <c r="D53" s="8"/>
      <c r="E53" s="159">
        <v>5000</v>
      </c>
      <c r="F53" s="8" t="s">
        <v>112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2:39" s="81" customFormat="1" x14ac:dyDescent="0.35">
      <c r="B54" s="163"/>
      <c r="C54" s="164" t="s">
        <v>113</v>
      </c>
      <c r="D54" s="165">
        <v>0.7</v>
      </c>
      <c r="E54" s="166">
        <v>3000</v>
      </c>
      <c r="F54" s="167"/>
      <c r="G54" s="167"/>
      <c r="H54" s="168"/>
      <c r="I54" s="167"/>
      <c r="J54" s="167"/>
      <c r="K54" s="167"/>
      <c r="L54" s="167"/>
      <c r="M54" s="16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2:39" x14ac:dyDescent="0.35">
      <c r="B55" s="4" t="s">
        <v>114</v>
      </c>
      <c r="C55" s="5"/>
      <c r="D55" s="69" t="s">
        <v>42</v>
      </c>
      <c r="E55" s="69" t="s">
        <v>43</v>
      </c>
      <c r="F55" s="69" t="s">
        <v>44</v>
      </c>
      <c r="G55" s="69" t="s">
        <v>45</v>
      </c>
      <c r="H55" s="69" t="s">
        <v>46</v>
      </c>
      <c r="I55" s="69" t="s">
        <v>47</v>
      </c>
      <c r="J55" s="69" t="s">
        <v>48</v>
      </c>
      <c r="K55" s="69" t="s">
        <v>49</v>
      </c>
      <c r="L55" s="69" t="s">
        <v>50</v>
      </c>
      <c r="M55" s="69" t="s">
        <v>51</v>
      </c>
      <c r="N55" s="69" t="s">
        <v>52</v>
      </c>
      <c r="O55" s="69" t="s">
        <v>53</v>
      </c>
      <c r="P55" s="69" t="s">
        <v>54</v>
      </c>
      <c r="Q55" s="69" t="s">
        <v>55</v>
      </c>
      <c r="R55" s="69" t="s">
        <v>56</v>
      </c>
      <c r="S55" s="69" t="s">
        <v>57</v>
      </c>
      <c r="T55" s="69" t="s">
        <v>58</v>
      </c>
      <c r="U55" s="69" t="s">
        <v>59</v>
      </c>
      <c r="V55" s="69" t="s">
        <v>60</v>
      </c>
      <c r="W55" s="69" t="s">
        <v>61</v>
      </c>
      <c r="X55" s="69" t="s">
        <v>62</v>
      </c>
      <c r="Y55" s="69" t="s">
        <v>63</v>
      </c>
      <c r="Z55" s="69" t="s">
        <v>64</v>
      </c>
      <c r="AA55" s="69" t="s">
        <v>65</v>
      </c>
      <c r="AB55" s="69" t="s">
        <v>66</v>
      </c>
      <c r="AC55" s="69" t="s">
        <v>67</v>
      </c>
      <c r="AD55" s="69" t="s">
        <v>68</v>
      </c>
      <c r="AE55" s="69" t="s">
        <v>69</v>
      </c>
      <c r="AF55" s="69" t="s">
        <v>70</v>
      </c>
      <c r="AG55" s="69" t="s">
        <v>71</v>
      </c>
      <c r="AH55" s="69" t="s">
        <v>72</v>
      </c>
      <c r="AI55" s="69" t="s">
        <v>73</v>
      </c>
      <c r="AJ55" s="69" t="s">
        <v>74</v>
      </c>
      <c r="AK55" s="69" t="s">
        <v>75</v>
      </c>
      <c r="AL55" s="80"/>
      <c r="AM55" s="81"/>
    </row>
    <row r="56" spans="2:39" x14ac:dyDescent="0.35">
      <c r="B56" s="82"/>
      <c r="C56" s="83" t="s">
        <v>102</v>
      </c>
      <c r="D56" s="84">
        <f>E6*D45+E45</f>
        <v>398227.2416666667</v>
      </c>
      <c r="E56" s="84">
        <v>0</v>
      </c>
      <c r="F56" s="84">
        <v>0</v>
      </c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K56" s="85"/>
      <c r="AL56" s="86"/>
      <c r="AM56" s="81"/>
    </row>
    <row r="57" spans="2:39" x14ac:dyDescent="0.35">
      <c r="B57" s="82"/>
      <c r="C57" s="83" t="s">
        <v>103</v>
      </c>
      <c r="D57" s="84">
        <f>SUM($E$4:$E$6)*$D$46+$E$46</f>
        <v>18716.551506666667</v>
      </c>
      <c r="E57" s="84">
        <f t="shared" ref="E57:AB57" si="26">SUM($E$4:$E$6)*$D$46+$E$46</f>
        <v>18716.551506666667</v>
      </c>
      <c r="F57" s="84">
        <f t="shared" si="26"/>
        <v>18716.551506666667</v>
      </c>
      <c r="G57" s="84">
        <f t="shared" si="26"/>
        <v>18716.551506666667</v>
      </c>
      <c r="H57" s="84">
        <f t="shared" si="26"/>
        <v>18716.551506666667</v>
      </c>
      <c r="I57" s="84">
        <f t="shared" si="26"/>
        <v>18716.551506666667</v>
      </c>
      <c r="J57" s="84">
        <f t="shared" si="26"/>
        <v>18716.551506666667</v>
      </c>
      <c r="K57" s="84">
        <f t="shared" si="26"/>
        <v>18716.551506666667</v>
      </c>
      <c r="L57" s="84">
        <f t="shared" si="26"/>
        <v>18716.551506666667</v>
      </c>
      <c r="M57" s="84">
        <f t="shared" si="26"/>
        <v>18716.551506666667</v>
      </c>
      <c r="N57" s="84">
        <f t="shared" si="26"/>
        <v>18716.551506666667</v>
      </c>
      <c r="O57" s="84">
        <f t="shared" si="26"/>
        <v>18716.551506666667</v>
      </c>
      <c r="P57" s="84">
        <f t="shared" si="26"/>
        <v>18716.551506666667</v>
      </c>
      <c r="Q57" s="84">
        <f t="shared" si="26"/>
        <v>18716.551506666667</v>
      </c>
      <c r="R57" s="84">
        <f t="shared" si="26"/>
        <v>18716.551506666667</v>
      </c>
      <c r="S57" s="84">
        <f t="shared" si="26"/>
        <v>18716.551506666667</v>
      </c>
      <c r="T57" s="84">
        <f t="shared" si="26"/>
        <v>18716.551506666667</v>
      </c>
      <c r="U57" s="84">
        <f t="shared" si="26"/>
        <v>18716.551506666667</v>
      </c>
      <c r="V57" s="84">
        <f t="shared" si="26"/>
        <v>18716.551506666667</v>
      </c>
      <c r="W57" s="84">
        <f t="shared" si="26"/>
        <v>18716.551506666667</v>
      </c>
      <c r="X57" s="84">
        <f t="shared" si="26"/>
        <v>18716.551506666667</v>
      </c>
      <c r="Y57" s="84">
        <f t="shared" si="26"/>
        <v>18716.551506666667</v>
      </c>
      <c r="Z57" s="84">
        <f t="shared" si="26"/>
        <v>18716.551506666667</v>
      </c>
      <c r="AA57" s="84">
        <f t="shared" si="26"/>
        <v>18716.551506666667</v>
      </c>
      <c r="AB57" s="84">
        <f t="shared" si="26"/>
        <v>18716.551506666667</v>
      </c>
      <c r="AC57" s="84"/>
      <c r="AD57" s="84"/>
      <c r="AE57" s="84"/>
      <c r="AF57" s="84"/>
      <c r="AG57" s="84"/>
      <c r="AH57" s="84"/>
      <c r="AK57" s="85"/>
      <c r="AL57" s="86"/>
      <c r="AM57" s="81"/>
    </row>
    <row r="58" spans="2:39" x14ac:dyDescent="0.35">
      <c r="B58" s="87"/>
      <c r="C58" s="83" t="s">
        <v>104</v>
      </c>
      <c r="D58" s="84">
        <f>E47</f>
        <v>10000</v>
      </c>
      <c r="E58" s="84">
        <f>E49</f>
        <v>10000</v>
      </c>
      <c r="F58" s="84">
        <f>E49</f>
        <v>10000</v>
      </c>
      <c r="G58" s="84">
        <f>$E$47/4</f>
        <v>2500</v>
      </c>
      <c r="H58" s="84">
        <f t="shared" ref="H58:AJ58" si="27">$E$47/4</f>
        <v>2500</v>
      </c>
      <c r="I58" s="84">
        <f t="shared" si="27"/>
        <v>2500</v>
      </c>
      <c r="J58" s="84">
        <f t="shared" si="27"/>
        <v>2500</v>
      </c>
      <c r="K58" s="84">
        <f t="shared" si="27"/>
        <v>2500</v>
      </c>
      <c r="L58" s="84">
        <f t="shared" si="27"/>
        <v>2500</v>
      </c>
      <c r="M58" s="84">
        <f t="shared" si="27"/>
        <v>2500</v>
      </c>
      <c r="N58" s="84">
        <f t="shared" si="27"/>
        <v>2500</v>
      </c>
      <c r="O58" s="84">
        <f t="shared" si="27"/>
        <v>2500</v>
      </c>
      <c r="P58" s="84">
        <f t="shared" si="27"/>
        <v>2500</v>
      </c>
      <c r="Q58" s="84">
        <f t="shared" si="27"/>
        <v>2500</v>
      </c>
      <c r="R58" s="84">
        <f t="shared" si="27"/>
        <v>2500</v>
      </c>
      <c r="S58" s="84">
        <f t="shared" si="27"/>
        <v>2500</v>
      </c>
      <c r="T58" s="84">
        <f t="shared" si="27"/>
        <v>2500</v>
      </c>
      <c r="U58" s="84">
        <f t="shared" si="27"/>
        <v>2500</v>
      </c>
      <c r="V58" s="84">
        <f t="shared" si="27"/>
        <v>2500</v>
      </c>
      <c r="W58" s="84">
        <f t="shared" si="27"/>
        <v>2500</v>
      </c>
      <c r="X58" s="84">
        <f t="shared" si="27"/>
        <v>2500</v>
      </c>
      <c r="Y58" s="84">
        <f t="shared" si="27"/>
        <v>2500</v>
      </c>
      <c r="Z58" s="84">
        <f t="shared" si="27"/>
        <v>2500</v>
      </c>
      <c r="AA58" s="84">
        <f t="shared" si="27"/>
        <v>2500</v>
      </c>
      <c r="AB58" s="84">
        <f t="shared" si="27"/>
        <v>2500</v>
      </c>
      <c r="AC58" s="84">
        <f t="shared" si="27"/>
        <v>2500</v>
      </c>
      <c r="AD58" s="84">
        <f t="shared" si="27"/>
        <v>2500</v>
      </c>
      <c r="AE58" s="84">
        <f t="shared" si="27"/>
        <v>2500</v>
      </c>
      <c r="AF58" s="84">
        <f t="shared" si="27"/>
        <v>2500</v>
      </c>
      <c r="AG58" s="84">
        <f t="shared" si="27"/>
        <v>2500</v>
      </c>
      <c r="AH58" s="84">
        <f t="shared" si="27"/>
        <v>2500</v>
      </c>
      <c r="AI58" s="84">
        <f t="shared" si="27"/>
        <v>2500</v>
      </c>
      <c r="AJ58" s="84">
        <f t="shared" si="27"/>
        <v>2500</v>
      </c>
      <c r="AK58" s="84">
        <f>IF(AK72=0,0,$E$47/4)</f>
        <v>0</v>
      </c>
      <c r="AM58" s="81"/>
    </row>
    <row r="59" spans="2:39" x14ac:dyDescent="0.35">
      <c r="B59" s="87"/>
      <c r="C59" s="83" t="s">
        <v>105</v>
      </c>
      <c r="D59" s="84">
        <f>E48</f>
        <v>8500</v>
      </c>
      <c r="E59" s="84">
        <v>0</v>
      </c>
      <c r="F59" s="84"/>
      <c r="G59" s="88">
        <f>E48</f>
        <v>8500</v>
      </c>
      <c r="H59" s="84"/>
      <c r="I59" s="2"/>
      <c r="J59" s="88">
        <f>E48</f>
        <v>8500</v>
      </c>
      <c r="K59" s="84"/>
      <c r="L59" s="2"/>
      <c r="M59" s="88">
        <f>E48</f>
        <v>8500</v>
      </c>
      <c r="N59" s="2"/>
      <c r="O59" s="2"/>
      <c r="P59" s="88">
        <f>E48</f>
        <v>8500</v>
      </c>
      <c r="Q59" s="2"/>
      <c r="R59" s="2"/>
      <c r="S59" s="88">
        <f>E48</f>
        <v>8500</v>
      </c>
      <c r="T59" s="2"/>
      <c r="U59" s="2"/>
      <c r="V59" s="88">
        <f>E48</f>
        <v>8500</v>
      </c>
      <c r="W59" s="2"/>
      <c r="X59" s="2"/>
      <c r="Y59" s="88">
        <f>E48</f>
        <v>8500</v>
      </c>
      <c r="Z59" s="2"/>
      <c r="AA59" s="2"/>
      <c r="AB59" s="88">
        <f>E48</f>
        <v>8500</v>
      </c>
      <c r="AC59" s="2"/>
      <c r="AD59" s="2"/>
      <c r="AE59" s="2"/>
      <c r="AF59" s="2"/>
      <c r="AG59" s="2"/>
      <c r="AH59" s="2"/>
      <c r="AM59" s="81"/>
    </row>
    <row r="60" spans="2:39" x14ac:dyDescent="0.35">
      <c r="B60" s="87"/>
      <c r="C60" s="83" t="s">
        <v>106</v>
      </c>
      <c r="D60" s="84">
        <f>E49</f>
        <v>10000</v>
      </c>
      <c r="E60" s="75">
        <f>0*(F49+E49)/3</f>
        <v>0</v>
      </c>
      <c r="F60" s="84">
        <f>0*G49/3</f>
        <v>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M60" s="81"/>
    </row>
    <row r="61" spans="2:39" x14ac:dyDescent="0.35">
      <c r="B61" s="87"/>
      <c r="C61" s="83" t="s">
        <v>107</v>
      </c>
      <c r="D61" s="84">
        <f>SUM($E$4:$E$6)*0.02</f>
        <v>33433.103013333333</v>
      </c>
      <c r="E61" s="75"/>
      <c r="F61" s="84"/>
      <c r="G61" s="84">
        <f>SUM($E$4:$E$6)*0.02</f>
        <v>33433.103013333333</v>
      </c>
      <c r="H61" s="2"/>
      <c r="I61" s="2"/>
      <c r="J61" s="84">
        <f>SUM($E$4:$E$6)*0.02</f>
        <v>33433.103013333333</v>
      </c>
      <c r="K61" s="2"/>
      <c r="L61" s="2"/>
      <c r="M61" s="84">
        <f>SUM($E$4:$E$6)*0.02</f>
        <v>33433.103013333333</v>
      </c>
      <c r="N61" s="2"/>
      <c r="O61" s="2"/>
      <c r="P61" s="84">
        <f>SUM($E$4:$E$6)*0.02</f>
        <v>33433.103013333333</v>
      </c>
      <c r="Q61" s="2"/>
      <c r="R61" s="2"/>
      <c r="S61" s="84">
        <f>SUM($E$4:$E$6)*0.02</f>
        <v>33433.103013333333</v>
      </c>
      <c r="T61" s="2"/>
      <c r="U61" s="2"/>
      <c r="V61" s="84">
        <f>SUM($E$4:$E$6)*0.02</f>
        <v>33433.103013333333</v>
      </c>
      <c r="W61" s="2"/>
      <c r="X61" s="2"/>
      <c r="Y61" s="84">
        <f>SUM($E$4:$E$6)*0.02</f>
        <v>33433.103013333333</v>
      </c>
      <c r="Z61" s="2"/>
      <c r="AA61" s="2"/>
      <c r="AB61" s="84">
        <f>SUM($E$4:$E$6)*0.02</f>
        <v>33433.103013333333</v>
      </c>
      <c r="AC61" s="2"/>
      <c r="AD61" s="2"/>
      <c r="AE61" s="2"/>
      <c r="AF61" s="2"/>
      <c r="AG61" s="2"/>
      <c r="AH61" s="2"/>
      <c r="AM61" s="81"/>
    </row>
    <row r="62" spans="2:39" x14ac:dyDescent="0.35">
      <c r="B62" s="87"/>
      <c r="C62" s="61" t="s">
        <v>108</v>
      </c>
      <c r="D62" s="84">
        <f>$E$51</f>
        <v>3000</v>
      </c>
      <c r="E62" s="84">
        <f t="shared" ref="E62:AB62" si="28">$E$51</f>
        <v>3000</v>
      </c>
      <c r="F62" s="84">
        <f t="shared" si="28"/>
        <v>3000</v>
      </c>
      <c r="G62" s="84">
        <f t="shared" si="28"/>
        <v>3000</v>
      </c>
      <c r="H62" s="84">
        <f t="shared" si="28"/>
        <v>3000</v>
      </c>
      <c r="I62" s="84">
        <f t="shared" si="28"/>
        <v>3000</v>
      </c>
      <c r="J62" s="84">
        <f t="shared" si="28"/>
        <v>3000</v>
      </c>
      <c r="K62" s="84">
        <f t="shared" si="28"/>
        <v>3000</v>
      </c>
      <c r="L62" s="84">
        <f t="shared" si="28"/>
        <v>3000</v>
      </c>
      <c r="M62" s="84">
        <f t="shared" si="28"/>
        <v>3000</v>
      </c>
      <c r="N62" s="84">
        <f t="shared" si="28"/>
        <v>3000</v>
      </c>
      <c r="O62" s="84">
        <f t="shared" si="28"/>
        <v>3000</v>
      </c>
      <c r="P62" s="84">
        <f t="shared" si="28"/>
        <v>3000</v>
      </c>
      <c r="Q62" s="84">
        <f t="shared" si="28"/>
        <v>3000</v>
      </c>
      <c r="R62" s="84">
        <f t="shared" si="28"/>
        <v>3000</v>
      </c>
      <c r="S62" s="84">
        <f t="shared" si="28"/>
        <v>3000</v>
      </c>
      <c r="T62" s="84">
        <f t="shared" si="28"/>
        <v>3000</v>
      </c>
      <c r="U62" s="84">
        <f t="shared" si="28"/>
        <v>3000</v>
      </c>
      <c r="V62" s="84">
        <f t="shared" si="28"/>
        <v>3000</v>
      </c>
      <c r="W62" s="84">
        <f t="shared" si="28"/>
        <v>3000</v>
      </c>
      <c r="X62" s="84">
        <f t="shared" si="28"/>
        <v>3000</v>
      </c>
      <c r="Y62" s="84">
        <f t="shared" si="28"/>
        <v>3000</v>
      </c>
      <c r="Z62" s="84">
        <f t="shared" si="28"/>
        <v>3000</v>
      </c>
      <c r="AA62" s="84">
        <f t="shared" si="28"/>
        <v>3000</v>
      </c>
      <c r="AB62" s="84">
        <f t="shared" si="28"/>
        <v>3000</v>
      </c>
      <c r="AC62" s="2"/>
      <c r="AD62" s="2"/>
      <c r="AE62" s="2"/>
      <c r="AF62" s="2"/>
      <c r="AG62" s="2"/>
      <c r="AH62" s="2"/>
      <c r="AM62" s="81"/>
    </row>
    <row r="63" spans="2:39" x14ac:dyDescent="0.35">
      <c r="B63" s="87"/>
      <c r="C63" s="61" t="s">
        <v>109</v>
      </c>
      <c r="D63" s="84">
        <f>E52</f>
        <v>25000</v>
      </c>
      <c r="E63" s="75">
        <f>E52</f>
        <v>25000</v>
      </c>
      <c r="F63" s="84">
        <f>E52</f>
        <v>25000</v>
      </c>
      <c r="G63" s="2"/>
      <c r="H63" s="88">
        <f>E52</f>
        <v>25000</v>
      </c>
      <c r="I63" s="2"/>
      <c r="J63" s="88">
        <f>E52</f>
        <v>25000</v>
      </c>
      <c r="K63" s="2"/>
      <c r="L63" s="88">
        <f>E52</f>
        <v>25000</v>
      </c>
      <c r="M63" s="2"/>
      <c r="N63" s="88">
        <f>E52</f>
        <v>25000</v>
      </c>
      <c r="O63" s="2"/>
      <c r="P63" s="88">
        <f>E52</f>
        <v>25000</v>
      </c>
      <c r="Q63" s="2"/>
      <c r="R63" s="88">
        <f>E52</f>
        <v>25000</v>
      </c>
      <c r="S63" s="2"/>
      <c r="T63" s="88">
        <f>E52</f>
        <v>25000</v>
      </c>
      <c r="U63" s="2"/>
      <c r="V63" s="88">
        <f>E52</f>
        <v>25000</v>
      </c>
      <c r="W63" s="2"/>
      <c r="X63" s="88">
        <f>E52</f>
        <v>25000</v>
      </c>
      <c r="Y63" s="2"/>
      <c r="Z63" s="88">
        <f>E52</f>
        <v>25000</v>
      </c>
      <c r="AA63" s="2"/>
      <c r="AB63" s="88">
        <f>E52</f>
        <v>25000</v>
      </c>
      <c r="AC63" s="2"/>
      <c r="AD63" s="88">
        <f>E52</f>
        <v>25000</v>
      </c>
      <c r="AE63" s="2"/>
      <c r="AF63" s="88">
        <f>E52</f>
        <v>25000</v>
      </c>
      <c r="AG63" s="2"/>
      <c r="AH63" s="88">
        <f>E52</f>
        <v>25000</v>
      </c>
      <c r="AJ63" s="89">
        <f>E52</f>
        <v>25000</v>
      </c>
      <c r="AM63" s="81"/>
    </row>
    <row r="64" spans="2:39" x14ac:dyDescent="0.35">
      <c r="B64" s="90"/>
      <c r="C64" s="61" t="s">
        <v>115</v>
      </c>
      <c r="D64" s="84">
        <f>E53*3</f>
        <v>15000</v>
      </c>
      <c r="E64" s="84">
        <f>E53*3</f>
        <v>15000</v>
      </c>
      <c r="F64" s="84">
        <f>E53*3</f>
        <v>15000</v>
      </c>
      <c r="G64" s="84"/>
      <c r="H64" s="84"/>
      <c r="I64" s="84">
        <f>$E$53*3</f>
        <v>15000</v>
      </c>
      <c r="J64" s="84"/>
      <c r="K64" s="84">
        <f>$E$53*3</f>
        <v>15000</v>
      </c>
      <c r="L64" s="84"/>
      <c r="M64" s="84">
        <f>$E$53*3</f>
        <v>15000</v>
      </c>
      <c r="N64" s="84"/>
      <c r="O64" s="84">
        <f>$E$53*3</f>
        <v>15000</v>
      </c>
      <c r="P64" s="84"/>
      <c r="Q64" s="84">
        <f>$E$53*3</f>
        <v>15000</v>
      </c>
      <c r="R64" s="84"/>
      <c r="S64" s="84">
        <f>$E$53*3</f>
        <v>15000</v>
      </c>
      <c r="T64" s="84"/>
      <c r="U64" s="84">
        <f>$E$53*3</f>
        <v>15000</v>
      </c>
      <c r="V64" s="84"/>
      <c r="W64" s="84">
        <f>$E$53*3</f>
        <v>15000</v>
      </c>
      <c r="X64" s="84"/>
      <c r="Y64" s="84">
        <f>$E$53*3</f>
        <v>15000</v>
      </c>
      <c r="Z64" s="84"/>
      <c r="AA64" s="84">
        <f>$E$53*3</f>
        <v>15000</v>
      </c>
      <c r="AB64" s="84"/>
      <c r="AC64" s="84"/>
      <c r="AD64" s="84"/>
      <c r="AE64" s="84"/>
      <c r="AF64" s="84"/>
      <c r="AG64" s="84"/>
      <c r="AH64" s="84"/>
      <c r="AK64" s="85"/>
      <c r="AL64" s="86"/>
      <c r="AM64" s="81"/>
    </row>
    <row r="65" spans="2:39" x14ac:dyDescent="0.35">
      <c r="B65" s="36"/>
      <c r="C65" s="61" t="s">
        <v>113</v>
      </c>
      <c r="D65" s="84">
        <f>$D$54*10000+E54</f>
        <v>10000</v>
      </c>
      <c r="E65" s="84">
        <f t="shared" ref="E65:I65" si="29">$D$54*10000+F54</f>
        <v>7000</v>
      </c>
      <c r="F65" s="84">
        <f t="shared" si="29"/>
        <v>7000</v>
      </c>
      <c r="G65" s="84">
        <f t="shared" si="29"/>
        <v>7000</v>
      </c>
      <c r="H65" s="84">
        <f t="shared" si="29"/>
        <v>7000</v>
      </c>
      <c r="I65" s="84">
        <f t="shared" si="29"/>
        <v>7000</v>
      </c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M65" s="81"/>
    </row>
    <row r="66" spans="2:39" x14ac:dyDescent="0.35">
      <c r="B66" s="36"/>
      <c r="C66" s="61" t="s">
        <v>116</v>
      </c>
      <c r="D66" s="84">
        <v>5000</v>
      </c>
      <c r="E66" s="75">
        <v>1000</v>
      </c>
      <c r="F66" s="84">
        <f>E66</f>
        <v>1000</v>
      </c>
      <c r="G66" s="84">
        <v>1000</v>
      </c>
      <c r="H66" s="84">
        <v>1000</v>
      </c>
      <c r="I66" s="84">
        <v>1000</v>
      </c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</row>
    <row r="67" spans="2:39" x14ac:dyDescent="0.35">
      <c r="B67" s="36"/>
      <c r="C67" s="91" t="s">
        <v>117</v>
      </c>
      <c r="D67" s="76">
        <f>SUM(D56:D66)</f>
        <v>536876.89618666668</v>
      </c>
      <c r="E67" s="76">
        <f t="shared" ref="E67:AK67" si="30">SUM(E56:E66)</f>
        <v>79716.55150666667</v>
      </c>
      <c r="F67" s="76">
        <f t="shared" si="30"/>
        <v>79716.55150666667</v>
      </c>
      <c r="G67" s="76">
        <f t="shared" si="30"/>
        <v>74149.654519999996</v>
      </c>
      <c r="H67" s="76">
        <f t="shared" si="30"/>
        <v>57216.55150666667</v>
      </c>
      <c r="I67" s="76">
        <f t="shared" si="30"/>
        <v>47216.55150666667</v>
      </c>
      <c r="J67" s="76">
        <f t="shared" si="30"/>
        <v>91149.654519999996</v>
      </c>
      <c r="K67" s="76">
        <f t="shared" si="30"/>
        <v>39216.55150666667</v>
      </c>
      <c r="L67" s="76">
        <f t="shared" si="30"/>
        <v>49216.55150666667</v>
      </c>
      <c r="M67" s="76">
        <f t="shared" si="30"/>
        <v>81149.654519999996</v>
      </c>
      <c r="N67" s="76">
        <f t="shared" si="30"/>
        <v>49216.55150666667</v>
      </c>
      <c r="O67" s="76">
        <f t="shared" si="30"/>
        <v>39216.55150666667</v>
      </c>
      <c r="P67" s="76">
        <f t="shared" si="30"/>
        <v>91149.654519999996</v>
      </c>
      <c r="Q67" s="76">
        <f t="shared" si="30"/>
        <v>39216.55150666667</v>
      </c>
      <c r="R67" s="76">
        <f t="shared" si="30"/>
        <v>49216.55150666667</v>
      </c>
      <c r="S67" s="76">
        <f t="shared" si="30"/>
        <v>81149.654519999996</v>
      </c>
      <c r="T67" s="76">
        <f t="shared" si="30"/>
        <v>49216.55150666667</v>
      </c>
      <c r="U67" s="76">
        <f t="shared" si="30"/>
        <v>39216.55150666667</v>
      </c>
      <c r="V67" s="76">
        <f t="shared" si="30"/>
        <v>91149.654519999996</v>
      </c>
      <c r="W67" s="76">
        <f t="shared" si="30"/>
        <v>39216.55150666667</v>
      </c>
      <c r="X67" s="76">
        <f t="shared" si="30"/>
        <v>49216.55150666667</v>
      </c>
      <c r="Y67" s="76">
        <f t="shared" si="30"/>
        <v>81149.654519999996</v>
      </c>
      <c r="Z67" s="76">
        <f t="shared" si="30"/>
        <v>49216.55150666667</v>
      </c>
      <c r="AA67" s="76">
        <f t="shared" si="30"/>
        <v>39216.55150666667</v>
      </c>
      <c r="AB67" s="76">
        <f t="shared" si="30"/>
        <v>91149.654519999996</v>
      </c>
      <c r="AC67" s="76">
        <f t="shared" si="30"/>
        <v>2500</v>
      </c>
      <c r="AD67" s="76">
        <f t="shared" si="30"/>
        <v>27500</v>
      </c>
      <c r="AE67" s="76">
        <f t="shared" si="30"/>
        <v>2500</v>
      </c>
      <c r="AF67" s="76">
        <f t="shared" si="30"/>
        <v>27500</v>
      </c>
      <c r="AG67" s="76">
        <f t="shared" si="30"/>
        <v>2500</v>
      </c>
      <c r="AH67" s="76">
        <f t="shared" si="30"/>
        <v>27500</v>
      </c>
      <c r="AI67" s="76">
        <f t="shared" si="30"/>
        <v>2500</v>
      </c>
      <c r="AJ67" s="76">
        <f t="shared" si="30"/>
        <v>27500</v>
      </c>
      <c r="AK67" s="76">
        <f t="shared" si="30"/>
        <v>0</v>
      </c>
    </row>
    <row r="68" spans="2:39" x14ac:dyDescent="0.35">
      <c r="B68" s="37"/>
      <c r="C68" s="92"/>
      <c r="D68" s="46"/>
      <c r="E68" s="46"/>
      <c r="F68" s="46"/>
      <c r="G68" s="93"/>
      <c r="H68" s="94"/>
      <c r="I68" s="77"/>
      <c r="J68" s="77"/>
      <c r="K68" s="46"/>
      <c r="L68" s="46"/>
      <c r="M68" s="46"/>
      <c r="N68" s="4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2:39" x14ac:dyDescent="0.35">
      <c r="B69" s="37"/>
      <c r="C69" s="46"/>
      <c r="D69" s="95"/>
      <c r="E69" s="96"/>
      <c r="F69" s="46"/>
      <c r="G69" s="46"/>
      <c r="H69" s="46"/>
      <c r="I69" s="46"/>
      <c r="J69" s="46"/>
      <c r="K69" s="46"/>
      <c r="L69" s="46"/>
      <c r="M69" s="46"/>
      <c r="N69" s="4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2:39" x14ac:dyDescent="0.35">
      <c r="B70" s="97" t="s">
        <v>118</v>
      </c>
      <c r="C70" s="98"/>
      <c r="D70" s="69" t="s">
        <v>42</v>
      </c>
      <c r="E70" s="69" t="s">
        <v>43</v>
      </c>
      <c r="F70" s="69" t="s">
        <v>44</v>
      </c>
      <c r="G70" s="69" t="s">
        <v>45</v>
      </c>
      <c r="H70" s="69" t="s">
        <v>46</v>
      </c>
      <c r="I70" s="69" t="s">
        <v>47</v>
      </c>
      <c r="J70" s="69" t="s">
        <v>48</v>
      </c>
      <c r="K70" s="69" t="s">
        <v>49</v>
      </c>
      <c r="L70" s="69" t="s">
        <v>50</v>
      </c>
      <c r="M70" s="69" t="s">
        <v>51</v>
      </c>
      <c r="N70" s="69" t="s">
        <v>52</v>
      </c>
      <c r="O70" s="69" t="s">
        <v>53</v>
      </c>
      <c r="P70" s="69" t="s">
        <v>54</v>
      </c>
      <c r="Q70" s="69" t="s">
        <v>55</v>
      </c>
      <c r="R70" s="69" t="s">
        <v>56</v>
      </c>
      <c r="S70" s="69" t="s">
        <v>57</v>
      </c>
      <c r="T70" s="69" t="s">
        <v>58</v>
      </c>
      <c r="U70" s="69" t="s">
        <v>59</v>
      </c>
      <c r="V70" s="69" t="s">
        <v>60</v>
      </c>
      <c r="W70" s="69" t="s">
        <v>61</v>
      </c>
      <c r="X70" s="69" t="s">
        <v>62</v>
      </c>
      <c r="Y70" s="69" t="s">
        <v>63</v>
      </c>
      <c r="Z70" s="69" t="s">
        <v>64</v>
      </c>
      <c r="AA70" s="69" t="s">
        <v>65</v>
      </c>
      <c r="AB70" s="69" t="s">
        <v>66</v>
      </c>
      <c r="AC70" s="69" t="s">
        <v>67</v>
      </c>
      <c r="AD70" s="69" t="s">
        <v>68</v>
      </c>
      <c r="AE70" s="69" t="s">
        <v>69</v>
      </c>
      <c r="AF70" s="69" t="s">
        <v>70</v>
      </c>
      <c r="AG70" s="69" t="s">
        <v>71</v>
      </c>
      <c r="AH70" s="69" t="s">
        <v>72</v>
      </c>
      <c r="AI70" s="69" t="s">
        <v>73</v>
      </c>
      <c r="AJ70" s="69" t="s">
        <v>74</v>
      </c>
      <c r="AK70" s="69" t="s">
        <v>75</v>
      </c>
    </row>
    <row r="71" spans="2:39" x14ac:dyDescent="0.35">
      <c r="B71" s="97"/>
      <c r="D71" s="5">
        <v>2021</v>
      </c>
      <c r="E71" s="5">
        <f>D71+1</f>
        <v>2022</v>
      </c>
      <c r="F71" s="5">
        <f t="shared" ref="F71:AK71" si="31">E71+1</f>
        <v>2023</v>
      </c>
      <c r="G71" s="5">
        <f t="shared" si="31"/>
        <v>2024</v>
      </c>
      <c r="H71" s="5">
        <f t="shared" si="31"/>
        <v>2025</v>
      </c>
      <c r="I71" s="5">
        <f t="shared" si="31"/>
        <v>2026</v>
      </c>
      <c r="J71" s="5">
        <f t="shared" si="31"/>
        <v>2027</v>
      </c>
      <c r="K71" s="5">
        <f t="shared" si="31"/>
        <v>2028</v>
      </c>
      <c r="L71" s="5">
        <f t="shared" si="31"/>
        <v>2029</v>
      </c>
      <c r="M71" s="5">
        <f t="shared" si="31"/>
        <v>2030</v>
      </c>
      <c r="N71" s="5">
        <f t="shared" si="31"/>
        <v>2031</v>
      </c>
      <c r="O71" s="5">
        <f t="shared" si="31"/>
        <v>2032</v>
      </c>
      <c r="P71" s="5">
        <f t="shared" si="31"/>
        <v>2033</v>
      </c>
      <c r="Q71" s="5">
        <f t="shared" si="31"/>
        <v>2034</v>
      </c>
      <c r="R71" s="5">
        <f t="shared" si="31"/>
        <v>2035</v>
      </c>
      <c r="S71" s="5">
        <f t="shared" si="31"/>
        <v>2036</v>
      </c>
      <c r="T71" s="5">
        <f t="shared" si="31"/>
        <v>2037</v>
      </c>
      <c r="U71" s="5">
        <f t="shared" si="31"/>
        <v>2038</v>
      </c>
      <c r="V71" s="5">
        <f t="shared" si="31"/>
        <v>2039</v>
      </c>
      <c r="W71" s="5">
        <f t="shared" si="31"/>
        <v>2040</v>
      </c>
      <c r="X71" s="5">
        <f t="shared" si="31"/>
        <v>2041</v>
      </c>
      <c r="Y71" s="5">
        <f t="shared" si="31"/>
        <v>2042</v>
      </c>
      <c r="Z71" s="5">
        <f t="shared" si="31"/>
        <v>2043</v>
      </c>
      <c r="AA71" s="5">
        <f t="shared" si="31"/>
        <v>2044</v>
      </c>
      <c r="AB71" s="5">
        <f t="shared" si="31"/>
        <v>2045</v>
      </c>
      <c r="AC71" s="5">
        <f t="shared" si="31"/>
        <v>2046</v>
      </c>
      <c r="AD71" s="5">
        <f t="shared" si="31"/>
        <v>2047</v>
      </c>
      <c r="AE71" s="5">
        <f t="shared" si="31"/>
        <v>2048</v>
      </c>
      <c r="AF71" s="5">
        <f t="shared" si="31"/>
        <v>2049</v>
      </c>
      <c r="AG71" s="5">
        <f t="shared" si="31"/>
        <v>2050</v>
      </c>
      <c r="AH71" s="5">
        <f t="shared" si="31"/>
        <v>2051</v>
      </c>
      <c r="AI71" s="5">
        <f t="shared" si="31"/>
        <v>2052</v>
      </c>
      <c r="AJ71" s="5">
        <f t="shared" si="31"/>
        <v>2053</v>
      </c>
      <c r="AK71" s="5">
        <f t="shared" si="31"/>
        <v>2054</v>
      </c>
    </row>
    <row r="72" spans="2:39" x14ac:dyDescent="0.35">
      <c r="B72" s="97"/>
      <c r="C72" s="99" t="s">
        <v>119</v>
      </c>
      <c r="D72" s="34">
        <v>0</v>
      </c>
      <c r="E72" s="34">
        <f>H4*VLOOKUP(J4,$AM$5:$AN$16,2,0)</f>
        <v>149.80000000000001</v>
      </c>
      <c r="F72" s="34">
        <f>E72+(H5*VLOOKUP(J5,$AM$5:$AN$16,2,0))</f>
        <v>449.40000000000003</v>
      </c>
      <c r="G72" s="34">
        <f>F72+(H6*VLOOKUP(J6,$AM$5:$AN$16,2,0))+(H5*(1-VLOOKUP(J5,$AM5:$AN16,2,0)))</f>
        <v>749</v>
      </c>
      <c r="H72" s="34">
        <f>G72+(H6*(1-VLOOKUP(J6,AM5:AN16,2,0)))</f>
        <v>749</v>
      </c>
      <c r="I72" s="34">
        <f>H72</f>
        <v>749</v>
      </c>
      <c r="J72" s="34">
        <f t="shared" ref="J72:AH72" si="32">I72</f>
        <v>749</v>
      </c>
      <c r="K72" s="34">
        <f t="shared" si="32"/>
        <v>749</v>
      </c>
      <c r="L72" s="34">
        <f t="shared" si="32"/>
        <v>749</v>
      </c>
      <c r="M72" s="34">
        <f t="shared" si="32"/>
        <v>749</v>
      </c>
      <c r="N72" s="34">
        <f t="shared" si="32"/>
        <v>749</v>
      </c>
      <c r="O72" s="34">
        <f t="shared" si="32"/>
        <v>749</v>
      </c>
      <c r="P72" s="34">
        <f t="shared" si="32"/>
        <v>749</v>
      </c>
      <c r="Q72" s="34">
        <f t="shared" si="32"/>
        <v>749</v>
      </c>
      <c r="R72" s="34">
        <f t="shared" si="32"/>
        <v>749</v>
      </c>
      <c r="S72" s="34">
        <f t="shared" si="32"/>
        <v>749</v>
      </c>
      <c r="T72" s="34">
        <f t="shared" si="32"/>
        <v>749</v>
      </c>
      <c r="U72" s="34">
        <f t="shared" si="32"/>
        <v>749</v>
      </c>
      <c r="V72" s="34">
        <f t="shared" si="32"/>
        <v>749</v>
      </c>
      <c r="W72" s="34">
        <f t="shared" si="32"/>
        <v>749</v>
      </c>
      <c r="X72" s="34">
        <f t="shared" si="32"/>
        <v>749</v>
      </c>
      <c r="Y72" s="34">
        <f t="shared" si="32"/>
        <v>749</v>
      </c>
      <c r="Z72" s="34">
        <f t="shared" si="32"/>
        <v>749</v>
      </c>
      <c r="AA72" s="34">
        <f t="shared" si="32"/>
        <v>749</v>
      </c>
      <c r="AB72" s="34">
        <f t="shared" si="32"/>
        <v>749</v>
      </c>
      <c r="AC72" s="34">
        <f t="shared" si="32"/>
        <v>749</v>
      </c>
      <c r="AD72" s="34">
        <f t="shared" si="32"/>
        <v>749</v>
      </c>
      <c r="AE72" s="34">
        <f t="shared" si="32"/>
        <v>749</v>
      </c>
      <c r="AF72" s="34">
        <f t="shared" si="32"/>
        <v>749</v>
      </c>
      <c r="AG72" s="34">
        <f t="shared" si="32"/>
        <v>749</v>
      </c>
      <c r="AH72" s="34">
        <f t="shared" si="32"/>
        <v>749</v>
      </c>
      <c r="AI72" s="34">
        <f>AH72-H4</f>
        <v>599.20000000000005</v>
      </c>
      <c r="AJ72" s="34">
        <f>AI72-(H5*VLOOKUP($J$5,$AM$5:$AN$16,2,0))</f>
        <v>299.60000000000002</v>
      </c>
      <c r="AK72" s="34">
        <f>AJ72-H5</f>
        <v>0</v>
      </c>
      <c r="AL72" s="100"/>
    </row>
    <row r="73" spans="2:39" x14ac:dyDescent="0.35">
      <c r="B73" s="97"/>
      <c r="C73" s="34" t="s">
        <v>120</v>
      </c>
      <c r="D73" s="101">
        <f>D72*$H$7</f>
        <v>0</v>
      </c>
      <c r="E73" s="101">
        <f>E72*$H$7</f>
        <v>352179.80000000005</v>
      </c>
      <c r="F73" s="101">
        <f t="shared" ref="F73:AK73" si="33">F72*$H$7</f>
        <v>1056539.4000000001</v>
      </c>
      <c r="G73" s="101">
        <f t="shared" si="33"/>
        <v>1760899</v>
      </c>
      <c r="H73" s="101">
        <f t="shared" si="33"/>
        <v>1760899</v>
      </c>
      <c r="I73" s="101">
        <f t="shared" si="33"/>
        <v>1760899</v>
      </c>
      <c r="J73" s="101">
        <f t="shared" si="33"/>
        <v>1760899</v>
      </c>
      <c r="K73" s="101">
        <f t="shared" si="33"/>
        <v>1760899</v>
      </c>
      <c r="L73" s="101">
        <f t="shared" si="33"/>
        <v>1760899</v>
      </c>
      <c r="M73" s="101">
        <f t="shared" si="33"/>
        <v>1760899</v>
      </c>
      <c r="N73" s="101">
        <f t="shared" si="33"/>
        <v>1760899</v>
      </c>
      <c r="O73" s="101">
        <f t="shared" si="33"/>
        <v>1760899</v>
      </c>
      <c r="P73" s="101">
        <f t="shared" si="33"/>
        <v>1760899</v>
      </c>
      <c r="Q73" s="101">
        <f t="shared" si="33"/>
        <v>1760899</v>
      </c>
      <c r="R73" s="101">
        <f t="shared" si="33"/>
        <v>1760899</v>
      </c>
      <c r="S73" s="101">
        <f t="shared" si="33"/>
        <v>1760899</v>
      </c>
      <c r="T73" s="101">
        <f t="shared" si="33"/>
        <v>1760899</v>
      </c>
      <c r="U73" s="101">
        <f t="shared" si="33"/>
        <v>1760899</v>
      </c>
      <c r="V73" s="101">
        <f t="shared" si="33"/>
        <v>1760899</v>
      </c>
      <c r="W73" s="101">
        <f t="shared" si="33"/>
        <v>1760899</v>
      </c>
      <c r="X73" s="101">
        <f t="shared" si="33"/>
        <v>1760899</v>
      </c>
      <c r="Y73" s="101">
        <f t="shared" si="33"/>
        <v>1760899</v>
      </c>
      <c r="Z73" s="101">
        <f t="shared" si="33"/>
        <v>1760899</v>
      </c>
      <c r="AA73" s="101">
        <f t="shared" si="33"/>
        <v>1760899</v>
      </c>
      <c r="AB73" s="101">
        <f t="shared" si="33"/>
        <v>1760899</v>
      </c>
      <c r="AC73" s="101">
        <f t="shared" si="33"/>
        <v>1760899</v>
      </c>
      <c r="AD73" s="101">
        <f t="shared" si="33"/>
        <v>1760899</v>
      </c>
      <c r="AE73" s="101">
        <f t="shared" si="33"/>
        <v>1760899</v>
      </c>
      <c r="AF73" s="101">
        <f t="shared" si="33"/>
        <v>1760899</v>
      </c>
      <c r="AG73" s="101">
        <f t="shared" si="33"/>
        <v>1760899</v>
      </c>
      <c r="AH73" s="101">
        <f t="shared" si="33"/>
        <v>1760899</v>
      </c>
      <c r="AI73" s="101">
        <f t="shared" si="33"/>
        <v>1408719.2000000002</v>
      </c>
      <c r="AJ73" s="101">
        <f t="shared" si="33"/>
        <v>704359.60000000009</v>
      </c>
      <c r="AK73" s="101">
        <f t="shared" si="33"/>
        <v>0</v>
      </c>
    </row>
    <row r="74" spans="2:39" x14ac:dyDescent="0.35">
      <c r="B74" s="97"/>
      <c r="C74" s="102" t="s">
        <v>121</v>
      </c>
      <c r="D74" s="103">
        <f>(K4*2000)+(D73*0.06)/2+(D73*0.04)/2</f>
        <v>4000</v>
      </c>
      <c r="E74" s="103">
        <f>(K4*2000)+(E73*0.06)/2+(E73*0.04)/2</f>
        <v>21608.99</v>
      </c>
      <c r="F74" s="103">
        <f>(K4+K5*2000)+(F73*0.06)</f>
        <v>71394.364000000001</v>
      </c>
      <c r="G74" s="103">
        <f>(SUM($K$4:$K$6)*2000)+(G73*0.06)/2+(G73*0.04)/2</f>
        <v>108044.95000000001</v>
      </c>
      <c r="H74" s="103">
        <f t="shared" ref="H74:AE74" si="34">(SUM($K$4:$K$6)*2000)+(H73*0.06)/2+(H73*0.04)/2</f>
        <v>108044.95000000001</v>
      </c>
      <c r="I74" s="103">
        <f t="shared" si="34"/>
        <v>108044.95000000001</v>
      </c>
      <c r="J74" s="103">
        <f t="shared" si="34"/>
        <v>108044.95000000001</v>
      </c>
      <c r="K74" s="103">
        <f t="shared" si="34"/>
        <v>108044.95000000001</v>
      </c>
      <c r="L74" s="103">
        <f t="shared" si="34"/>
        <v>108044.95000000001</v>
      </c>
      <c r="M74" s="103">
        <f t="shared" si="34"/>
        <v>108044.95000000001</v>
      </c>
      <c r="N74" s="103">
        <f t="shared" si="34"/>
        <v>108044.95000000001</v>
      </c>
      <c r="O74" s="103">
        <f t="shared" si="34"/>
        <v>108044.95000000001</v>
      </c>
      <c r="P74" s="103">
        <f t="shared" si="34"/>
        <v>108044.95000000001</v>
      </c>
      <c r="Q74" s="103">
        <f t="shared" si="34"/>
        <v>108044.95000000001</v>
      </c>
      <c r="R74" s="103">
        <f t="shared" si="34"/>
        <v>108044.95000000001</v>
      </c>
      <c r="S74" s="103">
        <f t="shared" si="34"/>
        <v>108044.95000000001</v>
      </c>
      <c r="T74" s="103">
        <f t="shared" si="34"/>
        <v>108044.95000000001</v>
      </c>
      <c r="U74" s="103">
        <f t="shared" si="34"/>
        <v>108044.95000000001</v>
      </c>
      <c r="V74" s="103">
        <f t="shared" si="34"/>
        <v>108044.95000000001</v>
      </c>
      <c r="W74" s="103">
        <f t="shared" si="34"/>
        <v>108044.95000000001</v>
      </c>
      <c r="X74" s="103">
        <f t="shared" si="34"/>
        <v>108044.95000000001</v>
      </c>
      <c r="Y74" s="103">
        <f t="shared" si="34"/>
        <v>108044.95000000001</v>
      </c>
      <c r="Z74" s="103">
        <f t="shared" si="34"/>
        <v>108044.95000000001</v>
      </c>
      <c r="AA74" s="103">
        <f t="shared" si="34"/>
        <v>108044.95000000001</v>
      </c>
      <c r="AB74" s="103">
        <f t="shared" si="34"/>
        <v>108044.95000000001</v>
      </c>
      <c r="AC74" s="103">
        <f t="shared" si="34"/>
        <v>108044.95000000001</v>
      </c>
      <c r="AD74" s="103">
        <f t="shared" si="34"/>
        <v>108044.95000000001</v>
      </c>
      <c r="AE74" s="103">
        <f t="shared" si="34"/>
        <v>108044.95000000001</v>
      </c>
      <c r="AF74" s="103">
        <f>(SUM($K$5:$K$6)*2000)+(AF73*0.06)/2+(AF73*0.04)/2</f>
        <v>104044.95000000001</v>
      </c>
      <c r="AG74" s="103">
        <f t="shared" ref="AG74:AJ74" si="35">(SUM($K$4:$K$6)*2000)+(AG73*0.06)/2+(AG73*0.04)/2</f>
        <v>108044.95000000001</v>
      </c>
      <c r="AH74" s="103">
        <f t="shared" si="35"/>
        <v>108044.95000000001</v>
      </c>
      <c r="AI74" s="103">
        <f t="shared" si="35"/>
        <v>90435.96</v>
      </c>
      <c r="AJ74" s="103">
        <f t="shared" si="35"/>
        <v>55217.98</v>
      </c>
      <c r="AK74" s="103">
        <f>IF(AK72=0,0,(SUM($K$4:$K$6)*2000)+(AK73*0.06)/2+(AK73*0.04)/2)</f>
        <v>0</v>
      </c>
    </row>
    <row r="75" spans="2:39" ht="15" thickBot="1" x14ac:dyDescent="0.4">
      <c r="B75" s="104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</row>
    <row r="77" spans="2:39" x14ac:dyDescent="0.35">
      <c r="C77" s="69"/>
      <c r="D77" s="69" t="s">
        <v>42</v>
      </c>
      <c r="E77" s="69" t="s">
        <v>43</v>
      </c>
      <c r="F77" s="69" t="s">
        <v>44</v>
      </c>
      <c r="G77" s="69" t="s">
        <v>45</v>
      </c>
      <c r="H77" s="69" t="s">
        <v>46</v>
      </c>
      <c r="I77" s="69" t="s">
        <v>47</v>
      </c>
      <c r="J77" s="69" t="s">
        <v>48</v>
      </c>
      <c r="K77" s="69" t="s">
        <v>49</v>
      </c>
      <c r="L77" s="69" t="s">
        <v>50</v>
      </c>
      <c r="M77" s="69" t="s">
        <v>51</v>
      </c>
      <c r="N77" s="69" t="s">
        <v>52</v>
      </c>
      <c r="O77" s="69" t="s">
        <v>53</v>
      </c>
      <c r="P77" s="69" t="s">
        <v>54</v>
      </c>
      <c r="Q77" s="69" t="s">
        <v>55</v>
      </c>
      <c r="R77" s="69" t="s">
        <v>56</v>
      </c>
      <c r="S77" s="69" t="s">
        <v>57</v>
      </c>
      <c r="T77" s="69" t="s">
        <v>58</v>
      </c>
      <c r="U77" s="69" t="s">
        <v>59</v>
      </c>
      <c r="V77" s="69" t="s">
        <v>60</v>
      </c>
      <c r="W77" s="69" t="s">
        <v>61</v>
      </c>
      <c r="X77" s="69" t="s">
        <v>62</v>
      </c>
      <c r="Y77" s="69" t="s">
        <v>63</v>
      </c>
      <c r="Z77" s="69" t="s">
        <v>64</v>
      </c>
      <c r="AA77" s="69" t="s">
        <v>65</v>
      </c>
      <c r="AB77" s="69" t="s">
        <v>66</v>
      </c>
      <c r="AC77" s="69" t="s">
        <v>67</v>
      </c>
      <c r="AD77" s="69" t="s">
        <v>68</v>
      </c>
      <c r="AE77" s="69" t="s">
        <v>69</v>
      </c>
      <c r="AF77" s="69" t="s">
        <v>70</v>
      </c>
      <c r="AG77" s="69" t="s">
        <v>71</v>
      </c>
      <c r="AH77" s="69" t="s">
        <v>72</v>
      </c>
      <c r="AI77" s="69" t="s">
        <v>73</v>
      </c>
      <c r="AJ77" s="69" t="s">
        <v>74</v>
      </c>
      <c r="AK77" s="69" t="s">
        <v>75</v>
      </c>
    </row>
    <row r="79" spans="2:39" x14ac:dyDescent="0.35">
      <c r="B79" s="81" t="s">
        <v>122</v>
      </c>
      <c r="C79" s="81"/>
      <c r="D79" s="105">
        <f>D33+D34+D41+D67+D74</f>
        <v>1523757.0961866667</v>
      </c>
      <c r="E79" s="105">
        <f t="shared" ref="E79:AK79" si="36">E33+E34+E41+E67+E74</f>
        <v>444682.1915066666</v>
      </c>
      <c r="F79" s="105">
        <f>F33+F34+F41+F67+F74</f>
        <v>513626.05550666671</v>
      </c>
      <c r="G79" s="105">
        <f t="shared" si="36"/>
        <v>517042.79872000002</v>
      </c>
      <c r="H79" s="105">
        <f t="shared" si="36"/>
        <v>510155.14153266669</v>
      </c>
      <c r="I79" s="105">
        <f t="shared" si="36"/>
        <v>510501.95073344669</v>
      </c>
      <c r="J79" s="105">
        <f t="shared" si="36"/>
        <v>565092.26722358353</v>
      </c>
      <c r="K79" s="105">
        <f t="shared" si="36"/>
        <v>524136.09409135761</v>
      </c>
      <c r="L79" s="105">
        <f t="shared" si="36"/>
        <v>545442.33186889836</v>
      </c>
      <c r="M79" s="105">
        <f t="shared" si="36"/>
        <v>589020.85979309864</v>
      </c>
      <c r="N79" s="105">
        <f t="shared" si="36"/>
        <v>372402.17849023279</v>
      </c>
      <c r="O79" s="105">
        <f t="shared" si="36"/>
        <v>368856.39879973978</v>
      </c>
      <c r="P79" s="105">
        <f t="shared" si="36"/>
        <v>427437.34873186529</v>
      </c>
      <c r="Q79" s="105">
        <f t="shared" si="36"/>
        <v>382351.52804488788</v>
      </c>
      <c r="R79" s="105">
        <f t="shared" si="36"/>
        <v>399404.22884103458</v>
      </c>
      <c r="S79" s="105">
        <f t="shared" si="36"/>
        <v>438601.61367439892</v>
      </c>
      <c r="T79" s="105">
        <f t="shared" si="36"/>
        <v>414150.72093569761</v>
      </c>
      <c r="U79" s="105">
        <f t="shared" si="36"/>
        <v>411857.3975185685</v>
      </c>
      <c r="V79" s="105">
        <f t="shared" si="36"/>
        <v>471728.37741225888</v>
      </c>
      <c r="W79" s="105">
        <f t="shared" si="36"/>
        <v>427971.28758569335</v>
      </c>
      <c r="X79" s="105">
        <f t="shared" si="36"/>
        <v>446392.58116806421</v>
      </c>
      <c r="Y79" s="105">
        <f t="shared" si="36"/>
        <v>486999.61657123943</v>
      </c>
      <c r="Z79" s="105">
        <f t="shared" si="36"/>
        <v>464000.66391944332</v>
      </c>
      <c r="AA79" s="105">
        <f t="shared" si="36"/>
        <v>463202.83879182668</v>
      </c>
      <c r="AB79" s="105">
        <f t="shared" si="36"/>
        <v>524614.1819237147</v>
      </c>
      <c r="AC79" s="105">
        <f t="shared" si="36"/>
        <v>445727.11472582625</v>
      </c>
      <c r="AD79" s="105">
        <f t="shared" si="36"/>
        <v>480782.57966760098</v>
      </c>
      <c r="AE79" s="105">
        <f t="shared" si="36"/>
        <v>466139.70855762908</v>
      </c>
      <c r="AF79" s="105">
        <f t="shared" si="36"/>
        <v>497807.55131435796</v>
      </c>
      <c r="AG79" s="105">
        <f t="shared" si="36"/>
        <v>487795.42935378873</v>
      </c>
      <c r="AH79" s="105">
        <f t="shared" si="36"/>
        <v>524112.94373440236</v>
      </c>
      <c r="AI79" s="105">
        <f t="shared" si="36"/>
        <v>493160.99354643445</v>
      </c>
      <c r="AJ79" s="105">
        <f t="shared" si="36"/>
        <v>494949.76455282746</v>
      </c>
      <c r="AK79" s="105">
        <f t="shared" si="36"/>
        <v>0</v>
      </c>
    </row>
    <row r="80" spans="2:39" x14ac:dyDescent="0.35"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</row>
    <row r="81" spans="1:37" x14ac:dyDescent="0.35">
      <c r="A81" s="106" t="s">
        <v>123</v>
      </c>
      <c r="B81" s="106"/>
      <c r="C81" s="107" t="s">
        <v>124</v>
      </c>
      <c r="D81" s="108">
        <v>2021</v>
      </c>
      <c r="E81" s="108">
        <v>2022</v>
      </c>
      <c r="F81" s="108">
        <v>2023</v>
      </c>
      <c r="G81" s="108">
        <v>2024</v>
      </c>
      <c r="H81" s="108">
        <v>2025</v>
      </c>
      <c r="I81" s="108">
        <v>2026</v>
      </c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</row>
    <row r="82" spans="1:37" x14ac:dyDescent="0.35">
      <c r="A82" s="107" t="s">
        <v>125</v>
      </c>
      <c r="B82" s="109">
        <f>(D33+D34)/1000</f>
        <v>700</v>
      </c>
      <c r="C82" s="107"/>
      <c r="D82" s="107"/>
      <c r="E82" s="107"/>
      <c r="F82" s="107"/>
      <c r="G82" s="107"/>
      <c r="H82" s="107"/>
      <c r="I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</row>
    <row r="83" spans="1:37" x14ac:dyDescent="0.35">
      <c r="A83" s="107" t="s">
        <v>126</v>
      </c>
      <c r="B83" s="110">
        <v>0.25345000000000001</v>
      </c>
      <c r="C83" s="107" t="s">
        <v>127</v>
      </c>
      <c r="D83" s="111">
        <f>$B$82*A87</f>
        <v>140</v>
      </c>
      <c r="E83" s="111">
        <f>$B$82*A88</f>
        <v>224</v>
      </c>
      <c r="F83" s="111">
        <f>$B$82*A89</f>
        <v>134.4</v>
      </c>
      <c r="G83" s="111">
        <f>$B$82*A90</f>
        <v>80.64</v>
      </c>
      <c r="H83" s="111">
        <f>B82-SUM(D83:G83)</f>
        <v>120.96000000000004</v>
      </c>
      <c r="I83" s="111">
        <v>0</v>
      </c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</row>
    <row r="84" spans="1:37" x14ac:dyDescent="0.35">
      <c r="A84" s="107" t="s">
        <v>128</v>
      </c>
      <c r="B84" s="110">
        <v>8.9399999999999993E-2</v>
      </c>
      <c r="C84" s="107" t="s">
        <v>129</v>
      </c>
      <c r="D84" s="111">
        <f>$B$82/5</f>
        <v>140</v>
      </c>
      <c r="E84" s="111">
        <f>$B$82/5</f>
        <v>140</v>
      </c>
      <c r="F84" s="111">
        <f>$B$82/5</f>
        <v>140</v>
      </c>
      <c r="G84" s="111">
        <f>$B$82/5</f>
        <v>140</v>
      </c>
      <c r="H84" s="111">
        <f>$B$82/5</f>
        <v>140</v>
      </c>
      <c r="I84" s="111">
        <v>0</v>
      </c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</row>
    <row r="85" spans="1:37" x14ac:dyDescent="0.35">
      <c r="A85" s="107"/>
      <c r="B85" s="107"/>
      <c r="C85" s="107" t="s">
        <v>130</v>
      </c>
      <c r="D85" s="111">
        <f>D83-D84</f>
        <v>0</v>
      </c>
      <c r="E85" s="111">
        <f t="shared" ref="E85:I85" si="37">E83-E84</f>
        <v>84</v>
      </c>
      <c r="F85" s="111">
        <f t="shared" si="37"/>
        <v>-5.5999999999999943</v>
      </c>
      <c r="G85" s="111">
        <f t="shared" si="37"/>
        <v>-59.36</v>
      </c>
      <c r="H85" s="111">
        <f t="shared" si="37"/>
        <v>-19.039999999999964</v>
      </c>
      <c r="I85" s="111">
        <f t="shared" si="37"/>
        <v>0</v>
      </c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</row>
    <row r="86" spans="1:37" x14ac:dyDescent="0.35">
      <c r="A86" s="106" t="s">
        <v>131</v>
      </c>
      <c r="B86" s="107"/>
      <c r="C86" s="107" t="s">
        <v>132</v>
      </c>
      <c r="D86" s="111">
        <f>D85</f>
        <v>0</v>
      </c>
      <c r="E86" s="111">
        <f>D86+E85</f>
        <v>84</v>
      </c>
      <c r="F86" s="111">
        <f t="shared" ref="F86:I86" si="38">E86+F85</f>
        <v>78.400000000000006</v>
      </c>
      <c r="G86" s="111">
        <f t="shared" si="38"/>
        <v>19.040000000000006</v>
      </c>
      <c r="H86" s="111">
        <f t="shared" si="38"/>
        <v>4.2632564145606011E-14</v>
      </c>
      <c r="I86" s="111">
        <f t="shared" si="38"/>
        <v>4.2632564145606011E-14</v>
      </c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</row>
    <row r="87" spans="1:37" x14ac:dyDescent="0.35">
      <c r="A87" s="112">
        <v>0.2</v>
      </c>
      <c r="B87" s="107"/>
      <c r="C87" s="107" t="s">
        <v>133</v>
      </c>
      <c r="D87" s="111">
        <f t="shared" ref="D87:I87" si="39">$B$83*D86</f>
        <v>0</v>
      </c>
      <c r="E87" s="111">
        <f t="shared" si="39"/>
        <v>21.2898</v>
      </c>
      <c r="F87" s="111">
        <f t="shared" si="39"/>
        <v>19.870480000000001</v>
      </c>
      <c r="G87" s="111">
        <f t="shared" si="39"/>
        <v>4.8256880000000013</v>
      </c>
      <c r="H87" s="111">
        <f t="shared" si="39"/>
        <v>1.0805223382703845E-14</v>
      </c>
      <c r="I87" s="111">
        <f t="shared" si="39"/>
        <v>1.0805223382703845E-14</v>
      </c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</row>
    <row r="88" spans="1:37" x14ac:dyDescent="0.35">
      <c r="A88" s="112">
        <v>0.32</v>
      </c>
      <c r="B88" s="107"/>
      <c r="C88" s="107"/>
      <c r="D88" s="113"/>
      <c r="E88" s="113"/>
      <c r="F88" s="113"/>
      <c r="G88" s="113"/>
      <c r="H88" s="113"/>
      <c r="I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</row>
    <row r="89" spans="1:37" x14ac:dyDescent="0.35">
      <c r="A89" s="112">
        <v>0.192</v>
      </c>
      <c r="B89" s="107"/>
      <c r="C89" s="107"/>
      <c r="D89" s="113"/>
      <c r="E89" s="113"/>
      <c r="F89" s="113"/>
      <c r="G89" s="113"/>
      <c r="H89" s="113"/>
      <c r="I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</row>
    <row r="90" spans="1:37" x14ac:dyDescent="0.35">
      <c r="A90" s="112">
        <v>0.1152</v>
      </c>
      <c r="B90" s="107"/>
      <c r="C90" s="107" t="s">
        <v>134</v>
      </c>
      <c r="D90" s="111">
        <f t="shared" ref="D90:I90" si="40">$B$82</f>
        <v>700</v>
      </c>
      <c r="E90" s="111">
        <f>D90</f>
        <v>700</v>
      </c>
      <c r="F90" s="111">
        <f>E90</f>
        <v>700</v>
      </c>
      <c r="G90" s="111">
        <f>F90</f>
        <v>700</v>
      </c>
      <c r="H90" s="111">
        <f>G90</f>
        <v>700</v>
      </c>
      <c r="I90" s="111">
        <f t="shared" si="40"/>
        <v>700</v>
      </c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</row>
    <row r="91" spans="1:37" x14ac:dyDescent="0.35">
      <c r="A91" s="112">
        <v>0.1152</v>
      </c>
      <c r="B91" s="107"/>
      <c r="C91" s="107" t="s">
        <v>129</v>
      </c>
      <c r="D91" s="111">
        <f t="shared" ref="D91:I91" si="41">-D84</f>
        <v>-140</v>
      </c>
      <c r="E91" s="111">
        <f t="shared" si="41"/>
        <v>-140</v>
      </c>
      <c r="F91" s="111">
        <f t="shared" si="41"/>
        <v>-140</v>
      </c>
      <c r="G91" s="111">
        <f t="shared" si="41"/>
        <v>-140</v>
      </c>
      <c r="H91" s="111">
        <f t="shared" si="41"/>
        <v>-140</v>
      </c>
      <c r="I91" s="111">
        <f t="shared" si="41"/>
        <v>0</v>
      </c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</row>
    <row r="92" spans="1:37" x14ac:dyDescent="0.35">
      <c r="A92" s="112">
        <v>5.7599999999999998E-2</v>
      </c>
      <c r="B92" s="107"/>
      <c r="C92" s="107" t="s">
        <v>135</v>
      </c>
      <c r="D92" s="111">
        <f>D91</f>
        <v>-140</v>
      </c>
      <c r="E92" s="111">
        <f>D92+E91</f>
        <v>-280</v>
      </c>
      <c r="F92" s="111">
        <f t="shared" ref="F92:I92" si="42">E92+F91</f>
        <v>-420</v>
      </c>
      <c r="G92" s="111">
        <f t="shared" si="42"/>
        <v>-560</v>
      </c>
      <c r="H92" s="111">
        <f t="shared" si="42"/>
        <v>-700</v>
      </c>
      <c r="I92" s="111">
        <f t="shared" si="42"/>
        <v>-700</v>
      </c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</row>
    <row r="93" spans="1:37" x14ac:dyDescent="0.35">
      <c r="B93" s="107"/>
      <c r="C93" s="107" t="s">
        <v>136</v>
      </c>
      <c r="D93" s="111">
        <f>D90+D92</f>
        <v>560</v>
      </c>
      <c r="E93" s="111">
        <f t="shared" ref="E93:I93" si="43">E90+E92</f>
        <v>420</v>
      </c>
      <c r="F93" s="111">
        <f t="shared" si="43"/>
        <v>280</v>
      </c>
      <c r="G93" s="111">
        <f t="shared" si="43"/>
        <v>140</v>
      </c>
      <c r="H93" s="111">
        <f t="shared" si="43"/>
        <v>0</v>
      </c>
      <c r="I93" s="111">
        <f t="shared" si="43"/>
        <v>0</v>
      </c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</row>
    <row r="94" spans="1:37" x14ac:dyDescent="0.35">
      <c r="B94" s="107"/>
      <c r="C94" s="107" t="s">
        <v>133</v>
      </c>
      <c r="D94" s="111">
        <f>D87</f>
        <v>0</v>
      </c>
      <c r="E94" s="111">
        <f t="shared" ref="E94:I94" si="44">E87</f>
        <v>21.2898</v>
      </c>
      <c r="F94" s="111">
        <f t="shared" si="44"/>
        <v>19.870480000000001</v>
      </c>
      <c r="G94" s="111">
        <f t="shared" si="44"/>
        <v>4.8256880000000013</v>
      </c>
      <c r="H94" s="111">
        <f t="shared" si="44"/>
        <v>1.0805223382703845E-14</v>
      </c>
      <c r="I94" s="111">
        <f t="shared" si="44"/>
        <v>1.0805223382703845E-14</v>
      </c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</row>
    <row r="95" spans="1:37" x14ac:dyDescent="0.35">
      <c r="B95" s="107"/>
      <c r="C95" s="107" t="s">
        <v>137</v>
      </c>
      <c r="D95" s="111">
        <f>D93-D94</f>
        <v>560</v>
      </c>
      <c r="E95" s="111">
        <f t="shared" ref="E95:I95" si="45">E93-E94</f>
        <v>398.71019999999999</v>
      </c>
      <c r="F95" s="111">
        <f t="shared" si="45"/>
        <v>260.12952000000001</v>
      </c>
      <c r="G95" s="111">
        <f t="shared" si="45"/>
        <v>135.17431199999999</v>
      </c>
      <c r="H95" s="111">
        <f t="shared" si="45"/>
        <v>-1.0805223382703845E-14</v>
      </c>
      <c r="I95" s="111">
        <f t="shared" si="45"/>
        <v>-1.0805223382703845E-14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</row>
    <row r="96" spans="1:37" x14ac:dyDescent="0.35">
      <c r="B96" s="107"/>
      <c r="C96" s="107" t="s">
        <v>138</v>
      </c>
      <c r="D96" s="111">
        <f>AVERAGE(D90,D95)*$B$84</f>
        <v>56.321999999999996</v>
      </c>
      <c r="E96" s="111">
        <f>AVERAGE(D95,E95)*$B$84</f>
        <v>42.854345939999995</v>
      </c>
      <c r="F96" s="111">
        <f>AVERAGE(E95,F95)*$B$84</f>
        <v>29.450135483999997</v>
      </c>
      <c r="G96" s="111">
        <f>AVERAGE(F95,G95)*$B$84</f>
        <v>17.670081290399999</v>
      </c>
      <c r="H96" s="111">
        <f>AVERAGE(G95,H95)*$B$84</f>
        <v>6.0422917463999992</v>
      </c>
      <c r="I96" s="111">
        <f>AVERAGE(H95,I95)*$B$84</f>
        <v>-9.6598697041372372E-16</v>
      </c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</row>
    <row r="97" spans="2:37" x14ac:dyDescent="0.35">
      <c r="B97" s="107"/>
      <c r="C97" s="107"/>
      <c r="D97" s="107"/>
      <c r="E97" s="107"/>
      <c r="F97" s="107"/>
      <c r="G97" s="107"/>
      <c r="H97" s="107"/>
      <c r="I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</row>
    <row r="98" spans="2:37" x14ac:dyDescent="0.35">
      <c r="B98" s="107"/>
      <c r="C98" s="107" t="s">
        <v>138</v>
      </c>
      <c r="D98" s="111">
        <f>D96</f>
        <v>56.321999999999996</v>
      </c>
      <c r="E98" s="111">
        <f t="shared" ref="E98:I98" si="46">E96</f>
        <v>42.854345939999995</v>
      </c>
      <c r="F98" s="111">
        <f t="shared" si="46"/>
        <v>29.450135483999997</v>
      </c>
      <c r="G98" s="111">
        <f t="shared" si="46"/>
        <v>17.670081290399999</v>
      </c>
      <c r="H98" s="111">
        <f t="shared" si="46"/>
        <v>6.0422917463999992</v>
      </c>
      <c r="I98" s="111">
        <f t="shared" si="46"/>
        <v>-9.6598697041372372E-16</v>
      </c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</row>
    <row r="99" spans="2:37" x14ac:dyDescent="0.35">
      <c r="B99" s="107"/>
      <c r="C99" s="107" t="s">
        <v>129</v>
      </c>
      <c r="D99" s="111">
        <f>D84</f>
        <v>140</v>
      </c>
      <c r="E99" s="111">
        <f t="shared" ref="E99:I99" si="47">E84</f>
        <v>140</v>
      </c>
      <c r="F99" s="111">
        <f t="shared" si="47"/>
        <v>140</v>
      </c>
      <c r="G99" s="111">
        <f t="shared" si="47"/>
        <v>140</v>
      </c>
      <c r="H99" s="111">
        <f t="shared" si="47"/>
        <v>140</v>
      </c>
      <c r="I99" s="111">
        <f t="shared" si="47"/>
        <v>0</v>
      </c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</row>
    <row r="100" spans="2:37" x14ac:dyDescent="0.35">
      <c r="B100" s="107"/>
      <c r="C100" s="114" t="s">
        <v>139</v>
      </c>
      <c r="D100" s="115">
        <f>D98+D99</f>
        <v>196.322</v>
      </c>
      <c r="E100" s="115">
        <f t="shared" ref="E100:I100" si="48">E98+E99</f>
        <v>182.85434594</v>
      </c>
      <c r="F100" s="115">
        <f t="shared" si="48"/>
        <v>169.45013548399999</v>
      </c>
      <c r="G100" s="115">
        <f t="shared" si="48"/>
        <v>157.67008129039999</v>
      </c>
      <c r="H100" s="115">
        <f t="shared" si="48"/>
        <v>146.0422917464</v>
      </c>
      <c r="I100" s="115">
        <f t="shared" si="48"/>
        <v>-9.6598697041372372E-16</v>
      </c>
      <c r="J100" s="81"/>
      <c r="K100" s="114"/>
      <c r="L100" s="114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</row>
    <row r="101" spans="2:37" x14ac:dyDescent="0.35"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</row>
    <row r="102" spans="2:37" x14ac:dyDescent="0.35">
      <c r="B102" s="116" t="s">
        <v>140</v>
      </c>
      <c r="C102" s="107"/>
      <c r="D102" s="107">
        <v>1</v>
      </c>
      <c r="E102" s="107">
        <v>2</v>
      </c>
      <c r="F102" s="107">
        <v>3</v>
      </c>
      <c r="G102" s="107">
        <v>4</v>
      </c>
      <c r="H102" s="107">
        <v>5</v>
      </c>
      <c r="I102" s="107">
        <v>6</v>
      </c>
      <c r="J102" s="107">
        <v>7</v>
      </c>
      <c r="K102" s="107">
        <v>8</v>
      </c>
      <c r="L102" s="107">
        <v>9</v>
      </c>
      <c r="M102" s="107">
        <v>10</v>
      </c>
      <c r="N102" s="107">
        <v>11</v>
      </c>
      <c r="O102" s="107">
        <v>12</v>
      </c>
      <c r="P102" s="107">
        <v>13</v>
      </c>
      <c r="Q102" s="107">
        <v>14</v>
      </c>
      <c r="R102" s="107">
        <v>15</v>
      </c>
      <c r="S102" s="107">
        <v>16</v>
      </c>
      <c r="T102" s="107">
        <v>17</v>
      </c>
      <c r="U102" s="107">
        <v>18</v>
      </c>
      <c r="V102" s="107">
        <v>19</v>
      </c>
      <c r="W102" s="107">
        <v>20</v>
      </c>
      <c r="X102" s="107">
        <v>21</v>
      </c>
      <c r="Y102" s="107">
        <v>22</v>
      </c>
      <c r="Z102" s="107">
        <v>23</v>
      </c>
      <c r="AA102" s="107">
        <v>24</v>
      </c>
      <c r="AB102" s="107">
        <v>25</v>
      </c>
      <c r="AC102" s="107">
        <v>26</v>
      </c>
      <c r="AD102" s="107">
        <v>27</v>
      </c>
      <c r="AE102" s="107">
        <v>28</v>
      </c>
      <c r="AF102" s="107">
        <v>29</v>
      </c>
      <c r="AG102" s="107">
        <v>30</v>
      </c>
      <c r="AH102" s="107">
        <v>31</v>
      </c>
      <c r="AI102" s="107">
        <v>32</v>
      </c>
      <c r="AJ102" s="107">
        <v>33</v>
      </c>
    </row>
    <row r="103" spans="2:37" x14ac:dyDescent="0.35">
      <c r="B103" s="107"/>
      <c r="C103" s="107" t="s">
        <v>141</v>
      </c>
      <c r="D103" s="113">
        <f t="shared" ref="D103:I103" si="49">D100*1000</f>
        <v>196322</v>
      </c>
      <c r="E103" s="113">
        <f t="shared" si="49"/>
        <v>182854.34594</v>
      </c>
      <c r="F103" s="113">
        <f t="shared" si="49"/>
        <v>169450.135484</v>
      </c>
      <c r="G103" s="113">
        <f t="shared" si="49"/>
        <v>157670.0812904</v>
      </c>
      <c r="H103" s="113">
        <f t="shared" si="49"/>
        <v>146042.29174640001</v>
      </c>
      <c r="I103" s="113">
        <f t="shared" si="49"/>
        <v>-9.6598697041372363E-13</v>
      </c>
      <c r="J103" s="113">
        <f t="shared" ref="J103:AJ103" si="50">K100*1000</f>
        <v>0</v>
      </c>
      <c r="K103" s="113">
        <f t="shared" si="50"/>
        <v>0</v>
      </c>
      <c r="L103" s="113">
        <f t="shared" si="50"/>
        <v>0</v>
      </c>
      <c r="M103" s="113">
        <f t="shared" si="50"/>
        <v>0</v>
      </c>
      <c r="N103" s="113">
        <f t="shared" si="50"/>
        <v>0</v>
      </c>
      <c r="O103" s="113">
        <f t="shared" si="50"/>
        <v>0</v>
      </c>
      <c r="P103" s="113">
        <f t="shared" si="50"/>
        <v>0</v>
      </c>
      <c r="Q103" s="113">
        <f t="shared" si="50"/>
        <v>0</v>
      </c>
      <c r="R103" s="113">
        <f t="shared" si="50"/>
        <v>0</v>
      </c>
      <c r="S103" s="113">
        <f t="shared" si="50"/>
        <v>0</v>
      </c>
      <c r="T103" s="113">
        <f t="shared" si="50"/>
        <v>0</v>
      </c>
      <c r="U103" s="113">
        <f t="shared" si="50"/>
        <v>0</v>
      </c>
      <c r="V103" s="113">
        <f t="shared" si="50"/>
        <v>0</v>
      </c>
      <c r="W103" s="113">
        <f t="shared" si="50"/>
        <v>0</v>
      </c>
      <c r="X103" s="113">
        <f t="shared" si="50"/>
        <v>0</v>
      </c>
      <c r="Y103" s="113">
        <f t="shared" si="50"/>
        <v>0</v>
      </c>
      <c r="Z103" s="113">
        <f t="shared" si="50"/>
        <v>0</v>
      </c>
      <c r="AA103" s="113">
        <f t="shared" si="50"/>
        <v>0</v>
      </c>
      <c r="AB103" s="113">
        <f t="shared" si="50"/>
        <v>0</v>
      </c>
      <c r="AC103" s="113">
        <f t="shared" si="50"/>
        <v>0</v>
      </c>
      <c r="AD103" s="113">
        <f t="shared" si="50"/>
        <v>0</v>
      </c>
      <c r="AE103" s="113">
        <f t="shared" si="50"/>
        <v>0</v>
      </c>
      <c r="AF103" s="113">
        <f t="shared" si="50"/>
        <v>0</v>
      </c>
      <c r="AG103" s="113">
        <f t="shared" si="50"/>
        <v>0</v>
      </c>
      <c r="AH103" s="113">
        <f t="shared" si="50"/>
        <v>0</v>
      </c>
      <c r="AI103" s="113">
        <f t="shared" si="50"/>
        <v>0</v>
      </c>
      <c r="AJ103" s="113">
        <f t="shared" si="50"/>
        <v>0</v>
      </c>
    </row>
    <row r="104" spans="2:37" x14ac:dyDescent="0.35">
      <c r="B104" s="107"/>
      <c r="C104" s="107" t="s">
        <v>142</v>
      </c>
      <c r="D104" s="117">
        <f>D79-D33-D34</f>
        <v>823757.09618666675</v>
      </c>
      <c r="E104" s="117">
        <f t="shared" ref="E104:AJ104" si="51">E79</f>
        <v>444682.1915066666</v>
      </c>
      <c r="F104" s="117">
        <f t="shared" si="51"/>
        <v>513626.05550666671</v>
      </c>
      <c r="G104" s="117">
        <f t="shared" si="51"/>
        <v>517042.79872000002</v>
      </c>
      <c r="H104" s="117">
        <f t="shared" si="51"/>
        <v>510155.14153266669</v>
      </c>
      <c r="I104" s="117">
        <f t="shared" si="51"/>
        <v>510501.95073344669</v>
      </c>
      <c r="J104" s="117">
        <f t="shared" si="51"/>
        <v>565092.26722358353</v>
      </c>
      <c r="K104" s="117">
        <f t="shared" si="51"/>
        <v>524136.09409135761</v>
      </c>
      <c r="L104" s="117">
        <f t="shared" si="51"/>
        <v>545442.33186889836</v>
      </c>
      <c r="M104" s="117">
        <f t="shared" si="51"/>
        <v>589020.85979309864</v>
      </c>
      <c r="N104" s="117">
        <f t="shared" si="51"/>
        <v>372402.17849023279</v>
      </c>
      <c r="O104" s="117">
        <f t="shared" si="51"/>
        <v>368856.39879973978</v>
      </c>
      <c r="P104" s="117">
        <f t="shared" si="51"/>
        <v>427437.34873186529</v>
      </c>
      <c r="Q104" s="117">
        <f t="shared" si="51"/>
        <v>382351.52804488788</v>
      </c>
      <c r="R104" s="117">
        <f t="shared" si="51"/>
        <v>399404.22884103458</v>
      </c>
      <c r="S104" s="117">
        <f t="shared" si="51"/>
        <v>438601.61367439892</v>
      </c>
      <c r="T104" s="117">
        <f t="shared" si="51"/>
        <v>414150.72093569761</v>
      </c>
      <c r="U104" s="117">
        <f t="shared" si="51"/>
        <v>411857.3975185685</v>
      </c>
      <c r="V104" s="117">
        <f t="shared" si="51"/>
        <v>471728.37741225888</v>
      </c>
      <c r="W104" s="117">
        <f t="shared" si="51"/>
        <v>427971.28758569335</v>
      </c>
      <c r="X104" s="117">
        <f t="shared" si="51"/>
        <v>446392.58116806421</v>
      </c>
      <c r="Y104" s="117">
        <f t="shared" si="51"/>
        <v>486999.61657123943</v>
      </c>
      <c r="Z104" s="117">
        <f t="shared" si="51"/>
        <v>464000.66391944332</v>
      </c>
      <c r="AA104" s="117">
        <f t="shared" si="51"/>
        <v>463202.83879182668</v>
      </c>
      <c r="AB104" s="117">
        <f t="shared" si="51"/>
        <v>524614.1819237147</v>
      </c>
      <c r="AC104" s="117">
        <f t="shared" si="51"/>
        <v>445727.11472582625</v>
      </c>
      <c r="AD104" s="117">
        <f t="shared" si="51"/>
        <v>480782.57966760098</v>
      </c>
      <c r="AE104" s="117">
        <f t="shared" si="51"/>
        <v>466139.70855762908</v>
      </c>
      <c r="AF104" s="117">
        <f t="shared" si="51"/>
        <v>497807.55131435796</v>
      </c>
      <c r="AG104" s="117">
        <f t="shared" si="51"/>
        <v>487795.42935378873</v>
      </c>
      <c r="AH104" s="117">
        <f t="shared" si="51"/>
        <v>524112.94373440236</v>
      </c>
      <c r="AI104" s="117">
        <f t="shared" si="51"/>
        <v>493160.99354643445</v>
      </c>
      <c r="AJ104" s="117">
        <f t="shared" si="51"/>
        <v>494949.76455282746</v>
      </c>
    </row>
    <row r="105" spans="2:37" s="81" customFormat="1" x14ac:dyDescent="0.35">
      <c r="B105" s="114"/>
      <c r="C105" s="114" t="s">
        <v>143</v>
      </c>
      <c r="D105" s="169">
        <f>D104+D103</f>
        <v>1020079.0961866667</v>
      </c>
      <c r="E105" s="169">
        <f t="shared" ref="E105:AJ105" si="52">E104+E103</f>
        <v>627536.53744666663</v>
      </c>
      <c r="F105" s="169">
        <f t="shared" si="52"/>
        <v>683076.19099066674</v>
      </c>
      <c r="G105" s="169">
        <f t="shared" si="52"/>
        <v>674712.88001039997</v>
      </c>
      <c r="H105" s="169">
        <f t="shared" si="52"/>
        <v>656197.4332790667</v>
      </c>
      <c r="I105" s="169">
        <f t="shared" si="52"/>
        <v>510501.95073344669</v>
      </c>
      <c r="J105" s="169">
        <f t="shared" si="52"/>
        <v>565092.26722358353</v>
      </c>
      <c r="K105" s="169">
        <f t="shared" si="52"/>
        <v>524136.09409135761</v>
      </c>
      <c r="L105" s="169">
        <f t="shared" si="52"/>
        <v>545442.33186889836</v>
      </c>
      <c r="M105" s="169">
        <f t="shared" si="52"/>
        <v>589020.85979309864</v>
      </c>
      <c r="N105" s="169">
        <f t="shared" si="52"/>
        <v>372402.17849023279</v>
      </c>
      <c r="O105" s="169">
        <f t="shared" si="52"/>
        <v>368856.39879973978</v>
      </c>
      <c r="P105" s="169">
        <f t="shared" si="52"/>
        <v>427437.34873186529</v>
      </c>
      <c r="Q105" s="169">
        <f t="shared" si="52"/>
        <v>382351.52804488788</v>
      </c>
      <c r="R105" s="169">
        <f t="shared" si="52"/>
        <v>399404.22884103458</v>
      </c>
      <c r="S105" s="169">
        <f t="shared" si="52"/>
        <v>438601.61367439892</v>
      </c>
      <c r="T105" s="169">
        <f t="shared" si="52"/>
        <v>414150.72093569761</v>
      </c>
      <c r="U105" s="169">
        <f t="shared" si="52"/>
        <v>411857.3975185685</v>
      </c>
      <c r="V105" s="169">
        <f t="shared" si="52"/>
        <v>471728.37741225888</v>
      </c>
      <c r="W105" s="169">
        <f t="shared" si="52"/>
        <v>427971.28758569335</v>
      </c>
      <c r="X105" s="169">
        <f t="shared" si="52"/>
        <v>446392.58116806421</v>
      </c>
      <c r="Y105" s="169">
        <f t="shared" si="52"/>
        <v>486999.61657123943</v>
      </c>
      <c r="Z105" s="169">
        <f t="shared" si="52"/>
        <v>464000.66391944332</v>
      </c>
      <c r="AA105" s="169">
        <f t="shared" si="52"/>
        <v>463202.83879182668</v>
      </c>
      <c r="AB105" s="169">
        <f t="shared" si="52"/>
        <v>524614.1819237147</v>
      </c>
      <c r="AC105" s="169">
        <f t="shared" si="52"/>
        <v>445727.11472582625</v>
      </c>
      <c r="AD105" s="169">
        <f t="shared" si="52"/>
        <v>480782.57966760098</v>
      </c>
      <c r="AE105" s="169">
        <f t="shared" si="52"/>
        <v>466139.70855762908</v>
      </c>
      <c r="AF105" s="169">
        <f t="shared" si="52"/>
        <v>497807.55131435796</v>
      </c>
      <c r="AG105" s="169">
        <f t="shared" si="52"/>
        <v>487795.42935378873</v>
      </c>
      <c r="AH105" s="169">
        <f t="shared" si="52"/>
        <v>524112.94373440236</v>
      </c>
      <c r="AI105" s="169">
        <f t="shared" si="52"/>
        <v>493160.99354643445</v>
      </c>
      <c r="AJ105" s="169">
        <f t="shared" si="52"/>
        <v>494949.76455282746</v>
      </c>
    </row>
  </sheetData>
  <mergeCells count="8">
    <mergeCell ref="B31:N31"/>
    <mergeCell ref="B43:N43"/>
    <mergeCell ref="B2:N2"/>
    <mergeCell ref="P3:Q3"/>
    <mergeCell ref="AM3:AN3"/>
    <mergeCell ref="B10:N10"/>
    <mergeCell ref="O10:AA10"/>
    <mergeCell ref="AB10:AH10"/>
  </mergeCells>
  <dataValidations disablePrompts="1" count="1">
    <dataValidation type="list" allowBlank="1" showInputMessage="1" showErrorMessage="1" sqref="J5:J6" xr:uid="{9752B60C-3DD2-4E43-AE7C-3B41932206E4}">
      <formula1>$AM$5:$AM$16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2DF19-4128-463F-B09B-C64D35F30109}">
  <dimension ref="A1:K37"/>
  <sheetViews>
    <sheetView zoomScale="80" zoomScaleNormal="80" workbookViewId="0"/>
  </sheetViews>
  <sheetFormatPr defaultColWidth="9.1796875" defaultRowHeight="15.5" x14ac:dyDescent="0.35"/>
  <cols>
    <col min="1" max="1" width="16.54296875" style="118" customWidth="1"/>
    <col min="2" max="2" width="9.1796875" style="118"/>
    <col min="3" max="8" width="15.26953125" style="118" customWidth="1"/>
    <col min="9" max="9" width="15.453125" style="118" bestFit="1" customWidth="1"/>
    <col min="10" max="16384" width="9.1796875" style="118"/>
  </cols>
  <sheetData>
    <row r="1" spans="1:11" x14ac:dyDescent="0.35">
      <c r="C1" s="119">
        <v>0</v>
      </c>
      <c r="D1" s="119"/>
      <c r="E1" s="119"/>
      <c r="F1" s="119"/>
      <c r="G1" s="119"/>
      <c r="H1" s="119"/>
      <c r="I1" s="119"/>
      <c r="K1" s="119"/>
    </row>
    <row r="2" spans="1:11" x14ac:dyDescent="0.35">
      <c r="C2" s="119" t="s">
        <v>145</v>
      </c>
      <c r="D2" s="119"/>
      <c r="E2" s="119"/>
      <c r="F2" s="119"/>
      <c r="G2" s="119"/>
      <c r="H2" s="119"/>
      <c r="I2" s="119"/>
      <c r="K2" s="119"/>
    </row>
    <row r="3" spans="1:11" x14ac:dyDescent="0.35">
      <c r="A3" s="118">
        <v>0</v>
      </c>
      <c r="B3" s="118">
        <v>2021</v>
      </c>
      <c r="C3" s="120">
        <f ca="1">OFFSET('Program Admin Expenses'!$D$105,0,'Tariff Model Inputs'!A3)</f>
        <v>1020079.0961866667</v>
      </c>
      <c r="D3" s="120"/>
      <c r="E3" s="120"/>
      <c r="F3" s="120"/>
      <c r="G3" s="120"/>
      <c r="H3" s="120"/>
      <c r="I3" s="120"/>
      <c r="K3" s="121"/>
    </row>
    <row r="4" spans="1:11" x14ac:dyDescent="0.35">
      <c r="A4" s="118">
        <v>1</v>
      </c>
      <c r="B4" s="118">
        <v>2022</v>
      </c>
      <c r="C4" s="120">
        <f ca="1">OFFSET('Program Admin Expenses'!$D$105,0,'Tariff Model Inputs'!A4)</f>
        <v>627536.53744666663</v>
      </c>
      <c r="D4" s="120"/>
      <c r="E4" s="120"/>
      <c r="F4" s="120"/>
      <c r="G4" s="120"/>
      <c r="H4" s="120"/>
      <c r="I4" s="120"/>
      <c r="K4" s="121"/>
    </row>
    <row r="5" spans="1:11" x14ac:dyDescent="0.35">
      <c r="A5" s="118">
        <v>2</v>
      </c>
      <c r="B5" s="118">
        <v>2023</v>
      </c>
      <c r="C5" s="120">
        <f ca="1">OFFSET('Program Admin Expenses'!$D$105,0,'Tariff Model Inputs'!A5)</f>
        <v>683076.19099066674</v>
      </c>
      <c r="D5" s="120"/>
      <c r="E5" s="120"/>
      <c r="F5" s="120"/>
      <c r="G5" s="120"/>
      <c r="H5" s="120"/>
      <c r="I5" s="120"/>
      <c r="K5" s="121"/>
    </row>
    <row r="6" spans="1:11" x14ac:dyDescent="0.35">
      <c r="A6" s="118">
        <v>3</v>
      </c>
      <c r="B6" s="118">
        <v>2024</v>
      </c>
      <c r="C6" s="120">
        <f ca="1">OFFSET('Program Admin Expenses'!$D$105,0,'Tariff Model Inputs'!A6)</f>
        <v>674712.88001039997</v>
      </c>
      <c r="D6" s="120"/>
      <c r="E6" s="120"/>
      <c r="F6" s="120"/>
      <c r="G6" s="120"/>
      <c r="H6" s="120"/>
      <c r="I6" s="120"/>
      <c r="K6" s="121"/>
    </row>
    <row r="7" spans="1:11" x14ac:dyDescent="0.35">
      <c r="A7" s="118">
        <v>4</v>
      </c>
      <c r="B7" s="118">
        <v>2025</v>
      </c>
      <c r="C7" s="120">
        <f ca="1">OFFSET('Program Admin Expenses'!$D$105,0,'Tariff Model Inputs'!A7)</f>
        <v>656197.4332790667</v>
      </c>
      <c r="D7" s="120"/>
      <c r="E7" s="120"/>
      <c r="F7" s="120"/>
      <c r="G7" s="120"/>
      <c r="H7" s="120"/>
      <c r="I7" s="120"/>
      <c r="K7" s="121"/>
    </row>
    <row r="8" spans="1:11" x14ac:dyDescent="0.35">
      <c r="A8" s="118">
        <v>5</v>
      </c>
      <c r="B8" s="118">
        <v>2026</v>
      </c>
      <c r="C8" s="120">
        <f ca="1">OFFSET('Program Admin Expenses'!$D$105,0,'Tariff Model Inputs'!A8)</f>
        <v>510501.95073344669</v>
      </c>
      <c r="D8" s="120"/>
      <c r="E8" s="120"/>
      <c r="F8" s="120"/>
      <c r="G8" s="120"/>
      <c r="H8" s="120"/>
      <c r="I8" s="120"/>
      <c r="K8" s="121"/>
    </row>
    <row r="9" spans="1:11" x14ac:dyDescent="0.35">
      <c r="A9" s="118">
        <v>6</v>
      </c>
      <c r="B9" s="118">
        <v>2027</v>
      </c>
      <c r="C9" s="120">
        <f ca="1">OFFSET('Program Admin Expenses'!$D$105,0,'Tariff Model Inputs'!A9)</f>
        <v>565092.26722358353</v>
      </c>
      <c r="D9" s="120"/>
      <c r="E9" s="120"/>
      <c r="F9" s="120"/>
      <c r="G9" s="120"/>
      <c r="H9" s="120"/>
      <c r="I9" s="120"/>
      <c r="K9" s="121"/>
    </row>
    <row r="10" spans="1:11" x14ac:dyDescent="0.35">
      <c r="A10" s="118">
        <v>7</v>
      </c>
      <c r="B10" s="118">
        <v>2028</v>
      </c>
      <c r="C10" s="120">
        <f ca="1">OFFSET('Program Admin Expenses'!$D$105,0,'Tariff Model Inputs'!A10)</f>
        <v>524136.09409135761</v>
      </c>
      <c r="D10" s="120"/>
      <c r="E10" s="120"/>
      <c r="F10" s="120"/>
      <c r="G10" s="120"/>
      <c r="H10" s="120"/>
      <c r="I10" s="120"/>
      <c r="K10" s="121"/>
    </row>
    <row r="11" spans="1:11" x14ac:dyDescent="0.35">
      <c r="A11" s="118">
        <v>8</v>
      </c>
      <c r="B11" s="118">
        <v>2029</v>
      </c>
      <c r="C11" s="120">
        <f ca="1">OFFSET('Program Admin Expenses'!$D$105,0,'Tariff Model Inputs'!A11)</f>
        <v>545442.33186889836</v>
      </c>
      <c r="D11" s="120"/>
      <c r="E11" s="120"/>
      <c r="F11" s="120"/>
      <c r="G11" s="120"/>
      <c r="H11" s="120"/>
      <c r="I11" s="120"/>
      <c r="K11" s="121"/>
    </row>
    <row r="12" spans="1:11" x14ac:dyDescent="0.35">
      <c r="A12" s="118">
        <v>9</v>
      </c>
      <c r="B12" s="118">
        <v>2030</v>
      </c>
      <c r="C12" s="120">
        <f ca="1">OFFSET('Program Admin Expenses'!$D$105,0,'Tariff Model Inputs'!A12)</f>
        <v>589020.85979309864</v>
      </c>
      <c r="D12" s="120"/>
      <c r="E12" s="120"/>
      <c r="F12" s="120"/>
      <c r="G12" s="120"/>
      <c r="H12" s="120"/>
      <c r="I12" s="120"/>
      <c r="K12" s="121"/>
    </row>
    <row r="13" spans="1:11" x14ac:dyDescent="0.35">
      <c r="A13" s="118">
        <v>10</v>
      </c>
      <c r="B13" s="118">
        <v>2031</v>
      </c>
      <c r="C13" s="120">
        <f ca="1">OFFSET('Program Admin Expenses'!$D$105,0,'Tariff Model Inputs'!A13)</f>
        <v>372402.17849023279</v>
      </c>
      <c r="D13" s="120"/>
      <c r="E13" s="120"/>
      <c r="F13" s="120"/>
      <c r="G13" s="120"/>
      <c r="H13" s="120"/>
      <c r="I13" s="120"/>
      <c r="K13" s="121"/>
    </row>
    <row r="14" spans="1:11" x14ac:dyDescent="0.35">
      <c r="A14" s="118">
        <v>11</v>
      </c>
      <c r="B14" s="118">
        <v>2032</v>
      </c>
      <c r="C14" s="120">
        <f ca="1">OFFSET('Program Admin Expenses'!$D$105,0,'Tariff Model Inputs'!A14)</f>
        <v>368856.39879973978</v>
      </c>
      <c r="D14" s="120"/>
      <c r="E14" s="120"/>
      <c r="F14" s="120"/>
      <c r="G14" s="120"/>
      <c r="H14" s="120"/>
      <c r="I14" s="120"/>
      <c r="K14" s="121"/>
    </row>
    <row r="15" spans="1:11" x14ac:dyDescent="0.35">
      <c r="A15" s="118">
        <v>12</v>
      </c>
      <c r="B15" s="118">
        <v>2033</v>
      </c>
      <c r="C15" s="120">
        <f ca="1">OFFSET('Program Admin Expenses'!$D$105,0,'Tariff Model Inputs'!A15)</f>
        <v>427437.34873186529</v>
      </c>
      <c r="D15" s="120"/>
      <c r="E15" s="120"/>
      <c r="F15" s="120"/>
      <c r="G15" s="120"/>
      <c r="H15" s="120"/>
      <c r="I15" s="120"/>
      <c r="K15" s="121"/>
    </row>
    <row r="16" spans="1:11" x14ac:dyDescent="0.35">
      <c r="A16" s="118">
        <v>13</v>
      </c>
      <c r="B16" s="118">
        <v>2034</v>
      </c>
      <c r="C16" s="120">
        <f ca="1">OFFSET('Program Admin Expenses'!$D$105,0,'Tariff Model Inputs'!A16)</f>
        <v>382351.52804488788</v>
      </c>
      <c r="D16" s="120"/>
      <c r="E16" s="120"/>
      <c r="F16" s="120"/>
      <c r="G16" s="120"/>
      <c r="H16" s="120"/>
      <c r="I16" s="120"/>
      <c r="K16" s="121"/>
    </row>
    <row r="17" spans="1:11" x14ac:dyDescent="0.35">
      <c r="A17" s="118">
        <v>14</v>
      </c>
      <c r="B17" s="118">
        <v>2035</v>
      </c>
      <c r="C17" s="120">
        <f ca="1">OFFSET('Program Admin Expenses'!$D$105,0,'Tariff Model Inputs'!A17)</f>
        <v>399404.22884103458</v>
      </c>
      <c r="D17" s="120"/>
      <c r="E17" s="120"/>
      <c r="F17" s="120"/>
      <c r="G17" s="120"/>
      <c r="H17" s="120"/>
      <c r="I17" s="120"/>
      <c r="K17" s="121"/>
    </row>
    <row r="18" spans="1:11" x14ac:dyDescent="0.35">
      <c r="A18" s="118">
        <v>15</v>
      </c>
      <c r="B18" s="118">
        <v>2036</v>
      </c>
      <c r="C18" s="120">
        <f ca="1">OFFSET('Program Admin Expenses'!$D$105,0,'Tariff Model Inputs'!A18)</f>
        <v>438601.61367439892</v>
      </c>
      <c r="D18" s="120"/>
      <c r="E18" s="120"/>
      <c r="F18" s="120"/>
      <c r="G18" s="120"/>
      <c r="H18" s="120"/>
      <c r="I18" s="120"/>
      <c r="K18" s="121"/>
    </row>
    <row r="19" spans="1:11" x14ac:dyDescent="0.35">
      <c r="A19" s="118">
        <v>16</v>
      </c>
      <c r="B19" s="118">
        <v>2037</v>
      </c>
      <c r="C19" s="120">
        <f ca="1">OFFSET('Program Admin Expenses'!$D$105,0,'Tariff Model Inputs'!A19)</f>
        <v>414150.72093569761</v>
      </c>
      <c r="D19" s="120"/>
      <c r="E19" s="120"/>
      <c r="F19" s="120"/>
      <c r="G19" s="120"/>
      <c r="H19" s="120"/>
      <c r="I19" s="120"/>
      <c r="K19" s="121"/>
    </row>
    <row r="20" spans="1:11" x14ac:dyDescent="0.35">
      <c r="A20" s="118">
        <v>17</v>
      </c>
      <c r="B20" s="118">
        <v>2038</v>
      </c>
      <c r="C20" s="120">
        <f ca="1">OFFSET('Program Admin Expenses'!$D$105,0,'Tariff Model Inputs'!A20)</f>
        <v>411857.3975185685</v>
      </c>
      <c r="D20" s="120"/>
      <c r="E20" s="120"/>
      <c r="F20" s="120"/>
      <c r="G20" s="120"/>
      <c r="H20" s="120"/>
      <c r="I20" s="120"/>
      <c r="K20" s="121"/>
    </row>
    <row r="21" spans="1:11" x14ac:dyDescent="0.35">
      <c r="A21" s="118">
        <v>18</v>
      </c>
      <c r="B21" s="118">
        <v>2039</v>
      </c>
      <c r="C21" s="120">
        <f ca="1">OFFSET('Program Admin Expenses'!$D$105,0,'Tariff Model Inputs'!A21)</f>
        <v>471728.37741225888</v>
      </c>
      <c r="D21" s="120"/>
      <c r="E21" s="120"/>
      <c r="F21" s="120"/>
      <c r="G21" s="120"/>
      <c r="H21" s="120"/>
      <c r="I21" s="120"/>
      <c r="K21" s="121"/>
    </row>
    <row r="22" spans="1:11" x14ac:dyDescent="0.35">
      <c r="A22" s="118">
        <v>19</v>
      </c>
      <c r="B22" s="118">
        <v>2040</v>
      </c>
      <c r="C22" s="120">
        <f ca="1">OFFSET('Program Admin Expenses'!$D$105,0,'Tariff Model Inputs'!A22)</f>
        <v>427971.28758569335</v>
      </c>
      <c r="D22" s="120"/>
      <c r="E22" s="120"/>
      <c r="F22" s="120"/>
      <c r="G22" s="120"/>
      <c r="H22" s="120"/>
      <c r="I22" s="120"/>
      <c r="K22" s="121"/>
    </row>
    <row r="23" spans="1:11" x14ac:dyDescent="0.35">
      <c r="A23" s="118">
        <v>20</v>
      </c>
      <c r="B23" s="118">
        <v>2041</v>
      </c>
      <c r="C23" s="120">
        <f ca="1">OFFSET('Program Admin Expenses'!$D$105,0,'Tariff Model Inputs'!A23)</f>
        <v>446392.58116806421</v>
      </c>
      <c r="D23" s="120"/>
      <c r="E23" s="120"/>
      <c r="F23" s="120"/>
      <c r="G23" s="120"/>
      <c r="H23" s="120"/>
      <c r="I23" s="120"/>
      <c r="K23" s="121"/>
    </row>
    <row r="24" spans="1:11" x14ac:dyDescent="0.35">
      <c r="A24" s="118">
        <v>21</v>
      </c>
      <c r="B24" s="118">
        <v>2042</v>
      </c>
      <c r="C24" s="120">
        <f ca="1">OFFSET('Program Admin Expenses'!$D$105,0,'Tariff Model Inputs'!A24)</f>
        <v>486999.61657123943</v>
      </c>
      <c r="D24" s="120"/>
      <c r="E24" s="120"/>
      <c r="F24" s="120"/>
      <c r="G24" s="120"/>
      <c r="H24" s="120"/>
      <c r="I24" s="120"/>
      <c r="K24" s="121"/>
    </row>
    <row r="25" spans="1:11" x14ac:dyDescent="0.35">
      <c r="A25" s="118">
        <v>22</v>
      </c>
      <c r="B25" s="118">
        <v>2043</v>
      </c>
      <c r="C25" s="120">
        <f ca="1">OFFSET('Program Admin Expenses'!$D$105,0,'Tariff Model Inputs'!A25)</f>
        <v>464000.66391944332</v>
      </c>
      <c r="D25" s="120"/>
      <c r="E25" s="120"/>
      <c r="F25" s="120"/>
      <c r="G25" s="120"/>
      <c r="H25" s="120"/>
      <c r="I25" s="120"/>
      <c r="K25" s="121"/>
    </row>
    <row r="26" spans="1:11" x14ac:dyDescent="0.35">
      <c r="A26" s="118">
        <v>23</v>
      </c>
      <c r="B26" s="118">
        <v>2044</v>
      </c>
      <c r="C26" s="120">
        <f ca="1">OFFSET('Program Admin Expenses'!$D$105,0,'Tariff Model Inputs'!A26)</f>
        <v>463202.83879182668</v>
      </c>
      <c r="D26" s="120"/>
      <c r="E26" s="120"/>
      <c r="F26" s="120"/>
      <c r="G26" s="120"/>
      <c r="H26" s="120"/>
      <c r="I26" s="120"/>
      <c r="K26" s="121"/>
    </row>
    <row r="27" spans="1:11" x14ac:dyDescent="0.35">
      <c r="A27" s="118">
        <v>24</v>
      </c>
      <c r="B27" s="118">
        <v>2045</v>
      </c>
      <c r="C27" s="120">
        <f ca="1">OFFSET('Program Admin Expenses'!$D$105,0,'Tariff Model Inputs'!A27)</f>
        <v>524614.1819237147</v>
      </c>
      <c r="D27" s="120"/>
      <c r="E27" s="120"/>
      <c r="F27" s="120"/>
      <c r="G27" s="120"/>
      <c r="H27" s="120"/>
      <c r="I27" s="120"/>
      <c r="K27" s="121"/>
    </row>
    <row r="28" spans="1:11" x14ac:dyDescent="0.35">
      <c r="A28" s="118">
        <v>25</v>
      </c>
      <c r="B28" s="118">
        <v>2046</v>
      </c>
      <c r="C28" s="120">
        <f ca="1">OFFSET('Program Admin Expenses'!$D$105,0,'Tariff Model Inputs'!A28)</f>
        <v>445727.11472582625</v>
      </c>
      <c r="D28" s="120"/>
      <c r="E28" s="120"/>
      <c r="F28" s="120"/>
      <c r="G28" s="120"/>
      <c r="H28" s="120"/>
      <c r="I28" s="120"/>
      <c r="K28" s="121"/>
    </row>
    <row r="29" spans="1:11" x14ac:dyDescent="0.35">
      <c r="A29" s="118">
        <v>26</v>
      </c>
      <c r="B29" s="118">
        <v>2047</v>
      </c>
      <c r="C29" s="120">
        <f ca="1">OFFSET('Program Admin Expenses'!$D$105,0,'Tariff Model Inputs'!A29)</f>
        <v>480782.57966760098</v>
      </c>
      <c r="D29" s="120"/>
      <c r="E29" s="120"/>
      <c r="F29" s="120"/>
      <c r="G29" s="120"/>
      <c r="H29" s="120"/>
      <c r="I29" s="120"/>
      <c r="K29" s="121"/>
    </row>
    <row r="30" spans="1:11" x14ac:dyDescent="0.35">
      <c r="A30" s="118">
        <v>27</v>
      </c>
      <c r="B30" s="118">
        <v>2048</v>
      </c>
      <c r="C30" s="120">
        <f ca="1">OFFSET('Program Admin Expenses'!$D$105,0,'Tariff Model Inputs'!A30)</f>
        <v>466139.70855762908</v>
      </c>
      <c r="D30" s="120"/>
      <c r="E30" s="120"/>
      <c r="F30" s="120"/>
      <c r="G30" s="120"/>
      <c r="H30" s="120"/>
      <c r="I30" s="120"/>
      <c r="K30" s="121"/>
    </row>
    <row r="31" spans="1:11" x14ac:dyDescent="0.35">
      <c r="A31" s="118">
        <v>28</v>
      </c>
      <c r="B31" s="118">
        <v>2049</v>
      </c>
      <c r="C31" s="120">
        <f ca="1">OFFSET('Program Admin Expenses'!$D$105,0,'Tariff Model Inputs'!A31)</f>
        <v>497807.55131435796</v>
      </c>
      <c r="D31" s="120"/>
      <c r="E31" s="120"/>
      <c r="F31" s="120"/>
      <c r="G31" s="120"/>
      <c r="H31" s="120"/>
      <c r="I31" s="120"/>
      <c r="K31" s="121"/>
    </row>
    <row r="32" spans="1:11" x14ac:dyDescent="0.35">
      <c r="A32" s="118">
        <v>29</v>
      </c>
      <c r="B32" s="118">
        <v>2050</v>
      </c>
      <c r="C32" s="120">
        <f ca="1">OFFSET('Program Admin Expenses'!$D$105,0,'Tariff Model Inputs'!A32)</f>
        <v>487795.42935378873</v>
      </c>
      <c r="D32" s="120"/>
      <c r="E32" s="120"/>
      <c r="F32" s="120"/>
      <c r="G32" s="120"/>
      <c r="H32" s="120"/>
      <c r="I32" s="120"/>
      <c r="K32" s="121"/>
    </row>
    <row r="33" spans="1:11" x14ac:dyDescent="0.35">
      <c r="A33" s="118">
        <v>30</v>
      </c>
      <c r="B33" s="118">
        <v>2051</v>
      </c>
      <c r="C33" s="120">
        <f ca="1">OFFSET('Program Admin Expenses'!$D$105,0,'Tariff Model Inputs'!A33)</f>
        <v>524112.94373440236</v>
      </c>
      <c r="D33" s="120"/>
      <c r="E33" s="120"/>
      <c r="F33" s="120"/>
      <c r="G33" s="120"/>
      <c r="H33" s="120"/>
      <c r="I33" s="120"/>
      <c r="K33" s="121"/>
    </row>
    <row r="34" spans="1:11" x14ac:dyDescent="0.35">
      <c r="A34" s="118">
        <v>31</v>
      </c>
      <c r="B34" s="118">
        <v>2052</v>
      </c>
      <c r="C34" s="120">
        <f ca="1">OFFSET('Program Admin Expenses'!$D$105,0,'Tariff Model Inputs'!A34)</f>
        <v>493160.99354643445</v>
      </c>
      <c r="D34" s="120"/>
      <c r="E34" s="120"/>
      <c r="F34" s="120"/>
      <c r="G34" s="120"/>
      <c r="H34" s="120"/>
      <c r="I34" s="120"/>
      <c r="K34" s="121"/>
    </row>
    <row r="35" spans="1:11" x14ac:dyDescent="0.35">
      <c r="A35" s="118">
        <v>32</v>
      </c>
      <c r="B35" s="118">
        <v>2053</v>
      </c>
      <c r="C35" s="120">
        <f ca="1">OFFSET('Program Admin Expenses'!$D$105,0,'Tariff Model Inputs'!A35)</f>
        <v>494949.76455282746</v>
      </c>
      <c r="D35" s="120"/>
      <c r="E35" s="120"/>
      <c r="F35" s="120"/>
      <c r="G35" s="120"/>
      <c r="H35" s="120"/>
      <c r="I35" s="120"/>
      <c r="K35" s="121"/>
    </row>
    <row r="36" spans="1:11" x14ac:dyDescent="0.35">
      <c r="A36" s="122" t="s">
        <v>143</v>
      </c>
      <c r="B36" s="122"/>
      <c r="C36" s="123">
        <f ca="1">SUM(C3:C35)</f>
        <v>16786242.689485382</v>
      </c>
      <c r="D36" s="123"/>
      <c r="E36" s="123"/>
      <c r="F36" s="123"/>
      <c r="G36" s="123"/>
      <c r="H36" s="123"/>
      <c r="I36" s="123"/>
    </row>
    <row r="37" spans="1:11" x14ac:dyDescent="0.35">
      <c r="A37" s="124" t="s">
        <v>144</v>
      </c>
      <c r="B37" s="124"/>
      <c r="C37" s="125">
        <v>7325205.3641616292</v>
      </c>
      <c r="D37" s="125"/>
      <c r="E37" s="125"/>
      <c r="F37" s="125"/>
      <c r="G37" s="125"/>
      <c r="H37" s="125"/>
      <c r="I37" s="12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4866507E2D144AE4CD0A2B3FADDAD" ma:contentTypeVersion="6" ma:contentTypeDescription="Create a new document." ma:contentTypeScope="" ma:versionID="517cfc5527ea83f237b9562ab3974005">
  <xsd:schema xmlns:xsd="http://www.w3.org/2001/XMLSchema" xmlns:xs="http://www.w3.org/2001/XMLSchema" xmlns:p="http://schemas.microsoft.com/office/2006/metadata/properties" xmlns:ns2="d141e5e5-1b43-410d-a484-11a90557d3b4" xmlns:ns3="6876d069-b68e-425a-9557-1f4444bac999" targetNamespace="http://schemas.microsoft.com/office/2006/metadata/properties" ma:root="true" ma:fieldsID="e4ba467d09f1968758d9186589c8c2a8" ns2:_="" ns3:_="">
    <xsd:import namespace="d141e5e5-1b43-410d-a484-11a90557d3b4"/>
    <xsd:import namespace="6876d069-b68e-425a-9557-1f4444bac9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1e5e5-1b43-410d-a484-11a90557d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6d069-b68e-425a-9557-1f4444bac9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DA0CDD-5B22-4F51-89AC-9DBE71A916E3}">
  <ds:schemaRefs>
    <ds:schemaRef ds:uri="http://schemas.microsoft.com/office/2006/documentManagement/types"/>
    <ds:schemaRef ds:uri="http://schemas.openxmlformats.org/package/2006/metadata/core-properties"/>
    <ds:schemaRef ds:uri="6876d069-b68e-425a-9557-1f4444bac999"/>
    <ds:schemaRef ds:uri="http://purl.org/dc/terms/"/>
    <ds:schemaRef ds:uri="http://schemas.microsoft.com/office/infopath/2007/PartnerControls"/>
    <ds:schemaRef ds:uri="d141e5e5-1b43-410d-a484-11a90557d3b4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540E98F-D5CA-4AFB-8566-0C587E6EE9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FA54E8-24F1-4C2F-BB2E-AB547EA15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1e5e5-1b43-410d-a484-11a90557d3b4"/>
    <ds:schemaRef ds:uri="6876d069-b68e-425a-9557-1f4444bac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Admin Expenses</vt:lpstr>
      <vt:lpstr>Tariff Model Inputs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Beaver, Todd-DP Retail</dc:creator>
  <cp:lastModifiedBy>Dean, Gary</cp:lastModifiedBy>
  <dcterms:created xsi:type="dcterms:W3CDTF">2020-05-20T19:46:44Z</dcterms:created>
  <dcterms:modified xsi:type="dcterms:W3CDTF">2020-10-12T18:50:04Z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0x0101009BB4866507E2D144AE4CD0A2B3FADDAD</vt:lpwstr>
  </property>
</Properties>
</file>