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lean Energy Connection\DEF CEC Filing &amp; Support\Supporting Files (no links)\"/>
    </mc:Choice>
  </mc:AlternateContent>
  <xr:revisionPtr revIDLastSave="0" documentId="8_{6BBBBA09-FA48-4029-8871-F5197B18D238}" xr6:coauthVersionLast="44" xr6:coauthVersionMax="44" xr10:uidLastSave="{00000000-0000-0000-0000-000000000000}"/>
  <bookViews>
    <workbookView xWindow="28680" yWindow="-120" windowWidth="20730" windowHeight="11760" tabRatio="751" activeTab="4" xr2:uid="{00000000-000D-0000-FFFF-FFFF00000000}"/>
  </bookViews>
  <sheets>
    <sheet name="NOTES" sheetId="15" r:id="rId1"/>
    <sheet name="Results - C&amp;I and Residential" sheetId="12" r:id="rId2"/>
    <sheet name="Results - LMI" sheetId="14" r:id="rId3"/>
    <sheet name="Results - TOTAL" sheetId="17" r:id="rId4"/>
    <sheet name="Rev Rq_Benefits" sheetId="7" r:id="rId5"/>
    <sheet name="CEC Tariff" sheetId="16" r:id="rId6"/>
  </sheet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2" l="1"/>
  <c r="F13" i="12"/>
  <c r="C13" i="14"/>
  <c r="F13" i="14"/>
  <c r="F13" i="17"/>
  <c r="H13" i="14"/>
  <c r="I13" i="14" s="1"/>
  <c r="C14" i="12"/>
  <c r="E14" i="12"/>
  <c r="F14" i="12"/>
  <c r="C14" i="14"/>
  <c r="F14" i="14"/>
  <c r="F14" i="17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E15" i="12"/>
  <c r="F15" i="12"/>
  <c r="C15" i="14"/>
  <c r="F15" i="14"/>
  <c r="F15" i="17"/>
  <c r="E16" i="12"/>
  <c r="F16" i="12"/>
  <c r="C16" i="14"/>
  <c r="F16" i="14"/>
  <c r="F16" i="17"/>
  <c r="E17" i="12"/>
  <c r="F17" i="12"/>
  <c r="C17" i="14"/>
  <c r="F17" i="14"/>
  <c r="F17" i="17"/>
  <c r="E18" i="12"/>
  <c r="F18" i="12"/>
  <c r="C18" i="14"/>
  <c r="F18" i="14"/>
  <c r="F18" i="17"/>
  <c r="E19" i="12"/>
  <c r="F19" i="12"/>
  <c r="C19" i="14"/>
  <c r="F19" i="14"/>
  <c r="F19" i="17"/>
  <c r="E20" i="12"/>
  <c r="F20" i="12"/>
  <c r="C20" i="14"/>
  <c r="F20" i="14"/>
  <c r="F20" i="17"/>
  <c r="E21" i="12"/>
  <c r="F21" i="12"/>
  <c r="C21" i="14"/>
  <c r="F21" i="14"/>
  <c r="F21" i="17"/>
  <c r="E22" i="12"/>
  <c r="F22" i="12"/>
  <c r="C22" i="14"/>
  <c r="F22" i="14"/>
  <c r="F22" i="17"/>
  <c r="E23" i="12"/>
  <c r="F23" i="12"/>
  <c r="C23" i="14"/>
  <c r="F23" i="14"/>
  <c r="F23" i="17"/>
  <c r="E24" i="12"/>
  <c r="F24" i="12"/>
  <c r="C24" i="14"/>
  <c r="F24" i="14"/>
  <c r="F24" i="17"/>
  <c r="E25" i="12"/>
  <c r="F25" i="12"/>
  <c r="C25" i="14"/>
  <c r="F25" i="14"/>
  <c r="F25" i="17"/>
  <c r="E26" i="12"/>
  <c r="F26" i="12"/>
  <c r="C26" i="14"/>
  <c r="F26" i="14"/>
  <c r="F26" i="17"/>
  <c r="E27" i="12"/>
  <c r="F27" i="12"/>
  <c r="C27" i="14"/>
  <c r="F27" i="14"/>
  <c r="F27" i="17"/>
  <c r="E28" i="12"/>
  <c r="F28" i="12"/>
  <c r="C28" i="14"/>
  <c r="F28" i="14"/>
  <c r="F28" i="17"/>
  <c r="E29" i="12"/>
  <c r="F29" i="12"/>
  <c r="C29" i="14"/>
  <c r="F29" i="14"/>
  <c r="F29" i="17"/>
  <c r="E30" i="12"/>
  <c r="F30" i="12"/>
  <c r="C30" i="14"/>
  <c r="F30" i="14"/>
  <c r="F30" i="17"/>
  <c r="E31" i="12"/>
  <c r="F31" i="12"/>
  <c r="C31" i="14"/>
  <c r="F31" i="14"/>
  <c r="F31" i="17"/>
  <c r="E32" i="12"/>
  <c r="F32" i="12"/>
  <c r="C32" i="14"/>
  <c r="F32" i="14"/>
  <c r="F32" i="17"/>
  <c r="E33" i="12"/>
  <c r="F33" i="12"/>
  <c r="C33" i="14"/>
  <c r="F33" i="14"/>
  <c r="F33" i="17"/>
  <c r="E34" i="12"/>
  <c r="F34" i="12"/>
  <c r="C34" i="14"/>
  <c r="F34" i="14"/>
  <c r="F34" i="17"/>
  <c r="E35" i="12"/>
  <c r="F35" i="12"/>
  <c r="C35" i="14"/>
  <c r="F35" i="14"/>
  <c r="F35" i="17"/>
  <c r="E36" i="12"/>
  <c r="F36" i="12"/>
  <c r="C36" i="14"/>
  <c r="F36" i="14"/>
  <c r="F36" i="17"/>
  <c r="E37" i="12"/>
  <c r="F37" i="12"/>
  <c r="C37" i="14"/>
  <c r="F37" i="14"/>
  <c r="F37" i="17"/>
  <c r="E38" i="12"/>
  <c r="F38" i="12"/>
  <c r="C38" i="14"/>
  <c r="F38" i="14"/>
  <c r="F38" i="17"/>
  <c r="E39" i="12"/>
  <c r="F39" i="12"/>
  <c r="C39" i="14"/>
  <c r="F39" i="14"/>
  <c r="F39" i="17"/>
  <c r="E40" i="12"/>
  <c r="F40" i="12"/>
  <c r="C40" i="14"/>
  <c r="F40" i="14"/>
  <c r="F40" i="17"/>
  <c r="E41" i="12"/>
  <c r="F41" i="12"/>
  <c r="C41" i="14"/>
  <c r="F41" i="14"/>
  <c r="F41" i="17"/>
  <c r="E42" i="12"/>
  <c r="F42" i="12"/>
  <c r="C42" i="14"/>
  <c r="F42" i="14"/>
  <c r="F42" i="17"/>
  <c r="E43" i="12"/>
  <c r="F43" i="12"/>
  <c r="C43" i="14"/>
  <c r="F43" i="14"/>
  <c r="F43" i="17"/>
  <c r="E44" i="12"/>
  <c r="F44" i="12"/>
  <c r="C44" i="14"/>
  <c r="F44" i="14"/>
  <c r="F44" i="17"/>
  <c r="E45" i="12"/>
  <c r="F45" i="12"/>
  <c r="C45" i="14"/>
  <c r="F45" i="14"/>
  <c r="F45" i="17"/>
  <c r="S38" i="12"/>
  <c r="T38" i="14"/>
  <c r="S38" i="17"/>
  <c r="K9" i="7"/>
  <c r="L9" i="7"/>
  <c r="N9" i="7"/>
  <c r="N14" i="12"/>
  <c r="K10" i="7"/>
  <c r="L10" i="7"/>
  <c r="N10" i="7"/>
  <c r="N15" i="12"/>
  <c r="K11" i="7"/>
  <c r="L11" i="7"/>
  <c r="N11" i="7"/>
  <c r="N16" i="12"/>
  <c r="K12" i="7"/>
  <c r="L12" i="7"/>
  <c r="N12" i="7"/>
  <c r="N17" i="12"/>
  <c r="K13" i="7"/>
  <c r="L13" i="7"/>
  <c r="N13" i="7"/>
  <c r="N18" i="12"/>
  <c r="K14" i="7"/>
  <c r="L14" i="7"/>
  <c r="N14" i="7"/>
  <c r="N19" i="12"/>
  <c r="K15" i="7"/>
  <c r="L15" i="7"/>
  <c r="N15" i="7"/>
  <c r="N20" i="12"/>
  <c r="K16" i="7"/>
  <c r="L16" i="7"/>
  <c r="N16" i="7"/>
  <c r="N21" i="12"/>
  <c r="K17" i="7"/>
  <c r="L17" i="7"/>
  <c r="N17" i="7"/>
  <c r="N22" i="12"/>
  <c r="K18" i="7"/>
  <c r="L18" i="7"/>
  <c r="N18" i="7"/>
  <c r="N23" i="12"/>
  <c r="K19" i="7"/>
  <c r="L19" i="7"/>
  <c r="N19" i="7"/>
  <c r="N24" i="12"/>
  <c r="K20" i="7"/>
  <c r="L20" i="7"/>
  <c r="N20" i="7"/>
  <c r="N25" i="12"/>
  <c r="K21" i="7"/>
  <c r="L21" i="7"/>
  <c r="N21" i="7"/>
  <c r="N26" i="12"/>
  <c r="K22" i="7"/>
  <c r="L22" i="7"/>
  <c r="N22" i="7"/>
  <c r="N27" i="12"/>
  <c r="K23" i="7"/>
  <c r="L23" i="7"/>
  <c r="N23" i="7"/>
  <c r="N28" i="12"/>
  <c r="K24" i="7"/>
  <c r="L24" i="7"/>
  <c r="N24" i="7"/>
  <c r="N29" i="12"/>
  <c r="K25" i="7"/>
  <c r="L25" i="7"/>
  <c r="N25" i="7"/>
  <c r="N30" i="12"/>
  <c r="K26" i="7"/>
  <c r="L26" i="7"/>
  <c r="N26" i="7"/>
  <c r="N31" i="12"/>
  <c r="K27" i="7"/>
  <c r="L27" i="7"/>
  <c r="N27" i="7"/>
  <c r="N32" i="12"/>
  <c r="K28" i="7"/>
  <c r="L28" i="7"/>
  <c r="N28" i="7"/>
  <c r="N33" i="12"/>
  <c r="K29" i="7"/>
  <c r="L29" i="7"/>
  <c r="N29" i="7"/>
  <c r="N34" i="12"/>
  <c r="K30" i="7"/>
  <c r="L30" i="7"/>
  <c r="N30" i="7"/>
  <c r="N35" i="12"/>
  <c r="K31" i="7"/>
  <c r="L31" i="7"/>
  <c r="N31" i="7"/>
  <c r="N36" i="12"/>
  <c r="K32" i="7"/>
  <c r="L32" i="7"/>
  <c r="N32" i="7"/>
  <c r="N37" i="12"/>
  <c r="K33" i="7"/>
  <c r="L33" i="7"/>
  <c r="N33" i="7"/>
  <c r="N38" i="12"/>
  <c r="K34" i="7"/>
  <c r="L34" i="7"/>
  <c r="N34" i="7"/>
  <c r="N39" i="12"/>
  <c r="K35" i="7"/>
  <c r="L35" i="7"/>
  <c r="N35" i="7"/>
  <c r="N40" i="12"/>
  <c r="K36" i="7"/>
  <c r="L36" i="7"/>
  <c r="N36" i="7"/>
  <c r="N41" i="12"/>
  <c r="K37" i="7"/>
  <c r="L37" i="7"/>
  <c r="N37" i="7"/>
  <c r="N42" i="12"/>
  <c r="K38" i="7"/>
  <c r="L38" i="7"/>
  <c r="N38" i="7"/>
  <c r="N43" i="12"/>
  <c r="K39" i="7"/>
  <c r="L39" i="7"/>
  <c r="N39" i="7"/>
  <c r="N44" i="12"/>
  <c r="K40" i="7"/>
  <c r="L40" i="7"/>
  <c r="N40" i="7"/>
  <c r="N45" i="12"/>
  <c r="N8" i="7"/>
  <c r="N13" i="12"/>
  <c r="S39" i="12"/>
  <c r="S37" i="12"/>
  <c r="T37" i="14"/>
  <c r="S37" i="17"/>
  <c r="S17" i="12"/>
  <c r="T17" i="14"/>
  <c r="S17" i="17"/>
  <c r="S15" i="12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13" i="14"/>
  <c r="T15" i="14"/>
  <c r="S15" i="17"/>
  <c r="C13" i="17"/>
  <c r="N13" i="17"/>
  <c r="C14" i="17"/>
  <c r="N14" i="17"/>
  <c r="C15" i="17"/>
  <c r="N15" i="17"/>
  <c r="C16" i="17"/>
  <c r="N16" i="17"/>
  <c r="C17" i="17"/>
  <c r="N17" i="17"/>
  <c r="C18" i="17"/>
  <c r="N18" i="17"/>
  <c r="C19" i="17"/>
  <c r="N19" i="17"/>
  <c r="C20" i="17"/>
  <c r="N20" i="17"/>
  <c r="C21" i="17"/>
  <c r="N21" i="17"/>
  <c r="C22" i="17"/>
  <c r="N22" i="17"/>
  <c r="C23" i="17"/>
  <c r="N23" i="17"/>
  <c r="C24" i="17"/>
  <c r="N24" i="17"/>
  <c r="C25" i="17"/>
  <c r="N25" i="17"/>
  <c r="C26" i="17"/>
  <c r="N26" i="17"/>
  <c r="C27" i="17"/>
  <c r="N27" i="17"/>
  <c r="C28" i="17"/>
  <c r="N28" i="17"/>
  <c r="C29" i="17"/>
  <c r="N29" i="17"/>
  <c r="C30" i="17"/>
  <c r="N30" i="17"/>
  <c r="C31" i="17"/>
  <c r="N31" i="17"/>
  <c r="C32" i="17"/>
  <c r="N32" i="17"/>
  <c r="C33" i="17"/>
  <c r="N33" i="17"/>
  <c r="C34" i="17"/>
  <c r="N34" i="17"/>
  <c r="C35" i="17"/>
  <c r="N35" i="17"/>
  <c r="C36" i="17"/>
  <c r="N36" i="17"/>
  <c r="C37" i="17"/>
  <c r="N37" i="17"/>
  <c r="C38" i="17"/>
  <c r="N38" i="17"/>
  <c r="C39" i="17"/>
  <c r="N39" i="17"/>
  <c r="C40" i="17"/>
  <c r="N40" i="17"/>
  <c r="C41" i="17"/>
  <c r="N41" i="17"/>
  <c r="C42" i="17"/>
  <c r="N42" i="17"/>
  <c r="C43" i="17"/>
  <c r="N43" i="17"/>
  <c r="C44" i="17"/>
  <c r="N44" i="17"/>
  <c r="C45" i="17"/>
  <c r="N45" i="17"/>
  <c r="O12" i="12"/>
  <c r="T24" i="14"/>
  <c r="O12" i="14"/>
  <c r="O12" i="17"/>
  <c r="N12" i="17"/>
  <c r="I46" i="17"/>
  <c r="F46" i="17"/>
  <c r="F12" i="17"/>
  <c r="C46" i="12"/>
  <c r="C46" i="17"/>
  <c r="D46" i="17"/>
  <c r="D12" i="17"/>
  <c r="C12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S10" i="17"/>
  <c r="S9" i="17"/>
  <c r="S39" i="17"/>
  <c r="T37" i="17"/>
  <c r="T38" i="17"/>
  <c r="M42" i="7"/>
  <c r="Y8" i="7"/>
  <c r="AB8" i="12"/>
  <c r="T25" i="14"/>
  <c r="T23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12" i="14"/>
  <c r="F2" i="14"/>
  <c r="T7" i="14"/>
  <c r="U6" i="14"/>
  <c r="T5" i="14"/>
  <c r="H7" i="16"/>
  <c r="T12" i="14"/>
  <c r="T11" i="14"/>
  <c r="T10" i="14"/>
  <c r="T9" i="14"/>
  <c r="S10" i="12"/>
  <c r="H14" i="12"/>
  <c r="D12" i="12"/>
  <c r="D12" i="14"/>
  <c r="D13" i="12"/>
  <c r="D46" i="12"/>
  <c r="C12" i="12"/>
  <c r="C12" i="14"/>
  <c r="H12" i="14"/>
  <c r="I12" i="14"/>
  <c r="D13" i="14"/>
  <c r="D13" i="17" s="1"/>
  <c r="H15" i="12"/>
  <c r="H16" i="12"/>
  <c r="H17" i="12"/>
  <c r="G17" i="12"/>
  <c r="H18" i="12"/>
  <c r="B15" i="14"/>
  <c r="L14" i="14"/>
  <c r="E14" i="14"/>
  <c r="E15" i="14"/>
  <c r="A13" i="14"/>
  <c r="A14" i="14"/>
  <c r="H19" i="12"/>
  <c r="L15" i="14"/>
  <c r="A15" i="14"/>
  <c r="F12" i="14"/>
  <c r="M13" i="14"/>
  <c r="B16" i="14"/>
  <c r="E16" i="14"/>
  <c r="H20" i="12"/>
  <c r="L16" i="14"/>
  <c r="L17" i="14"/>
  <c r="L18" i="14"/>
  <c r="A16" i="14"/>
  <c r="M12" i="14"/>
  <c r="B17" i="14"/>
  <c r="E17" i="14"/>
  <c r="A17" i="14"/>
  <c r="H21" i="12"/>
  <c r="E18" i="14"/>
  <c r="B18" i="14"/>
  <c r="L19" i="14"/>
  <c r="P12" i="14"/>
  <c r="Q12" i="14"/>
  <c r="A18" i="14"/>
  <c r="H22" i="12"/>
  <c r="A19" i="14"/>
  <c r="L20" i="14"/>
  <c r="B19" i="14"/>
  <c r="E19" i="14"/>
  <c r="H23" i="12"/>
  <c r="L21" i="14"/>
  <c r="E20" i="14"/>
  <c r="B20" i="14"/>
  <c r="A20" i="14"/>
  <c r="H24" i="12"/>
  <c r="A21" i="14"/>
  <c r="L22" i="14"/>
  <c r="B21" i="14"/>
  <c r="E21" i="14"/>
  <c r="H25" i="12"/>
  <c r="E22" i="14"/>
  <c r="L23" i="14"/>
  <c r="B22" i="14"/>
  <c r="A22" i="14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L24" i="14"/>
  <c r="E23" i="14"/>
  <c r="B23" i="14"/>
  <c r="A23" i="14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B15" i="12"/>
  <c r="B16" i="12"/>
  <c r="A13" i="12"/>
  <c r="A14" i="12"/>
  <c r="F12" i="12"/>
  <c r="B24" i="14"/>
  <c r="L25" i="14"/>
  <c r="E24" i="14"/>
  <c r="A24" i="14"/>
  <c r="X9" i="12"/>
  <c r="D8" i="16"/>
  <c r="X8" i="12"/>
  <c r="D7" i="16"/>
  <c r="I12" i="12"/>
  <c r="K12" i="12"/>
  <c r="L12" i="12"/>
  <c r="B17" i="12"/>
  <c r="A15" i="12"/>
  <c r="I13" i="12"/>
  <c r="X10" i="12"/>
  <c r="B25" i="14"/>
  <c r="E25" i="14"/>
  <c r="L26" i="14"/>
  <c r="A25" i="14"/>
  <c r="Y9" i="12"/>
  <c r="E8" i="16"/>
  <c r="A16" i="12"/>
  <c r="B18" i="12"/>
  <c r="Y10" i="12"/>
  <c r="E9" i="16"/>
  <c r="D9" i="16"/>
  <c r="X11" i="12"/>
  <c r="L27" i="14"/>
  <c r="E26" i="14"/>
  <c r="A26" i="14"/>
  <c r="B26" i="14"/>
  <c r="A17" i="12"/>
  <c r="B19" i="12"/>
  <c r="Y11" i="12"/>
  <c r="E10" i="16"/>
  <c r="D10" i="16"/>
  <c r="E27" i="14"/>
  <c r="L28" i="14"/>
  <c r="A27" i="14"/>
  <c r="B27" i="14"/>
  <c r="A18" i="12"/>
  <c r="B20" i="12"/>
  <c r="X12" i="12"/>
  <c r="E28" i="14"/>
  <c r="B28" i="14"/>
  <c r="A28" i="14"/>
  <c r="L29" i="14"/>
  <c r="X13" i="12"/>
  <c r="D12" i="16"/>
  <c r="B21" i="12"/>
  <c r="A19" i="12"/>
  <c r="Y12" i="12"/>
  <c r="E11" i="16"/>
  <c r="D11" i="16"/>
  <c r="Y13" i="12"/>
  <c r="E12" i="16"/>
  <c r="B29" i="14"/>
  <c r="E29" i="14"/>
  <c r="A29" i="14"/>
  <c r="L30" i="14"/>
  <c r="X14" i="12"/>
  <c r="B22" i="12"/>
  <c r="A20" i="12"/>
  <c r="Y14" i="12"/>
  <c r="E13" i="16"/>
  <c r="D13" i="16"/>
  <c r="B30" i="14"/>
  <c r="E30" i="14"/>
  <c r="L31" i="14"/>
  <c r="A30" i="14"/>
  <c r="X15" i="12"/>
  <c r="A21" i="12"/>
  <c r="B23" i="12"/>
  <c r="Y15" i="12"/>
  <c r="E14" i="16"/>
  <c r="D14" i="16"/>
  <c r="B31" i="14"/>
  <c r="A31" i="14"/>
  <c r="L32" i="14"/>
  <c r="E31" i="14"/>
  <c r="X16" i="12"/>
  <c r="B24" i="12"/>
  <c r="A22" i="12"/>
  <c r="Y16" i="12"/>
  <c r="E15" i="16"/>
  <c r="D15" i="16"/>
  <c r="L33" i="14"/>
  <c r="E32" i="14"/>
  <c r="A32" i="14"/>
  <c r="B32" i="14"/>
  <c r="X17" i="12"/>
  <c r="B25" i="12"/>
  <c r="A23" i="12"/>
  <c r="Y17" i="12"/>
  <c r="E16" i="16"/>
  <c r="D16" i="16"/>
  <c r="E33" i="14"/>
  <c r="B33" i="14"/>
  <c r="L34" i="14"/>
  <c r="A33" i="14"/>
  <c r="X18" i="12"/>
  <c r="B26" i="12"/>
  <c r="A24" i="12"/>
  <c r="Y18" i="12"/>
  <c r="E17" i="16"/>
  <c r="D17" i="16"/>
  <c r="E34" i="14"/>
  <c r="A34" i="14"/>
  <c r="B34" i="14"/>
  <c r="L35" i="14"/>
  <c r="X19" i="12"/>
  <c r="B27" i="12"/>
  <c r="A25" i="12"/>
  <c r="Y19" i="12"/>
  <c r="E18" i="16"/>
  <c r="D18" i="16"/>
  <c r="B35" i="14"/>
  <c r="L36" i="14"/>
  <c r="A35" i="14"/>
  <c r="E35" i="14"/>
  <c r="X20" i="12"/>
  <c r="B28" i="12"/>
  <c r="A26" i="12"/>
  <c r="Y20" i="12"/>
  <c r="E19" i="16"/>
  <c r="D19" i="16"/>
  <c r="A36" i="14"/>
  <c r="B36" i="14"/>
  <c r="E36" i="14"/>
  <c r="L37" i="14"/>
  <c r="X21" i="12"/>
  <c r="B29" i="12"/>
  <c r="A27" i="12"/>
  <c r="Y21" i="12"/>
  <c r="E20" i="16"/>
  <c r="D20" i="16"/>
  <c r="E37" i="14"/>
  <c r="A37" i="14"/>
  <c r="B37" i="14"/>
  <c r="L38" i="14"/>
  <c r="X22" i="12"/>
  <c r="A28" i="12"/>
  <c r="B30" i="12"/>
  <c r="Y22" i="12"/>
  <c r="E21" i="16"/>
  <c r="D21" i="16"/>
  <c r="L39" i="14"/>
  <c r="A38" i="14"/>
  <c r="B38" i="14"/>
  <c r="E38" i="14"/>
  <c r="X23" i="12"/>
  <c r="B31" i="12"/>
  <c r="A29" i="12"/>
  <c r="Y23" i="12"/>
  <c r="E22" i="16"/>
  <c r="D22" i="16"/>
  <c r="L40" i="14"/>
  <c r="E39" i="14"/>
  <c r="A39" i="14"/>
  <c r="B39" i="14"/>
  <c r="X24" i="12"/>
  <c r="A30" i="12"/>
  <c r="B32" i="12"/>
  <c r="Y24" i="12"/>
  <c r="E23" i="16"/>
  <c r="D23" i="16"/>
  <c r="B40" i="14"/>
  <c r="E40" i="14"/>
  <c r="A40" i="14"/>
  <c r="L41" i="14"/>
  <c r="X25" i="12"/>
  <c r="A31" i="12"/>
  <c r="B33" i="12"/>
  <c r="Y25" i="12"/>
  <c r="E24" i="16"/>
  <c r="D24" i="16"/>
  <c r="A41" i="14"/>
  <c r="L42" i="14"/>
  <c r="B41" i="14"/>
  <c r="E41" i="14"/>
  <c r="X26" i="12"/>
  <c r="A32" i="12"/>
  <c r="B34" i="12"/>
  <c r="Y26" i="12"/>
  <c r="E25" i="16"/>
  <c r="D25" i="16"/>
  <c r="E42" i="14"/>
  <c r="L43" i="14"/>
  <c r="A42" i="14"/>
  <c r="B42" i="14"/>
  <c r="X27" i="12"/>
  <c r="B35" i="12"/>
  <c r="A33" i="12"/>
  <c r="Y27" i="12"/>
  <c r="E26" i="16"/>
  <c r="D26" i="16"/>
  <c r="E46" i="12"/>
  <c r="A43" i="14"/>
  <c r="E43" i="14"/>
  <c r="B43" i="14"/>
  <c r="L44" i="14"/>
  <c r="X28" i="12"/>
  <c r="B36" i="12"/>
  <c r="A34" i="12"/>
  <c r="Y28" i="12"/>
  <c r="E27" i="16"/>
  <c r="D27" i="16"/>
  <c r="B44" i="14"/>
  <c r="A44" i="14"/>
  <c r="L45" i="14"/>
  <c r="E44" i="14"/>
  <c r="X29" i="12"/>
  <c r="B37" i="12"/>
  <c r="A35" i="12"/>
  <c r="Y29" i="12"/>
  <c r="E28" i="16"/>
  <c r="D28" i="16"/>
  <c r="B45" i="14"/>
  <c r="E45" i="14"/>
  <c r="A45" i="14"/>
  <c r="X30" i="12"/>
  <c r="A36" i="12"/>
  <c r="B38" i="12"/>
  <c r="Y30" i="12"/>
  <c r="E29" i="16"/>
  <c r="D29" i="16"/>
  <c r="X31" i="12"/>
  <c r="B39" i="12"/>
  <c r="A37" i="12"/>
  <c r="Y31" i="12"/>
  <c r="E30" i="16"/>
  <c r="D30" i="16"/>
  <c r="X32" i="12"/>
  <c r="A38" i="12"/>
  <c r="B40" i="12"/>
  <c r="Y32" i="12"/>
  <c r="E31" i="16"/>
  <c r="D31" i="16"/>
  <c r="X33" i="12"/>
  <c r="B41" i="12"/>
  <c r="A39" i="12"/>
  <c r="Y33" i="12"/>
  <c r="E32" i="16"/>
  <c r="D32" i="16"/>
  <c r="X34" i="12"/>
  <c r="B42" i="12"/>
  <c r="A40" i="12"/>
  <c r="Y34" i="12"/>
  <c r="E33" i="16"/>
  <c r="D33" i="16"/>
  <c r="X35" i="12"/>
  <c r="A41" i="12"/>
  <c r="B43" i="12"/>
  <c r="Y35" i="12"/>
  <c r="E34" i="16"/>
  <c r="D34" i="16"/>
  <c r="X36" i="12"/>
  <c r="B44" i="12"/>
  <c r="A42" i="12"/>
  <c r="Y36" i="12"/>
  <c r="E35" i="16"/>
  <c r="D35" i="16"/>
  <c r="X38" i="12"/>
  <c r="D37" i="16"/>
  <c r="X37" i="12"/>
  <c r="B45" i="12"/>
  <c r="B46" i="12"/>
  <c r="A43" i="12"/>
  <c r="Y37" i="12"/>
  <c r="E36" i="16"/>
  <c r="D36" i="16"/>
  <c r="Y38" i="12"/>
  <c r="E37" i="16"/>
  <c r="X39" i="12"/>
  <c r="A44" i="12"/>
  <c r="Y39" i="12"/>
  <c r="E38" i="16"/>
  <c r="D38" i="16"/>
  <c r="A45" i="12"/>
  <c r="A46" i="12"/>
  <c r="S4" i="7"/>
  <c r="R4" i="7"/>
  <c r="K41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S9" i="12"/>
  <c r="W23" i="12"/>
  <c r="C22" i="16"/>
  <c r="W30" i="12"/>
  <c r="C29" i="16"/>
  <c r="W22" i="12"/>
  <c r="C21" i="16"/>
  <c r="W31" i="12"/>
  <c r="C30" i="16"/>
  <c r="W29" i="12"/>
  <c r="C28" i="16"/>
  <c r="W21" i="12"/>
  <c r="C20" i="16"/>
  <c r="W36" i="12"/>
  <c r="C35" i="16"/>
  <c r="W28" i="12"/>
  <c r="C27" i="16"/>
  <c r="W20" i="12"/>
  <c r="C19" i="16"/>
  <c r="W35" i="12"/>
  <c r="C34" i="16"/>
  <c r="W27" i="12"/>
  <c r="C26" i="16"/>
  <c r="W37" i="12"/>
  <c r="C36" i="16"/>
  <c r="W34" i="12"/>
  <c r="C33" i="16"/>
  <c r="W26" i="12"/>
  <c r="C25" i="16"/>
  <c r="W38" i="12"/>
  <c r="C37" i="16"/>
  <c r="W33" i="12"/>
  <c r="C32" i="16"/>
  <c r="W25" i="12"/>
  <c r="C24" i="16"/>
  <c r="W39" i="12"/>
  <c r="C38" i="16"/>
  <c r="W32" i="12"/>
  <c r="C31" i="16"/>
  <c r="W24" i="12"/>
  <c r="C23" i="16"/>
  <c r="K8" i="7"/>
  <c r="AD10" i="12"/>
  <c r="W10" i="12"/>
  <c r="C9" i="16"/>
  <c r="AD18" i="12"/>
  <c r="W18" i="12"/>
  <c r="C17" i="16"/>
  <c r="AD19" i="12"/>
  <c r="W19" i="12"/>
  <c r="C18" i="16"/>
  <c r="K13" i="12"/>
  <c r="AD14" i="12"/>
  <c r="W14" i="12"/>
  <c r="C13" i="16"/>
  <c r="AD12" i="12"/>
  <c r="W12" i="12"/>
  <c r="C11" i="16"/>
  <c r="C7" i="14"/>
  <c r="AD9" i="12"/>
  <c r="W9" i="12"/>
  <c r="C8" i="16"/>
  <c r="AD13" i="12"/>
  <c r="W13" i="12"/>
  <c r="C12" i="16"/>
  <c r="AD15" i="12"/>
  <c r="W15" i="12"/>
  <c r="C14" i="16"/>
  <c r="AD11" i="12"/>
  <c r="W11" i="12"/>
  <c r="C10" i="16"/>
  <c r="AD16" i="12"/>
  <c r="W16" i="12"/>
  <c r="C15" i="16"/>
  <c r="AD17" i="12"/>
  <c r="W17" i="12"/>
  <c r="C16" i="16"/>
  <c r="AD8" i="12"/>
  <c r="W8" i="12"/>
  <c r="C7" i="16"/>
  <c r="P13" i="14"/>
  <c r="Q13" i="14"/>
  <c r="J13" i="14"/>
  <c r="L13" i="12"/>
  <c r="F42" i="7"/>
  <c r="H42" i="7"/>
  <c r="G42" i="7"/>
  <c r="E42" i="7"/>
  <c r="J42" i="7"/>
  <c r="I42" i="7"/>
  <c r="K42" i="7"/>
  <c r="L42" i="7"/>
  <c r="N42" i="7"/>
  <c r="T39" i="14"/>
  <c r="U37" i="14"/>
  <c r="U38" i="14"/>
  <c r="T37" i="12"/>
  <c r="T38" i="12"/>
  <c r="J12" i="14" l="1"/>
  <c r="K12" i="14" s="1"/>
  <c r="K13" i="14" s="1"/>
  <c r="I12" i="17"/>
  <c r="K12" i="17" s="1"/>
  <c r="L12" i="17" s="1"/>
  <c r="I13" i="17"/>
  <c r="K13" i="17" s="1"/>
  <c r="L13" i="17" l="1"/>
  <c r="O17" i="12" l="1"/>
  <c r="U12" i="7"/>
  <c r="O25" i="12"/>
  <c r="U20" i="7"/>
  <c r="O33" i="12"/>
  <c r="U28" i="7"/>
  <c r="Y10" i="7"/>
  <c r="D15" i="12"/>
  <c r="D19" i="12"/>
  <c r="Y14" i="7"/>
  <c r="Y18" i="7"/>
  <c r="D23" i="12"/>
  <c r="Y22" i="7"/>
  <c r="D27" i="12"/>
  <c r="Y26" i="7"/>
  <c r="D31" i="12"/>
  <c r="Y30" i="7"/>
  <c r="D35" i="12"/>
  <c r="Y34" i="7"/>
  <c r="D39" i="12"/>
  <c r="D43" i="12"/>
  <c r="Y38" i="7"/>
  <c r="O37" i="12"/>
  <c r="U32" i="7"/>
  <c r="O45" i="12"/>
  <c r="U40" i="7"/>
  <c r="T42" i="7"/>
  <c r="V42" i="7"/>
  <c r="U11" i="7"/>
  <c r="O16" i="12"/>
  <c r="O20" i="12"/>
  <c r="U15" i="7"/>
  <c r="O24" i="12"/>
  <c r="U19" i="7"/>
  <c r="O28" i="12"/>
  <c r="U23" i="7"/>
  <c r="O32" i="12"/>
  <c r="U27" i="7"/>
  <c r="O36" i="12"/>
  <c r="U31" i="7"/>
  <c r="O40" i="12"/>
  <c r="U35" i="7"/>
  <c r="O44" i="12"/>
  <c r="U39" i="7"/>
  <c r="D26" i="12"/>
  <c r="Y21" i="7"/>
  <c r="D34" i="12"/>
  <c r="Y29" i="7"/>
  <c r="U10" i="7"/>
  <c r="O15" i="12"/>
  <c r="O19" i="12"/>
  <c r="U14" i="7"/>
  <c r="O23" i="12"/>
  <c r="U18" i="7"/>
  <c r="O27" i="12"/>
  <c r="U22" i="7"/>
  <c r="O31" i="12"/>
  <c r="U26" i="7"/>
  <c r="O35" i="12"/>
  <c r="U30" i="7"/>
  <c r="O39" i="12"/>
  <c r="U34" i="7"/>
  <c r="O43" i="12"/>
  <c r="U38" i="7"/>
  <c r="O29" i="12"/>
  <c r="U24" i="7"/>
  <c r="O41" i="12"/>
  <c r="U36" i="7"/>
  <c r="Y17" i="7"/>
  <c r="D22" i="12"/>
  <c r="Y25" i="7"/>
  <c r="D30" i="12"/>
  <c r="O13" i="12"/>
  <c r="U8" i="7"/>
  <c r="S42" i="7"/>
  <c r="Y12" i="7"/>
  <c r="D17" i="12"/>
  <c r="Y16" i="7"/>
  <c r="D21" i="12"/>
  <c r="Y20" i="7"/>
  <c r="D25" i="12"/>
  <c r="Y24" i="7"/>
  <c r="D29" i="12"/>
  <c r="Y28" i="7"/>
  <c r="D33" i="12"/>
  <c r="Y32" i="7"/>
  <c r="D37" i="12"/>
  <c r="Y36" i="7"/>
  <c r="D41" i="12"/>
  <c r="Y40" i="7"/>
  <c r="D45" i="12"/>
  <c r="O21" i="12"/>
  <c r="U16" i="7"/>
  <c r="D18" i="12"/>
  <c r="Y13" i="7"/>
  <c r="Y33" i="7"/>
  <c r="D38" i="12"/>
  <c r="Y37" i="7"/>
  <c r="D42" i="12"/>
  <c r="Q42" i="7"/>
  <c r="O14" i="12"/>
  <c r="U9" i="7"/>
  <c r="O18" i="12"/>
  <c r="U13" i="7"/>
  <c r="O22" i="12"/>
  <c r="U17" i="7"/>
  <c r="O26" i="12"/>
  <c r="U21" i="7"/>
  <c r="O30" i="12"/>
  <c r="U25" i="7"/>
  <c r="O34" i="12"/>
  <c r="U29" i="7"/>
  <c r="O38" i="12"/>
  <c r="U33" i="7"/>
  <c r="O42" i="12"/>
  <c r="U37" i="7"/>
  <c r="Y9" i="7"/>
  <c r="D14" i="12"/>
  <c r="R42" i="7"/>
  <c r="Y11" i="7"/>
  <c r="D16" i="12"/>
  <c r="D20" i="12"/>
  <c r="Y15" i="7"/>
  <c r="Y19" i="7"/>
  <c r="D24" i="12"/>
  <c r="D28" i="12"/>
  <c r="Y23" i="7"/>
  <c r="Y27" i="7"/>
  <c r="D32" i="12"/>
  <c r="Y31" i="7"/>
  <c r="D36" i="12"/>
  <c r="Y35" i="7"/>
  <c r="D40" i="12"/>
  <c r="Y39" i="7"/>
  <c r="D44" i="12"/>
  <c r="D26" i="14" l="1"/>
  <c r="M26" i="14" s="1"/>
  <c r="P26" i="14" s="1"/>
  <c r="I26" i="12"/>
  <c r="D26" i="17"/>
  <c r="D31" i="14"/>
  <c r="M31" i="14" s="1"/>
  <c r="P31" i="14" s="1"/>
  <c r="I31" i="12"/>
  <c r="T31" i="14"/>
  <c r="S31" i="12"/>
  <c r="O34" i="14"/>
  <c r="O34" i="17" s="1"/>
  <c r="O18" i="14"/>
  <c r="O18" i="17" s="1"/>
  <c r="I37" i="12"/>
  <c r="D37" i="14"/>
  <c r="M37" i="14" s="1"/>
  <c r="P37" i="14" s="1"/>
  <c r="D37" i="17"/>
  <c r="D21" i="14"/>
  <c r="M21" i="14" s="1"/>
  <c r="P21" i="14" s="1"/>
  <c r="I21" i="12"/>
  <c r="AC15" i="12"/>
  <c r="AE15" i="12" s="1"/>
  <c r="AF15" i="12" s="1"/>
  <c r="O43" i="14"/>
  <c r="O43" i="17" s="1"/>
  <c r="O27" i="14"/>
  <c r="O27" i="17" s="1"/>
  <c r="I34" i="12"/>
  <c r="D34" i="14"/>
  <c r="M34" i="14" s="1"/>
  <c r="P34" i="14" s="1"/>
  <c r="O36" i="14"/>
  <c r="O36" i="17" s="1"/>
  <c r="O20" i="14"/>
  <c r="O20" i="17" s="1"/>
  <c r="O37" i="14"/>
  <c r="O37" i="17" s="1"/>
  <c r="O30" i="14"/>
  <c r="O30" i="17" s="1"/>
  <c r="I33" i="12"/>
  <c r="D33" i="14"/>
  <c r="M33" i="14" s="1"/>
  <c r="P33" i="14" s="1"/>
  <c r="O23" i="14"/>
  <c r="O23" i="17" s="1"/>
  <c r="O32" i="14"/>
  <c r="O32" i="17" s="1"/>
  <c r="I30" i="12"/>
  <c r="D30" i="14"/>
  <c r="M30" i="14" s="1"/>
  <c r="P30" i="14" s="1"/>
  <c r="D15" i="14"/>
  <c r="M15" i="14" s="1"/>
  <c r="P15" i="14" s="1"/>
  <c r="I15" i="12"/>
  <c r="AC9" i="12"/>
  <c r="AE9" i="12" s="1"/>
  <c r="AF9" i="12" s="1"/>
  <c r="D44" i="14"/>
  <c r="M44" i="14" s="1"/>
  <c r="P44" i="14" s="1"/>
  <c r="I44" i="12"/>
  <c r="D44" i="17"/>
  <c r="D28" i="14"/>
  <c r="M28" i="14" s="1"/>
  <c r="P28" i="14" s="1"/>
  <c r="I28" i="12"/>
  <c r="I14" i="12"/>
  <c r="AC8" i="12"/>
  <c r="AE8" i="12" s="1"/>
  <c r="AF8" i="12" s="1"/>
  <c r="AG8" i="12" s="1"/>
  <c r="D14" i="14"/>
  <c r="M14" i="14" s="1"/>
  <c r="D18" i="14"/>
  <c r="M18" i="14" s="1"/>
  <c r="P18" i="14" s="1"/>
  <c r="I18" i="12"/>
  <c r="D18" i="17"/>
  <c r="AC12" i="12"/>
  <c r="AE12" i="12" s="1"/>
  <c r="AF12" i="12" s="1"/>
  <c r="I22" i="12"/>
  <c r="D22" i="14"/>
  <c r="M22" i="14" s="1"/>
  <c r="P22" i="14" s="1"/>
  <c r="AC16" i="12"/>
  <c r="AE16" i="12" s="1"/>
  <c r="AF16" i="12" s="1"/>
  <c r="O16" i="14"/>
  <c r="O16" i="17" s="1"/>
  <c r="D27" i="14"/>
  <c r="M27" i="14" s="1"/>
  <c r="P27" i="14" s="1"/>
  <c r="I27" i="12"/>
  <c r="O21" i="14"/>
  <c r="O21" i="17" s="1"/>
  <c r="S8" i="12"/>
  <c r="S8" i="17"/>
  <c r="D39" i="14"/>
  <c r="M39" i="14" s="1"/>
  <c r="P39" i="14" s="1"/>
  <c r="I39" i="12"/>
  <c r="D23" i="14"/>
  <c r="M23" i="14" s="1"/>
  <c r="P23" i="14" s="1"/>
  <c r="AC17" i="12"/>
  <c r="AE17" i="12" s="1"/>
  <c r="AF17" i="12" s="1"/>
  <c r="I23" i="12"/>
  <c r="O14" i="14"/>
  <c r="O14" i="17" s="1"/>
  <c r="D43" i="14"/>
  <c r="M43" i="14" s="1"/>
  <c r="P43" i="14" s="1"/>
  <c r="I43" i="12"/>
  <c r="O42" i="14"/>
  <c r="O42" i="17" s="1"/>
  <c r="O26" i="14"/>
  <c r="O26" i="17" s="1"/>
  <c r="D42" i="14"/>
  <c r="M42" i="14" s="1"/>
  <c r="P42" i="14" s="1"/>
  <c r="I42" i="12"/>
  <c r="D45" i="14"/>
  <c r="M45" i="14" s="1"/>
  <c r="P45" i="14" s="1"/>
  <c r="D45" i="17"/>
  <c r="I45" i="12"/>
  <c r="D29" i="14"/>
  <c r="M29" i="14" s="1"/>
  <c r="P29" i="14" s="1"/>
  <c r="I29" i="12"/>
  <c r="T32" i="14"/>
  <c r="S32" i="12"/>
  <c r="O41" i="14"/>
  <c r="O41" i="17"/>
  <c r="O35" i="14"/>
  <c r="O35" i="17" s="1"/>
  <c r="O19" i="14"/>
  <c r="O19" i="17" s="1"/>
  <c r="O44" i="17"/>
  <c r="O44" i="14"/>
  <c r="O28" i="14"/>
  <c r="O28" i="17"/>
  <c r="T33" i="14"/>
  <c r="S33" i="12"/>
  <c r="O25" i="14"/>
  <c r="O25" i="17" s="1"/>
  <c r="D24" i="14"/>
  <c r="M24" i="14" s="1"/>
  <c r="P24" i="14" s="1"/>
  <c r="I24" i="12"/>
  <c r="AC18" i="12"/>
  <c r="AE18" i="12" s="1"/>
  <c r="AF18" i="12" s="1"/>
  <c r="I17" i="12"/>
  <c r="D17" i="14"/>
  <c r="M17" i="14" s="1"/>
  <c r="P17" i="14" s="1"/>
  <c r="AC11" i="12"/>
  <c r="AE11" i="12" s="1"/>
  <c r="AF11" i="12" s="1"/>
  <c r="O33" i="14"/>
  <c r="O33" i="17" s="1"/>
  <c r="S30" i="12"/>
  <c r="T30" i="14"/>
  <c r="D20" i="14"/>
  <c r="M20" i="14" s="1"/>
  <c r="P20" i="14" s="1"/>
  <c r="I20" i="12"/>
  <c r="AC14" i="12"/>
  <c r="AE14" i="12" s="1"/>
  <c r="AF14" i="12" s="1"/>
  <c r="U42" i="7"/>
  <c r="O15" i="14"/>
  <c r="O15" i="17" s="1"/>
  <c r="D35" i="14"/>
  <c r="M35" i="14" s="1"/>
  <c r="P35" i="14" s="1"/>
  <c r="I35" i="12"/>
  <c r="I40" i="12"/>
  <c r="D40" i="14"/>
  <c r="M40" i="14" s="1"/>
  <c r="P40" i="14" s="1"/>
  <c r="O39" i="14"/>
  <c r="O39" i="17" s="1"/>
  <c r="D36" i="14"/>
  <c r="M36" i="14" s="1"/>
  <c r="P36" i="14" s="1"/>
  <c r="I36" i="12"/>
  <c r="D32" i="14"/>
  <c r="M32" i="14" s="1"/>
  <c r="P32" i="14" s="1"/>
  <c r="I32" i="12"/>
  <c r="I16" i="12"/>
  <c r="D16" i="14"/>
  <c r="M16" i="14" s="1"/>
  <c r="P16" i="14" s="1"/>
  <c r="AC10" i="12"/>
  <c r="AE10" i="12" s="1"/>
  <c r="AF10" i="12" s="1"/>
  <c r="O38" i="14"/>
  <c r="O38" i="17" s="1"/>
  <c r="O22" i="14"/>
  <c r="O22" i="17" s="1"/>
  <c r="D38" i="14"/>
  <c r="M38" i="14" s="1"/>
  <c r="P38" i="14" s="1"/>
  <c r="I38" i="12"/>
  <c r="D41" i="14"/>
  <c r="M41" i="14" s="1"/>
  <c r="P41" i="14" s="1"/>
  <c r="I41" i="12"/>
  <c r="I25" i="12"/>
  <c r="D25" i="17"/>
  <c r="AC19" i="12"/>
  <c r="AE19" i="12" s="1"/>
  <c r="AF19" i="12" s="1"/>
  <c r="D25" i="14"/>
  <c r="M25" i="14" s="1"/>
  <c r="P25" i="14" s="1"/>
  <c r="S19" i="12"/>
  <c r="O13" i="14"/>
  <c r="O13" i="17" s="1"/>
  <c r="O29" i="14"/>
  <c r="O29" i="17" s="1"/>
  <c r="O31" i="14"/>
  <c r="O31" i="17" s="1"/>
  <c r="O40" i="14"/>
  <c r="O40" i="17" s="1"/>
  <c r="O24" i="14"/>
  <c r="O24" i="17"/>
  <c r="O45" i="14"/>
  <c r="O45" i="17" s="1"/>
  <c r="D19" i="14"/>
  <c r="M19" i="14" s="1"/>
  <c r="P19" i="14" s="1"/>
  <c r="I19" i="12"/>
  <c r="AC13" i="12"/>
  <c r="AE13" i="12" s="1"/>
  <c r="AF13" i="12" s="1"/>
  <c r="O17" i="14"/>
  <c r="O17" i="17" s="1"/>
  <c r="D38" i="17" l="1"/>
  <c r="D39" i="17"/>
  <c r="AG9" i="12"/>
  <c r="D36" i="17"/>
  <c r="D17" i="17"/>
  <c r="D42" i="17"/>
  <c r="D22" i="17"/>
  <c r="D14" i="17"/>
  <c r="D16" i="17"/>
  <c r="K38" i="12"/>
  <c r="K34" i="12"/>
  <c r="S31" i="17"/>
  <c r="D19" i="17"/>
  <c r="S30" i="17"/>
  <c r="D24" i="17"/>
  <c r="D43" i="17"/>
  <c r="D23" i="17"/>
  <c r="D27" i="17"/>
  <c r="K22" i="12"/>
  <c r="S20" i="12"/>
  <c r="K14" i="12"/>
  <c r="T6" i="14"/>
  <c r="K15" i="12"/>
  <c r="K19" i="12"/>
  <c r="K16" i="12"/>
  <c r="K24" i="12"/>
  <c r="S32" i="17"/>
  <c r="K43" i="12"/>
  <c r="K27" i="12"/>
  <c r="K28" i="12"/>
  <c r="D15" i="17"/>
  <c r="K31" i="12"/>
  <c r="K25" i="12"/>
  <c r="D32" i="17"/>
  <c r="D40" i="17"/>
  <c r="D29" i="17"/>
  <c r="K18" i="12"/>
  <c r="D28" i="17"/>
  <c r="D30" i="17"/>
  <c r="D33" i="17"/>
  <c r="D31" i="17"/>
  <c r="K37" i="12"/>
  <c r="K41" i="12"/>
  <c r="K40" i="12"/>
  <c r="K20" i="12"/>
  <c r="K29" i="12"/>
  <c r="K33" i="12"/>
  <c r="D21" i="17"/>
  <c r="K42" i="12"/>
  <c r="K36" i="12"/>
  <c r="D35" i="17"/>
  <c r="S33" i="17"/>
  <c r="K23" i="12"/>
  <c r="S29" i="12"/>
  <c r="T8" i="14"/>
  <c r="S16" i="12"/>
  <c r="Q12" i="12" s="1"/>
  <c r="P14" i="14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Q37" i="14" s="1"/>
  <c r="Q38" i="14" s="1"/>
  <c r="Q39" i="14" s="1"/>
  <c r="Q40" i="14" s="1"/>
  <c r="Q41" i="14" s="1"/>
  <c r="Q42" i="14" s="1"/>
  <c r="Q43" i="14" s="1"/>
  <c r="Q44" i="14" s="1"/>
  <c r="Q45" i="14" s="1"/>
  <c r="M7" i="14"/>
  <c r="N7" i="14" s="1"/>
  <c r="K44" i="12"/>
  <c r="K30" i="12"/>
  <c r="K26" i="12"/>
  <c r="K32" i="12"/>
  <c r="K39" i="12"/>
  <c r="T19" i="14"/>
  <c r="S19" i="17" s="1"/>
  <c r="D41" i="17"/>
  <c r="AG10" i="12"/>
  <c r="AG11" i="12" s="1"/>
  <c r="AG12" i="12" s="1"/>
  <c r="AG13" i="12" s="1"/>
  <c r="AG14" i="12" s="1"/>
  <c r="AG15" i="12" s="1"/>
  <c r="AG16" i="12" s="1"/>
  <c r="AG17" i="12" s="1"/>
  <c r="AG18" i="12" s="1"/>
  <c r="AG19" i="12" s="1"/>
  <c r="K35" i="12"/>
  <c r="D20" i="17"/>
  <c r="K17" i="12"/>
  <c r="K45" i="12"/>
  <c r="D34" i="17"/>
  <c r="K21" i="12"/>
  <c r="H17" i="14" l="1"/>
  <c r="I17" i="14" s="1"/>
  <c r="H21" i="14"/>
  <c r="I21" i="14" s="1"/>
  <c r="H25" i="14"/>
  <c r="I25" i="14" s="1"/>
  <c r="H29" i="14"/>
  <c r="I29" i="14" s="1"/>
  <c r="H33" i="14"/>
  <c r="I33" i="14" s="1"/>
  <c r="H37" i="14"/>
  <c r="I37" i="14" s="1"/>
  <c r="H41" i="14"/>
  <c r="I41" i="14" s="1"/>
  <c r="H45" i="14"/>
  <c r="I45" i="14" s="1"/>
  <c r="H14" i="14"/>
  <c r="I14" i="14" s="1"/>
  <c r="H18" i="14"/>
  <c r="I18" i="14" s="1"/>
  <c r="H22" i="14"/>
  <c r="I22" i="14" s="1"/>
  <c r="H26" i="14"/>
  <c r="I26" i="14" s="1"/>
  <c r="H30" i="14"/>
  <c r="I30" i="14" s="1"/>
  <c r="H34" i="14"/>
  <c r="I34" i="14" s="1"/>
  <c r="H38" i="14"/>
  <c r="I38" i="14" s="1"/>
  <c r="H42" i="14"/>
  <c r="I42" i="14" s="1"/>
  <c r="H15" i="14"/>
  <c r="I15" i="14" s="1"/>
  <c r="H19" i="14"/>
  <c r="I19" i="14" s="1"/>
  <c r="H23" i="14"/>
  <c r="I23" i="14" s="1"/>
  <c r="H27" i="14"/>
  <c r="I27" i="14" s="1"/>
  <c r="H31" i="14"/>
  <c r="I31" i="14" s="1"/>
  <c r="H35" i="14"/>
  <c r="I35" i="14" s="1"/>
  <c r="H39" i="14"/>
  <c r="I39" i="14" s="1"/>
  <c r="H43" i="14"/>
  <c r="I43" i="14" s="1"/>
  <c r="H20" i="14"/>
  <c r="I20" i="14" s="1"/>
  <c r="H16" i="14"/>
  <c r="I16" i="14" s="1"/>
  <c r="H44" i="14"/>
  <c r="I44" i="14" s="1"/>
  <c r="H40" i="14"/>
  <c r="I40" i="14" s="1"/>
  <c r="I7" i="16"/>
  <c r="H36" i="14"/>
  <c r="I36" i="14" s="1"/>
  <c r="H32" i="14"/>
  <c r="I32" i="14" s="1"/>
  <c r="H28" i="14"/>
  <c r="I28" i="14" s="1"/>
  <c r="H24" i="14"/>
  <c r="I24" i="14" s="1"/>
  <c r="T29" i="14"/>
  <c r="T16" i="14"/>
  <c r="S16" i="17" s="1"/>
  <c r="Q12" i="17" s="1"/>
  <c r="S42" i="12"/>
  <c r="L14" i="12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S29" i="17"/>
  <c r="S34" i="12"/>
  <c r="T29" i="12" s="1"/>
  <c r="V6" i="14"/>
  <c r="J31" i="14" l="1"/>
  <c r="I31" i="17"/>
  <c r="K31" i="17" s="1"/>
  <c r="J30" i="14"/>
  <c r="I30" i="17"/>
  <c r="K30" i="17" s="1"/>
  <c r="J33" i="14"/>
  <c r="I33" i="17"/>
  <c r="K33" i="17" s="1"/>
  <c r="S46" i="12"/>
  <c r="J26" i="14"/>
  <c r="I26" i="17"/>
  <c r="K26" i="17" s="1"/>
  <c r="J44" i="14"/>
  <c r="I44" i="17"/>
  <c r="K44" i="17" s="1"/>
  <c r="J23" i="14"/>
  <c r="I23" i="17"/>
  <c r="K23" i="17" s="1"/>
  <c r="J22" i="14"/>
  <c r="I22" i="17"/>
  <c r="K22" i="17" s="1"/>
  <c r="J25" i="14"/>
  <c r="I25" i="17"/>
  <c r="K25" i="17" s="1"/>
  <c r="T34" i="14"/>
  <c r="U29" i="14" s="1"/>
  <c r="J16" i="14"/>
  <c r="I16" i="17"/>
  <c r="K16" i="17" s="1"/>
  <c r="J19" i="14"/>
  <c r="I19" i="17"/>
  <c r="K19" i="17" s="1"/>
  <c r="J18" i="14"/>
  <c r="I18" i="17"/>
  <c r="K18" i="17" s="1"/>
  <c r="J21" i="14"/>
  <c r="I21" i="17"/>
  <c r="K21" i="17" s="1"/>
  <c r="J40" i="14"/>
  <c r="I40" i="17"/>
  <c r="K40" i="17" s="1"/>
  <c r="J29" i="14"/>
  <c r="I29" i="17"/>
  <c r="K29" i="17" s="1"/>
  <c r="J24" i="14"/>
  <c r="I24" i="17"/>
  <c r="K24" i="17" s="1"/>
  <c r="J20" i="14"/>
  <c r="I20" i="17"/>
  <c r="K20" i="17" s="1"/>
  <c r="J15" i="14"/>
  <c r="I15" i="17"/>
  <c r="K15" i="17" s="1"/>
  <c r="J14" i="14"/>
  <c r="T20" i="14"/>
  <c r="S20" i="17" s="1"/>
  <c r="I14" i="17"/>
  <c r="K14" i="17" s="1"/>
  <c r="L14" i="17" s="1"/>
  <c r="J17" i="14"/>
  <c r="I17" i="17"/>
  <c r="K17" i="17" s="1"/>
  <c r="J27" i="14"/>
  <c r="I27" i="17"/>
  <c r="K27" i="17" s="1"/>
  <c r="S41" i="12"/>
  <c r="T42" i="12" s="1"/>
  <c r="T32" i="12"/>
  <c r="T30" i="12"/>
  <c r="T31" i="12"/>
  <c r="T33" i="12"/>
  <c r="S34" i="17"/>
  <c r="T29" i="17" s="1"/>
  <c r="J28" i="14"/>
  <c r="I28" i="17"/>
  <c r="K28" i="17" s="1"/>
  <c r="J43" i="14"/>
  <c r="I43" i="17"/>
  <c r="K43" i="17" s="1"/>
  <c r="J42" i="14"/>
  <c r="I42" i="17"/>
  <c r="K42" i="17" s="1"/>
  <c r="J45" i="14"/>
  <c r="I45" i="17"/>
  <c r="K45" i="17" s="1"/>
  <c r="J32" i="14"/>
  <c r="I32" i="17"/>
  <c r="K32" i="17" s="1"/>
  <c r="J39" i="14"/>
  <c r="I39" i="17"/>
  <c r="K39" i="17" s="1"/>
  <c r="J38" i="14"/>
  <c r="I38" i="17"/>
  <c r="K38" i="17" s="1"/>
  <c r="J41" i="14"/>
  <c r="I41" i="17"/>
  <c r="K41" i="17" s="1"/>
  <c r="J36" i="14"/>
  <c r="I36" i="17"/>
  <c r="K36" i="17" s="1"/>
  <c r="J35" i="14"/>
  <c r="I35" i="17"/>
  <c r="K35" i="17" s="1"/>
  <c r="J34" i="14"/>
  <c r="I34" i="17"/>
  <c r="K34" i="17" s="1"/>
  <c r="J37" i="14"/>
  <c r="I37" i="17"/>
  <c r="K37" i="17" s="1"/>
  <c r="T31" i="17" l="1"/>
  <c r="T30" i="17"/>
  <c r="T33" i="17"/>
  <c r="T32" i="17"/>
  <c r="T41" i="14"/>
  <c r="U31" i="14"/>
  <c r="U30" i="14"/>
  <c r="U32" i="14"/>
  <c r="U33" i="14"/>
  <c r="L15" i="17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5" i="17" s="1"/>
  <c r="T42" i="14"/>
  <c r="K14" i="14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S43" i="12"/>
  <c r="T43" i="12" s="1"/>
  <c r="S45" i="12"/>
  <c r="S41" i="17"/>
  <c r="S47" i="12" l="1"/>
  <c r="T47" i="12" s="1"/>
  <c r="T45" i="14"/>
  <c r="S45" i="17" s="1"/>
  <c r="T43" i="14"/>
  <c r="U43" i="14" s="1"/>
  <c r="T46" i="14"/>
  <c r="U42" i="14"/>
  <c r="S42" i="17"/>
  <c r="T42" i="17" s="1"/>
  <c r="T46" i="12"/>
  <c r="U46" i="14" l="1"/>
  <c r="S46" i="17"/>
  <c r="T46" i="17" s="1"/>
  <c r="T47" i="14"/>
  <c r="U47" i="14" s="1"/>
  <c r="S47" i="17"/>
  <c r="T47" i="17" s="1"/>
  <c r="S43" i="17"/>
  <c r="T4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Beaver, Todd-DP Retail</author>
  </authors>
  <commentList>
    <comment ref="R8" authorId="0" shapeId="0" xr:uid="{4C674D2B-0559-4968-A779-809C603164AD}">
      <text>
        <r>
          <rPr>
            <b/>
            <sz val="9"/>
            <color indexed="81"/>
            <rFont val="Tahoma"/>
            <family val="2"/>
          </rPr>
          <t>Beaver, Todd-DP Retail:</t>
        </r>
        <r>
          <rPr>
            <sz val="9"/>
            <color indexed="81"/>
            <rFont val="Tahoma"/>
            <family val="2"/>
          </rPr>
          <t xml:space="preserve">
Total for entire CEC Program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Beaver, Todd-DP Retail</author>
  </authors>
  <commentList>
    <comment ref="T8" authorId="0" shapeId="0" xr:uid="{735EAEFD-9BE6-45A9-803D-5D2B439A8D45}">
      <text>
        <r>
          <rPr>
            <b/>
            <sz val="9"/>
            <color indexed="81"/>
            <rFont val="Tahoma"/>
            <family val="2"/>
          </rPr>
          <t>Beaver, Todd-DP Retail:</t>
        </r>
        <r>
          <rPr>
            <sz val="9"/>
            <color indexed="81"/>
            <rFont val="Tahoma"/>
            <family val="2"/>
          </rPr>
          <t xml:space="preserve">
Total for entire CEC Program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Beaver, Todd-DP Retail</author>
  </authors>
  <commentList>
    <comment ref="R8" authorId="0" shapeId="0" xr:uid="{F502C4B6-715C-4475-A912-F520B3CABFB6}">
      <text>
        <r>
          <rPr>
            <b/>
            <sz val="9"/>
            <color indexed="81"/>
            <rFont val="Tahoma"/>
            <family val="2"/>
          </rPr>
          <t>Beaver, Todd-DP Retail:</t>
        </r>
        <r>
          <rPr>
            <sz val="9"/>
            <color indexed="81"/>
            <rFont val="Tahoma"/>
            <family val="2"/>
          </rPr>
          <t xml:space="preserve">
Total for entire CEC Program</t>
        </r>
      </text>
    </comment>
  </commentList>
</comments>
</file>

<file path=xl/sharedStrings.xml><?xml version="1.0" encoding="utf-8"?>
<sst xmlns="http://schemas.openxmlformats.org/spreadsheetml/2006/main" count="292" uniqueCount="129">
  <si>
    <t>Subscription Fees</t>
  </si>
  <si>
    <t>Benefits</t>
  </si>
  <si>
    <t>Capital Deferral</t>
  </si>
  <si>
    <t>MW</t>
  </si>
  <si>
    <t>NPV</t>
  </si>
  <si>
    <t>Program Revenue Requirements - ($000)</t>
  </si>
  <si>
    <t>Program Admin.</t>
  </si>
  <si>
    <t>Capacity</t>
  </si>
  <si>
    <t>Production</t>
  </si>
  <si>
    <t>From Revenue Requirement Calcs Summary</t>
  </si>
  <si>
    <t>Year</t>
  </si>
  <si>
    <t>2022 Solar</t>
  </si>
  <si>
    <t>2023 Solar</t>
  </si>
  <si>
    <t>2024 Solar</t>
  </si>
  <si>
    <t>2022 NU</t>
  </si>
  <si>
    <t>2023 NU</t>
  </si>
  <si>
    <t>2024 NU</t>
  </si>
  <si>
    <t>Total</t>
  </si>
  <si>
    <t>Fuel</t>
  </si>
  <si>
    <t>VOM</t>
  </si>
  <si>
    <t>Enviro</t>
  </si>
  <si>
    <t>Carbon</t>
  </si>
  <si>
    <t>GWh</t>
  </si>
  <si>
    <t>MWh</t>
  </si>
  <si>
    <t>NPV (RR)</t>
  </si>
  <si>
    <t>NPV (Benefits)</t>
  </si>
  <si>
    <t>Subscription Fee:</t>
  </si>
  <si>
    <t xml:space="preserve">Calendar </t>
  </si>
  <si>
    <t>Credit:</t>
  </si>
  <si>
    <t>Annual</t>
  </si>
  <si>
    <t>Cumulative</t>
  </si>
  <si>
    <t>Credit Escalator:</t>
  </si>
  <si>
    <t>Discount Rate:</t>
  </si>
  <si>
    <t>Subscription Fee</t>
  </si>
  <si>
    <t>Credit</t>
  </si>
  <si>
    <t>Revenue</t>
  </si>
  <si>
    <t>Capacity Factor:</t>
  </si>
  <si>
    <t>Capacity (MW)</t>
  </si>
  <si>
    <t>Production  (MWh)</t>
  </si>
  <si>
    <t>$/kW/Month</t>
  </si>
  <si>
    <t>Subscription Cost</t>
  </si>
  <si>
    <t>Escalator</t>
  </si>
  <si>
    <t>cents/kWh</t>
  </si>
  <si>
    <t>Requirements</t>
  </si>
  <si>
    <t>Degradation Rate:</t>
  </si>
  <si>
    <t>NPV (RR) less Cap. Deferral</t>
  </si>
  <si>
    <t>NPV (Sub. Costs)</t>
  </si>
  <si>
    <t>NPV (Credit to Participants)</t>
  </si>
  <si>
    <t xml:space="preserve"> </t>
  </si>
  <si>
    <t>Include Carbon Benefit (Y/N)</t>
  </si>
  <si>
    <t>N</t>
  </si>
  <si>
    <t>% of Non-Carbon Benefits</t>
  </si>
  <si>
    <t>Include Program Admin. Costs (Y/N)</t>
  </si>
  <si>
    <t>Y</t>
  </si>
  <si>
    <t>Total Program</t>
  </si>
  <si>
    <t>Program Year</t>
  </si>
  <si>
    <t>Credit Esc</t>
  </si>
  <si>
    <t>($/kW-mo)</t>
  </si>
  <si>
    <t>(cents/kWH)</t>
  </si>
  <si>
    <t>(%/yr)</t>
  </si>
  <si>
    <t xml:space="preserve"> LMI Carve-Out:</t>
  </si>
  <si>
    <t>LMI CREDIT</t>
  </si>
  <si>
    <t>C&amp;I and Residential Carve-Out:</t>
  </si>
  <si>
    <t>% Participants Pay of NPVRR:</t>
  </si>
  <si>
    <t>Disc Rate</t>
  </si>
  <si>
    <t>100% Variable Benefits ($MM's)</t>
  </si>
  <si>
    <t>Solar &amp; N/U</t>
  </si>
  <si>
    <t>Variable</t>
  </si>
  <si>
    <t>% of Variable Benefits</t>
  </si>
  <si>
    <t>Cost/(Savings)</t>
  </si>
  <si>
    <t>Always included</t>
  </si>
  <si>
    <t>Variable O&amp;M</t>
  </si>
  <si>
    <t>Emissions</t>
  </si>
  <si>
    <t>Solar Rev Req</t>
  </si>
  <si>
    <t>Admin Costs</t>
  </si>
  <si>
    <t>Total Program Savings</t>
  </si>
  <si>
    <t>Participant Savings</t>
  </si>
  <si>
    <t>Non-Participant Savings</t>
  </si>
  <si>
    <t>Program Savings (Non-Carbon)</t>
  </si>
  <si>
    <t>% of Total</t>
  </si>
  <si>
    <t>Program Benefits - C&amp;I Res</t>
  </si>
  <si>
    <t>Program Costs - C&amp;I Res</t>
  </si>
  <si>
    <t>$/kW-mo</t>
  </si>
  <si>
    <t>Credit* ($/kW-mo):</t>
  </si>
  <si>
    <t>NPV - $MMs</t>
  </si>
  <si>
    <t>Program Benefits - LMI</t>
  </si>
  <si>
    <t>Program Costs - LMI</t>
  </si>
  <si>
    <t>Capital Cost Estimates:</t>
  </si>
  <si>
    <t>Provided by DET Solar Development Team</t>
  </si>
  <si>
    <t>Revenue Requirements:</t>
  </si>
  <si>
    <t>Discount Rate</t>
  </si>
  <si>
    <t>Based on updated long-term forecast of debt provided by Corp Treasury in March 2020</t>
  </si>
  <si>
    <t>Annual Variable Benefits, Production and NPV of Capital Deferral Value:</t>
  </si>
  <si>
    <t>PAYBACK CHECK</t>
  </si>
  <si>
    <t>Sub Fee</t>
  </si>
  <si>
    <t>ITC values of 22%, 22% and 10% for 2022, 2023 and 2024 COD years, respectively</t>
  </si>
  <si>
    <t xml:space="preserve">Network upgrade revenue requirements based on 40 year life and using first 30 years in program cost analysis. </t>
  </si>
  <si>
    <t>Provided by DEF IRP Team as well as capital deferral value stated in 2020$'s</t>
  </si>
  <si>
    <t>Linked to Revenue Requirement Calcualtion Model</t>
  </si>
  <si>
    <t>% of Allocated Revenue Requirement</t>
  </si>
  <si>
    <t>Program View</t>
  </si>
  <si>
    <t>Tariff Schedule - C&amp;I and Residential</t>
  </si>
  <si>
    <t>Capex,FOM,Gas Trans</t>
  </si>
  <si>
    <t>Fixed Benefits ($MMs)</t>
  </si>
  <si>
    <t>Levelized MWs</t>
  </si>
  <si>
    <t>C&amp;I/Res - PARAMETERS</t>
  </si>
  <si>
    <t>LMI - PARAMETERS</t>
  </si>
  <si>
    <t>Linked to Benefit Results File</t>
  </si>
  <si>
    <t>CEC Prod</t>
  </si>
  <si>
    <t>CEC</t>
  </si>
  <si>
    <t>DEF CEC Program</t>
  </si>
  <si>
    <t>C&amp;I and Residential Program Analysis</t>
  </si>
  <si>
    <t>LMI Program Analysis</t>
  </si>
  <si>
    <t>Year of Program</t>
  </si>
  <si>
    <t>Commercial/Industrial/Residential</t>
  </si>
  <si>
    <t>%</t>
  </si>
  <si>
    <t>Low and Moderate Income (LMI)</t>
  </si>
  <si>
    <t>All Years</t>
  </si>
  <si>
    <t>CEC Revenue Requirements (Filing).xlsx</t>
  </si>
  <si>
    <t>CEC - Project Costs Forecasting (Filing)</t>
  </si>
  <si>
    <r>
      <t xml:space="preserve">Program Administration Costs from </t>
    </r>
    <r>
      <rPr>
        <sz val="11"/>
        <color rgb="FF0000FF"/>
        <rFont val="Calibri"/>
        <family val="2"/>
        <scheme val="minor"/>
      </rPr>
      <t>CEC - Admin Costs (Filing).xlxs</t>
    </r>
  </si>
  <si>
    <t>Totals - C&amp;I and Residential</t>
  </si>
  <si>
    <t>Totals - LMI</t>
  </si>
  <si>
    <t>Total Program Analysis</t>
  </si>
  <si>
    <t>Total - PARAMETERS</t>
  </si>
  <si>
    <t>Program Benefits - Total</t>
  </si>
  <si>
    <t>Program Costs - Total</t>
  </si>
  <si>
    <t>Program Costs ($)</t>
  </si>
  <si>
    <r>
      <t xml:space="preserve">2020-03 Variable Benefits Associated with </t>
    </r>
    <r>
      <rPr>
        <sz val="11"/>
        <color rgb="FF0000FF"/>
        <rFont val="Calibri"/>
        <family val="2"/>
        <scheme val="minor"/>
      </rPr>
      <t>2020-03 Variable Benefits Associated with CEC_750MWsLCOE Calc_05282020.xlsx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</si>
</sst>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000"/>
    <numFmt numFmtId="168" formatCode="_(&quot;$&quot;* #,##0_);_(&quot;$&quot;* \(#,##0\);_(&quot;$&quot;* &quot;-&quot;??_);_(@_)"/>
    <numFmt numFmtId="169" formatCode="0.000"/>
    <numFmt numFmtId="170" formatCode="0.0%"/>
    <numFmt numFmtId="171" formatCode="0.000%"/>
    <numFmt numFmtId="172" formatCode="&quot;$&quot;#,##0.00000_);[Red]\(&quot;$&quot;#,##0.00000\)"/>
    <numFmt numFmtId="173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3" borderId="10" applyNumberFormat="0" applyAlignment="0" applyProtection="0"/>
  </cellStyleXfs>
  <cellXfs count="222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7" xfId="0" applyBorder="1"/>
    <xf numFmtId="166" fontId="0" fillId="0" borderId="0" xfId="3" applyNumberFormat="1" applyFont="1"/>
    <xf numFmtId="0" fontId="0" fillId="2" borderId="0" xfId="0" applyFill="1"/>
    <xf numFmtId="164" fontId="0" fillId="0" borderId="0" xfId="0" applyNumberFormat="1"/>
    <xf numFmtId="8" fontId="0" fillId="0" borderId="0" xfId="0" applyNumberFormat="1"/>
    <xf numFmtId="6" fontId="0" fillId="0" borderId="0" xfId="0" applyNumberFormat="1"/>
    <xf numFmtId="0" fontId="0" fillId="0" borderId="0" xfId="0" applyFill="1" applyBorder="1"/>
    <xf numFmtId="168" fontId="0" fillId="0" borderId="0" xfId="0" applyNumberFormat="1"/>
    <xf numFmtId="0" fontId="10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37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10" fontId="1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/>
    </xf>
    <xf numFmtId="37" fontId="0" fillId="0" borderId="0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37" fontId="10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5" fontId="0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0" fontId="0" fillId="0" borderId="0" xfId="4" applyNumberFormat="1" applyFon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37" fontId="0" fillId="0" borderId="7" xfId="3" applyNumberFormat="1" applyFont="1" applyBorder="1" applyAlignment="1">
      <alignment horizontal="center" vertical="center"/>
    </xf>
    <xf numFmtId="0" fontId="0" fillId="0" borderId="8" xfId="0" applyBorder="1"/>
    <xf numFmtId="165" fontId="0" fillId="0" borderId="5" xfId="0" applyNumberFormat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167" fontId="9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37" fontId="10" fillId="0" borderId="0" xfId="3" applyNumberFormat="1" applyFont="1" applyBorder="1" applyAlignment="1">
      <alignment horizontal="center"/>
    </xf>
    <xf numFmtId="37" fontId="10" fillId="0" borderId="0" xfId="3" applyNumberFormat="1" applyFont="1" applyFill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5" fontId="0" fillId="0" borderId="5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0" fontId="0" fillId="0" borderId="0" xfId="0" applyFill="1"/>
    <xf numFmtId="0" fontId="5" fillId="0" borderId="9" xfId="0" applyFont="1" applyBorder="1" applyAlignment="1">
      <alignment horizontal="center"/>
    </xf>
    <xf numFmtId="5" fontId="0" fillId="0" borderId="0" xfId="0" applyNumberFormat="1"/>
    <xf numFmtId="165" fontId="10" fillId="0" borderId="0" xfId="0" applyNumberFormat="1" applyFont="1" applyBorder="1" applyAlignment="1">
      <alignment horizontal="center"/>
    </xf>
    <xf numFmtId="37" fontId="0" fillId="0" borderId="4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3" xfId="0" applyBorder="1"/>
    <xf numFmtId="0" fontId="0" fillId="0" borderId="0" xfId="0" applyAlignment="1">
      <alignment horizontal="center"/>
    </xf>
    <xf numFmtId="167" fontId="0" fillId="0" borderId="0" xfId="0" applyNumberFormat="1"/>
    <xf numFmtId="170" fontId="0" fillId="0" borderId="0" xfId="0" applyNumberFormat="1"/>
    <xf numFmtId="0" fontId="0" fillId="0" borderId="0" xfId="0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Border="1"/>
    <xf numFmtId="5" fontId="0" fillId="0" borderId="0" xfId="1" applyNumberFormat="1" applyFont="1"/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72" fontId="0" fillId="0" borderId="0" xfId="0" applyNumberFormat="1" applyBorder="1"/>
    <xf numFmtId="0" fontId="0" fillId="0" borderId="0" xfId="0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64" fontId="5" fillId="0" borderId="17" xfId="0" applyNumberFormat="1" applyFont="1" applyBorder="1" applyAlignment="1">
      <alignment horizontal="center"/>
    </xf>
    <xf numFmtId="167" fontId="5" fillId="0" borderId="17" xfId="5" applyNumberFormat="1" applyFont="1" applyFill="1" applyBorder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0" fontId="13" fillId="0" borderId="0" xfId="4" applyNumberFormat="1" applyFont="1"/>
    <xf numFmtId="0" fontId="4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3" applyNumberFormat="1" applyFont="1" applyBorder="1" applyAlignment="1">
      <alignment horizontal="center"/>
    </xf>
    <xf numFmtId="1" fontId="0" fillId="0" borderId="0" xfId="3" applyNumberFormat="1" applyFont="1" applyBorder="1" applyAlignment="1">
      <alignment horizontal="center"/>
    </xf>
    <xf numFmtId="1" fontId="0" fillId="0" borderId="7" xfId="3" applyNumberFormat="1" applyFont="1" applyBorder="1" applyAlignment="1">
      <alignment horizontal="center"/>
    </xf>
    <xf numFmtId="2" fontId="0" fillId="0" borderId="7" xfId="3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0" fontId="0" fillId="0" borderId="17" xfId="0" applyNumberFormat="1" applyFont="1" applyFill="1" applyBorder="1" applyAlignment="1">
      <alignment horizontal="center"/>
    </xf>
    <xf numFmtId="37" fontId="0" fillId="0" borderId="0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0" fontId="14" fillId="0" borderId="9" xfId="4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0" fontId="0" fillId="0" borderId="0" xfId="4" applyNumberFormat="1" applyFont="1"/>
    <xf numFmtId="170" fontId="0" fillId="0" borderId="0" xfId="4" applyNumberFormat="1" applyFont="1" applyBorder="1"/>
    <xf numFmtId="0" fontId="2" fillId="0" borderId="0" xfId="0" applyFont="1" applyAlignment="1">
      <alignment horizontal="center"/>
    </xf>
    <xf numFmtId="10" fontId="9" fillId="0" borderId="17" xfId="4" applyNumberFormat="1" applyFont="1" applyBorder="1" applyAlignment="1">
      <alignment horizontal="center"/>
    </xf>
    <xf numFmtId="10" fontId="9" fillId="0" borderId="17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70" fontId="9" fillId="0" borderId="19" xfId="4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167" fontId="9" fillId="0" borderId="17" xfId="5" applyNumberFormat="1" applyFont="1" applyFill="1" applyBorder="1" applyAlignment="1">
      <alignment horizontal="center"/>
    </xf>
    <xf numFmtId="10" fontId="9" fillId="0" borderId="1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0" borderId="0" xfId="4" applyNumberFormat="1" applyFon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0" fontId="4" fillId="0" borderId="12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0" fontId="5" fillId="0" borderId="0" xfId="4" applyNumberFormat="1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170" fontId="9" fillId="0" borderId="0" xfId="4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vertical="center"/>
    </xf>
    <xf numFmtId="6" fontId="0" fillId="0" borderId="0" xfId="0" applyNumberFormat="1" applyBorder="1"/>
    <xf numFmtId="171" fontId="5" fillId="0" borderId="19" xfId="4" applyNumberFormat="1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NumberFormat="1" applyFont="1" applyFill="1" applyBorder="1"/>
    <xf numFmtId="165" fontId="9" fillId="0" borderId="17" xfId="0" applyNumberFormat="1" applyFont="1" applyFill="1" applyBorder="1" applyAlignment="1">
      <alignment horizontal="center"/>
    </xf>
    <xf numFmtId="43" fontId="0" fillId="0" borderId="0" xfId="0" applyNumberFormat="1"/>
    <xf numFmtId="166" fontId="0" fillId="0" borderId="0" xfId="0" applyNumberFormat="1"/>
    <xf numFmtId="0" fontId="4" fillId="0" borderId="11" xfId="0" applyFont="1" applyBorder="1" applyAlignment="1">
      <alignment horizontal="right"/>
    </xf>
    <xf numFmtId="6" fontId="4" fillId="0" borderId="20" xfId="0" applyNumberFormat="1" applyFont="1" applyBorder="1"/>
    <xf numFmtId="6" fontId="4" fillId="0" borderId="12" xfId="0" applyNumberFormat="1" applyFont="1" applyBorder="1"/>
    <xf numFmtId="171" fontId="0" fillId="0" borderId="4" xfId="4" applyNumberFormat="1" applyFont="1" applyBorder="1" applyAlignment="1">
      <alignment horizontal="center"/>
    </xf>
    <xf numFmtId="171" fontId="0" fillId="0" borderId="0" xfId="4" applyNumberFormat="1" applyFont="1" applyBorder="1" applyAlignment="1">
      <alignment horizontal="center"/>
    </xf>
    <xf numFmtId="0" fontId="0" fillId="0" borderId="22" xfId="0" applyBorder="1"/>
    <xf numFmtId="0" fontId="0" fillId="0" borderId="1" xfId="0" applyBorder="1"/>
    <xf numFmtId="43" fontId="0" fillId="0" borderId="4" xfId="1" applyNumberFormat="1" applyFont="1" applyFill="1" applyBorder="1"/>
    <xf numFmtId="43" fontId="0" fillId="0" borderId="6" xfId="1" applyNumberFormat="1" applyFont="1" applyFill="1" applyBorder="1"/>
    <xf numFmtId="43" fontId="0" fillId="0" borderId="7" xfId="1" applyNumberFormat="1" applyFont="1" applyFill="1" applyBorder="1"/>
    <xf numFmtId="0" fontId="0" fillId="0" borderId="21" xfId="0" applyBorder="1"/>
    <xf numFmtId="43" fontId="0" fillId="0" borderId="22" xfId="1" applyNumberFormat="1" applyFont="1" applyFill="1" applyBorder="1"/>
    <xf numFmtId="43" fontId="0" fillId="0" borderId="22" xfId="0" applyNumberForma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1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168" fontId="0" fillId="0" borderId="22" xfId="1" applyNumberFormat="1" applyFont="1" applyFill="1" applyBorder="1"/>
    <xf numFmtId="168" fontId="0" fillId="0" borderId="23" xfId="1" applyNumberFormat="1" applyFont="1" applyFill="1" applyBorder="1"/>
    <xf numFmtId="6" fontId="4" fillId="0" borderId="9" xfId="0" applyNumberFormat="1" applyFont="1" applyBorder="1"/>
    <xf numFmtId="0" fontId="0" fillId="0" borderId="4" xfId="0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5" fontId="0" fillId="0" borderId="4" xfId="0" applyNumberFormat="1" applyBorder="1"/>
    <xf numFmtId="6" fontId="4" fillId="0" borderId="11" xfId="0" applyNumberFormat="1" applyFont="1" applyBorder="1"/>
    <xf numFmtId="0" fontId="10" fillId="0" borderId="9" xfId="0" applyFont="1" applyBorder="1" applyAlignment="1">
      <alignment horizontal="center"/>
    </xf>
    <xf numFmtId="5" fontId="0" fillId="0" borderId="22" xfId="0" applyNumberFormat="1" applyBorder="1"/>
    <xf numFmtId="164" fontId="4" fillId="4" borderId="9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0" fillId="0" borderId="0" xfId="0" applyFont="1" applyFill="1" applyBorder="1" applyAlignment="1">
      <alignment horizontal="center"/>
    </xf>
    <xf numFmtId="173" fontId="0" fillId="0" borderId="0" xfId="0" applyNumberForma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5" borderId="0" xfId="0" applyFill="1"/>
    <xf numFmtId="0" fontId="0" fillId="5" borderId="25" xfId="0" applyFill="1" applyBorder="1"/>
    <xf numFmtId="0" fontId="4" fillId="5" borderId="2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170" fontId="0" fillId="5" borderId="15" xfId="4" applyNumberFormat="1" applyFont="1" applyFill="1" applyBorder="1" applyAlignment="1">
      <alignment horizontal="center"/>
    </xf>
    <xf numFmtId="0" fontId="0" fillId="5" borderId="24" xfId="0" applyFill="1" applyBorder="1"/>
    <xf numFmtId="0" fontId="0" fillId="5" borderId="24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170" fontId="0" fillId="5" borderId="17" xfId="4" applyNumberFormat="1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70" fontId="0" fillId="5" borderId="19" xfId="4" applyNumberFormat="1" applyFont="1" applyFill="1" applyBorder="1" applyAlignment="1">
      <alignment horizontal="center"/>
    </xf>
    <xf numFmtId="10" fontId="8" fillId="0" borderId="9" xfId="4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7" xfId="3" applyNumberFormat="1" applyFont="1" applyBorder="1" applyAlignment="1">
      <alignment horizontal="center"/>
    </xf>
    <xf numFmtId="5" fontId="0" fillId="0" borderId="7" xfId="3" applyNumberFormat="1" applyFont="1" applyBorder="1" applyAlignment="1">
      <alignment horizontal="center" vertical="center"/>
    </xf>
    <xf numFmtId="43" fontId="0" fillId="0" borderId="5" xfId="1" applyNumberFormat="1" applyFont="1" applyFill="1" applyBorder="1"/>
    <xf numFmtId="43" fontId="0" fillId="0" borderId="8" xfId="1" applyNumberFormat="1" applyFont="1" applyFill="1" applyBorder="1"/>
    <xf numFmtId="43" fontId="0" fillId="0" borderId="2" xfId="0" applyNumberFormat="1" applyBorder="1"/>
    <xf numFmtId="168" fontId="0" fillId="2" borderId="4" xfId="1" applyNumberFormat="1" applyFont="1" applyFill="1" applyBorder="1"/>
    <xf numFmtId="168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42" fontId="0" fillId="2" borderId="7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6">
    <cellStyle name="Comma" xfId="3" builtinId="3"/>
    <cellStyle name="Currency" xfId="1" builtinId="4"/>
    <cellStyle name="Input" xfId="5" builtinId="20"/>
    <cellStyle name="Normal" xfId="0" builtinId="0"/>
    <cellStyle name="Normal 10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32AC-3F82-4610-8BB9-F5600B7D57B1}">
  <dimension ref="A2:B14"/>
  <sheetViews>
    <sheetView workbookViewId="0"/>
  </sheetViews>
  <sheetFormatPr defaultRowHeight="14.5" x14ac:dyDescent="0.35"/>
  <sheetData>
    <row r="2" spans="1:2" x14ac:dyDescent="0.35">
      <c r="A2" t="s">
        <v>92</v>
      </c>
    </row>
    <row r="3" spans="1:2" x14ac:dyDescent="0.35">
      <c r="B3" t="s">
        <v>128</v>
      </c>
    </row>
    <row r="4" spans="1:2" x14ac:dyDescent="0.35">
      <c r="B4" t="s">
        <v>97</v>
      </c>
    </row>
    <row r="5" spans="1:2" x14ac:dyDescent="0.35">
      <c r="A5" t="s">
        <v>87</v>
      </c>
    </row>
    <row r="6" spans="1:2" x14ac:dyDescent="0.35">
      <c r="B6" s="176" t="s">
        <v>119</v>
      </c>
    </row>
    <row r="7" spans="1:2" x14ac:dyDescent="0.35">
      <c r="B7" t="s">
        <v>88</v>
      </c>
    </row>
    <row r="8" spans="1:2" x14ac:dyDescent="0.35">
      <c r="A8" t="s">
        <v>89</v>
      </c>
    </row>
    <row r="9" spans="1:2" x14ac:dyDescent="0.35">
      <c r="B9" s="176" t="s">
        <v>118</v>
      </c>
    </row>
    <row r="10" spans="1:2" x14ac:dyDescent="0.35">
      <c r="B10" t="s">
        <v>95</v>
      </c>
    </row>
    <row r="11" spans="1:2" x14ac:dyDescent="0.35">
      <c r="B11" t="s">
        <v>96</v>
      </c>
    </row>
    <row r="12" spans="1:2" x14ac:dyDescent="0.35">
      <c r="B12" t="s">
        <v>120</v>
      </c>
    </row>
    <row r="13" spans="1:2" x14ac:dyDescent="0.35">
      <c r="A13" t="s">
        <v>90</v>
      </c>
    </row>
    <row r="14" spans="1:2" x14ac:dyDescent="0.35">
      <c r="B14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ECEC-ABF8-426C-B0C5-2A543BAA68F7}">
  <dimension ref="A1:AG50"/>
  <sheetViews>
    <sheetView zoomScale="80" zoomScaleNormal="80" workbookViewId="0"/>
  </sheetViews>
  <sheetFormatPr defaultRowHeight="14.5" x14ac:dyDescent="0.35"/>
  <cols>
    <col min="1" max="1" width="9.1796875" style="63"/>
    <col min="2" max="2" width="13.1796875" style="63" customWidth="1"/>
    <col min="3" max="3" width="15.26953125" customWidth="1"/>
    <col min="4" max="4" width="22" style="75" customWidth="1"/>
    <col min="5" max="5" width="23.1796875" style="63" customWidth="1"/>
    <col min="6" max="6" width="21.26953125" style="63" customWidth="1"/>
    <col min="7" max="7" width="14.26953125" style="63" customWidth="1"/>
    <col min="8" max="8" width="19.453125" style="63" customWidth="1"/>
    <col min="9" max="9" width="20" style="20" customWidth="1"/>
    <col min="10" max="10" width="6.54296875" style="20" customWidth="1"/>
    <col min="11" max="11" width="16.54296875" style="63" customWidth="1"/>
    <col min="12" max="12" width="17.54296875" customWidth="1"/>
    <col min="13" max="13" width="5.7265625" customWidth="1"/>
    <col min="14" max="16" width="17.54296875" customWidth="1"/>
    <col min="17" max="17" width="18.453125" customWidth="1"/>
    <col min="18" max="18" width="36.26953125" style="63" bestFit="1" customWidth="1"/>
    <col min="19" max="19" width="17.26953125" customWidth="1"/>
    <col min="20" max="20" width="8.81640625" customWidth="1"/>
    <col min="22" max="22" width="14.81640625" customWidth="1"/>
    <col min="23" max="23" width="14.7265625" customWidth="1"/>
    <col min="24" max="24" width="13.81640625" customWidth="1"/>
    <col min="25" max="26" width="12.54296875" customWidth="1"/>
  </cols>
  <sheetData>
    <row r="1" spans="1:33" ht="24" thickBot="1" x14ac:dyDescent="0.6">
      <c r="A1" s="177" t="s">
        <v>110</v>
      </c>
      <c r="B1" s="66"/>
      <c r="E1" s="66"/>
      <c r="F1" s="66"/>
      <c r="G1" s="66"/>
      <c r="H1" s="66"/>
      <c r="K1" s="66"/>
      <c r="R1" s="66"/>
      <c r="AB1" s="20" t="s">
        <v>99</v>
      </c>
    </row>
    <row r="2" spans="1:33" s="102" customFormat="1" ht="19.5" customHeight="1" thickBot="1" x14ac:dyDescent="0.4">
      <c r="B2" s="178" t="s">
        <v>111</v>
      </c>
      <c r="F2" s="99"/>
      <c r="G2" s="100" t="s">
        <v>62</v>
      </c>
      <c r="H2" s="101">
        <v>0.96525000000000005</v>
      </c>
      <c r="I2" s="20"/>
      <c r="J2" s="20"/>
      <c r="K2" s="98"/>
      <c r="P2" s="127"/>
      <c r="R2" s="103"/>
      <c r="S2" s="104"/>
      <c r="AB2" s="122">
        <v>1</v>
      </c>
    </row>
    <row r="3" spans="1:33" ht="15.75" customHeight="1" x14ac:dyDescent="0.35">
      <c r="A3" s="66"/>
      <c r="B3" s="66"/>
      <c r="E3" s="66"/>
      <c r="F3" s="66"/>
      <c r="G3" s="66"/>
      <c r="H3" s="66"/>
      <c r="K3" s="66"/>
      <c r="M3" s="4"/>
      <c r="N3" s="4"/>
      <c r="O3" s="4"/>
      <c r="P3" s="128"/>
      <c r="R3" s="208" t="s">
        <v>105</v>
      </c>
      <c r="S3" s="209"/>
    </row>
    <row r="4" spans="1:33" x14ac:dyDescent="0.35">
      <c r="A4" s="66"/>
      <c r="B4" s="66"/>
      <c r="E4" s="21"/>
      <c r="F4" s="1"/>
      <c r="G4" s="66"/>
      <c r="K4" s="66"/>
      <c r="L4" s="11"/>
      <c r="M4" s="17"/>
      <c r="N4" s="20"/>
      <c r="O4" s="4"/>
      <c r="P4" s="4"/>
      <c r="R4" s="77"/>
      <c r="S4" s="78"/>
      <c r="T4" s="18"/>
      <c r="V4" s="207" t="s">
        <v>101</v>
      </c>
      <c r="W4" s="207"/>
      <c r="X4" s="207"/>
      <c r="Y4" s="207"/>
      <c r="Z4" s="132"/>
    </row>
    <row r="5" spans="1:33" x14ac:dyDescent="0.35">
      <c r="A5" s="66"/>
      <c r="B5" s="66"/>
      <c r="F5" s="22"/>
      <c r="G5" s="66"/>
      <c r="K5" s="66"/>
      <c r="M5" s="17"/>
      <c r="O5" s="4"/>
      <c r="P5" s="4"/>
      <c r="R5" s="77" t="s">
        <v>26</v>
      </c>
      <c r="S5" s="79">
        <v>8.35</v>
      </c>
    </row>
    <row r="6" spans="1:33" x14ac:dyDescent="0.35">
      <c r="A6" s="66"/>
      <c r="B6" s="66"/>
      <c r="E6" s="21"/>
      <c r="F6" s="1"/>
      <c r="G6" s="66"/>
      <c r="K6" s="66"/>
      <c r="M6" s="17"/>
      <c r="R6" s="77" t="s">
        <v>28</v>
      </c>
      <c r="S6" s="80">
        <v>-4.0369999999999999</v>
      </c>
      <c r="V6" s="66" t="s">
        <v>55</v>
      </c>
      <c r="W6" s="66" t="s">
        <v>33</v>
      </c>
      <c r="X6" s="66" t="s">
        <v>34</v>
      </c>
      <c r="Y6" s="66" t="s">
        <v>56</v>
      </c>
      <c r="Z6" s="133"/>
      <c r="AB6" s="210" t="s">
        <v>93</v>
      </c>
      <c r="AC6" s="210"/>
      <c r="AD6" s="210"/>
      <c r="AE6" s="210"/>
      <c r="AF6" s="210"/>
      <c r="AG6" s="210"/>
    </row>
    <row r="7" spans="1:33" ht="15" thickBot="1" x14ac:dyDescent="0.4">
      <c r="A7" s="66"/>
      <c r="B7" s="66"/>
      <c r="E7" s="21"/>
      <c r="F7" s="22"/>
      <c r="G7" s="66"/>
      <c r="H7" s="66"/>
      <c r="K7" s="66"/>
      <c r="R7" s="77" t="s">
        <v>31</v>
      </c>
      <c r="S7" s="81">
        <v>1.4999999999999999E-2</v>
      </c>
      <c r="V7" s="66"/>
      <c r="W7" s="66" t="s">
        <v>57</v>
      </c>
      <c r="X7" s="66" t="s">
        <v>58</v>
      </c>
      <c r="Y7" s="66" t="s">
        <v>59</v>
      </c>
      <c r="Z7" s="133"/>
      <c r="AA7" s="133" t="s">
        <v>10</v>
      </c>
      <c r="AB7" s="126" t="s">
        <v>3</v>
      </c>
      <c r="AC7" s="126" t="s">
        <v>23</v>
      </c>
      <c r="AD7" t="s">
        <v>94</v>
      </c>
      <c r="AE7" t="s">
        <v>34</v>
      </c>
      <c r="AF7" t="s">
        <v>29</v>
      </c>
      <c r="AG7" t="s">
        <v>30</v>
      </c>
    </row>
    <row r="8" spans="1:33" ht="15.75" customHeight="1" x14ac:dyDescent="0.45">
      <c r="A8" s="23"/>
      <c r="B8" s="3"/>
      <c r="C8" s="2"/>
      <c r="D8" s="3"/>
      <c r="E8" s="3"/>
      <c r="F8" s="25" t="s">
        <v>100</v>
      </c>
      <c r="G8" s="3"/>
      <c r="H8" s="3"/>
      <c r="I8" s="26"/>
      <c r="J8" s="26"/>
      <c r="K8" s="3"/>
      <c r="L8" s="2"/>
      <c r="M8" s="2"/>
      <c r="N8" s="2"/>
      <c r="O8" s="27"/>
      <c r="P8" s="4"/>
      <c r="Q8" s="97"/>
      <c r="R8" s="82" t="s">
        <v>2</v>
      </c>
      <c r="S8" s="135">
        <f>-'Rev Rq_Benefits'!V42*1000000</f>
        <v>353458777.38175625</v>
      </c>
      <c r="V8">
        <v>1</v>
      </c>
      <c r="W8" s="11">
        <f t="shared" ref="W8:W37" si="0">E14</f>
        <v>8.35</v>
      </c>
      <c r="X8" s="64">
        <f t="shared" ref="X8:X37" si="1">H14</f>
        <v>-4.0369999999999999</v>
      </c>
      <c r="AA8">
        <v>1</v>
      </c>
      <c r="AB8">
        <f>1</f>
        <v>1</v>
      </c>
      <c r="AC8">
        <f t="shared" ref="AC8:AC19" si="2">AB8/C14*D14</f>
        <v>2453.070761014686</v>
      </c>
      <c r="AD8">
        <f t="shared" ref="AD8:AD19" si="3">AB8*E14*12</f>
        <v>100.19999999999999</v>
      </c>
      <c r="AE8">
        <f t="shared" ref="AE8:AE19" si="4">AC8*H14/100</f>
        <v>-99.030466622162876</v>
      </c>
      <c r="AF8">
        <f>AD8+AE8</f>
        <v>1.1695333778371122</v>
      </c>
      <c r="AG8">
        <f>AF8</f>
        <v>1.1695333778371122</v>
      </c>
    </row>
    <row r="9" spans="1:33" x14ac:dyDescent="0.35">
      <c r="A9" s="28"/>
      <c r="B9" s="6"/>
      <c r="C9" s="4"/>
      <c r="D9" s="6"/>
      <c r="E9" s="6"/>
      <c r="F9" s="6"/>
      <c r="G9" s="6"/>
      <c r="H9" s="6"/>
      <c r="I9" s="29"/>
      <c r="J9" s="29"/>
      <c r="K9" s="6"/>
      <c r="L9" s="4"/>
      <c r="M9" s="4"/>
      <c r="N9" s="4"/>
      <c r="O9" s="5"/>
      <c r="R9" s="77" t="s">
        <v>32</v>
      </c>
      <c r="S9" s="94">
        <f>'Rev Rq_Benefits'!A1</f>
        <v>6.7000000000000004E-2</v>
      </c>
      <c r="V9">
        <v>2</v>
      </c>
      <c r="W9" s="11">
        <f t="shared" si="0"/>
        <v>8.35</v>
      </c>
      <c r="X9" s="64">
        <f t="shared" si="1"/>
        <v>-4.0369999999999999</v>
      </c>
      <c r="Y9" s="65">
        <f t="shared" ref="Y9:Y37" si="5">X9/X8-1</f>
        <v>0</v>
      </c>
      <c r="Z9" s="65"/>
      <c r="AA9">
        <v>2</v>
      </c>
      <c r="AB9">
        <v>1</v>
      </c>
      <c r="AC9">
        <f t="shared" si="2"/>
        <v>2448.9541611036939</v>
      </c>
      <c r="AD9">
        <f t="shared" si="3"/>
        <v>100.19999999999999</v>
      </c>
      <c r="AE9">
        <f t="shared" si="4"/>
        <v>-98.864279483756121</v>
      </c>
      <c r="AF9">
        <f t="shared" ref="AF9:AF11" si="6">AD9+AE9</f>
        <v>1.3357205162438675</v>
      </c>
      <c r="AG9">
        <f>AF9+AG8</f>
        <v>2.5052538940809796</v>
      </c>
    </row>
    <row r="10" spans="1:33" x14ac:dyDescent="0.35">
      <c r="A10" s="30" t="s">
        <v>27</v>
      </c>
      <c r="B10" s="19" t="s">
        <v>8</v>
      </c>
      <c r="C10" s="4"/>
      <c r="D10" s="6"/>
      <c r="E10" s="6" t="s">
        <v>33</v>
      </c>
      <c r="F10" s="6" t="s">
        <v>29</v>
      </c>
      <c r="G10" s="54" t="s">
        <v>34</v>
      </c>
      <c r="H10" s="54" t="s">
        <v>34</v>
      </c>
      <c r="I10" s="95" t="s">
        <v>29</v>
      </c>
      <c r="J10" s="95"/>
      <c r="K10" s="6" t="s">
        <v>69</v>
      </c>
      <c r="L10" s="6" t="s">
        <v>69</v>
      </c>
      <c r="M10" s="4"/>
      <c r="N10" s="54" t="s">
        <v>35</v>
      </c>
      <c r="O10" s="49" t="s">
        <v>67</v>
      </c>
      <c r="R10" s="82" t="s">
        <v>36</v>
      </c>
      <c r="S10" s="108">
        <f>0.28</f>
        <v>0.28000000000000003</v>
      </c>
      <c r="V10">
        <v>3</v>
      </c>
      <c r="W10" s="11">
        <f t="shared" si="0"/>
        <v>8.35</v>
      </c>
      <c r="X10" s="64">
        <f t="shared" si="1"/>
        <v>-4.0369999999999999</v>
      </c>
      <c r="Y10" s="65">
        <f t="shared" si="5"/>
        <v>0</v>
      </c>
      <c r="Z10" s="65"/>
      <c r="AA10">
        <v>3</v>
      </c>
      <c r="AB10">
        <v>1</v>
      </c>
      <c r="AC10">
        <f t="shared" si="2"/>
        <v>2449.0387182910549</v>
      </c>
      <c r="AD10">
        <f t="shared" si="3"/>
        <v>100.19999999999999</v>
      </c>
      <c r="AE10">
        <f t="shared" si="4"/>
        <v>-98.867693057409895</v>
      </c>
      <c r="AF10">
        <f t="shared" si="6"/>
        <v>1.332306942590094</v>
      </c>
      <c r="AG10">
        <f t="shared" ref="AG10:AG19" si="7">AF10+AG9</f>
        <v>3.8375608366710736</v>
      </c>
    </row>
    <row r="11" spans="1:33" x14ac:dyDescent="0.35">
      <c r="A11" s="30" t="s">
        <v>10</v>
      </c>
      <c r="B11" s="19" t="s">
        <v>10</v>
      </c>
      <c r="C11" s="19" t="s">
        <v>37</v>
      </c>
      <c r="D11" s="19" t="s">
        <v>38</v>
      </c>
      <c r="E11" s="19" t="s">
        <v>39</v>
      </c>
      <c r="F11" s="19" t="s">
        <v>0</v>
      </c>
      <c r="G11" s="19" t="s">
        <v>41</v>
      </c>
      <c r="H11" s="19" t="s">
        <v>42</v>
      </c>
      <c r="I11" s="31" t="s">
        <v>34</v>
      </c>
      <c r="J11" s="31"/>
      <c r="K11" s="59" t="s">
        <v>29</v>
      </c>
      <c r="L11" s="59" t="s">
        <v>30</v>
      </c>
      <c r="M11" s="4"/>
      <c r="N11" s="19" t="s">
        <v>43</v>
      </c>
      <c r="O11" s="32" t="s">
        <v>1</v>
      </c>
      <c r="R11" s="82" t="s">
        <v>44</v>
      </c>
      <c r="S11" s="108">
        <v>5.0000000000000001E-3</v>
      </c>
      <c r="V11">
        <v>4</v>
      </c>
      <c r="W11" s="11">
        <f t="shared" si="0"/>
        <v>8.35</v>
      </c>
      <c r="X11" s="64">
        <f t="shared" si="1"/>
        <v>-4.0979999999999999</v>
      </c>
      <c r="Y11" s="65">
        <f t="shared" si="5"/>
        <v>1.5110230369085986E-2</v>
      </c>
      <c r="Z11" s="65"/>
      <c r="AA11">
        <v>4</v>
      </c>
      <c r="AB11">
        <v>1</v>
      </c>
      <c r="AC11">
        <f t="shared" si="2"/>
        <v>2431.0146862483311</v>
      </c>
      <c r="AD11">
        <f t="shared" si="3"/>
        <v>100.19999999999999</v>
      </c>
      <c r="AE11">
        <f t="shared" si="4"/>
        <v>-99.62298184245661</v>
      </c>
      <c r="AF11">
        <f t="shared" si="6"/>
        <v>0.57701815754337815</v>
      </c>
      <c r="AG11">
        <f t="shared" si="7"/>
        <v>4.4145789942144518</v>
      </c>
    </row>
    <row r="12" spans="1:33" x14ac:dyDescent="0.35">
      <c r="A12" s="28">
        <v>2020</v>
      </c>
      <c r="B12" s="6"/>
      <c r="C12" s="6">
        <f>'Rev Rq_Benefits'!C7</f>
        <v>0</v>
      </c>
      <c r="D12" s="90">
        <f>'Rev Rq_Benefits'!X7*1000</f>
        <v>0</v>
      </c>
      <c r="E12" s="89">
        <v>0</v>
      </c>
      <c r="F12" s="33">
        <f t="shared" ref="F12:F45" si="8">C12*E12*1000*12</f>
        <v>0</v>
      </c>
      <c r="G12" s="6"/>
      <c r="H12" s="6">
        <v>0</v>
      </c>
      <c r="I12" s="34">
        <f>D12*H12*1000/100</f>
        <v>0</v>
      </c>
      <c r="J12" s="34"/>
      <c r="K12" s="35">
        <f t="shared" ref="K12:K45" si="9">F12+I12</f>
        <v>0</v>
      </c>
      <c r="L12" s="35">
        <f>K12</f>
        <v>0</v>
      </c>
      <c r="M12" s="4"/>
      <c r="N12" s="35">
        <v>0</v>
      </c>
      <c r="O12" s="41">
        <f>IF($S$23="Y",SUM('Rev Rq_Benefits'!Q7:T7)*'Results - C&amp;I and Residential'!$S$24,SUM('Rev Rq_Benefits'!Q7:S7)*'Results - C&amp;I and Residential'!$S$24)*1000000*$H$2</f>
        <v>0</v>
      </c>
      <c r="Q12" s="12">
        <f>(S8*H2)-(S15-S16)</f>
        <v>37870503.667991579</v>
      </c>
      <c r="R12" s="83" t="s">
        <v>63</v>
      </c>
      <c r="S12" s="129">
        <v>1.0494026999999999</v>
      </c>
      <c r="V12">
        <v>5</v>
      </c>
      <c r="W12" s="11">
        <f t="shared" si="0"/>
        <v>8.35</v>
      </c>
      <c r="X12" s="64">
        <f t="shared" si="1"/>
        <v>-4.1589999999999998</v>
      </c>
      <c r="Y12" s="65">
        <f t="shared" si="5"/>
        <v>1.4885309907271882E-2</v>
      </c>
      <c r="Z12" s="65"/>
      <c r="AA12">
        <v>5</v>
      </c>
      <c r="AB12">
        <v>1</v>
      </c>
      <c r="AC12">
        <f t="shared" si="2"/>
        <v>2418.8785046728976</v>
      </c>
      <c r="AD12">
        <f t="shared" si="3"/>
        <v>100.19999999999999</v>
      </c>
      <c r="AE12">
        <f t="shared" si="4"/>
        <v>-100.60115700934581</v>
      </c>
      <c r="AF12">
        <f t="shared" ref="AF12:AF19" si="10">AD12+AE12</f>
        <v>-0.40115700934582321</v>
      </c>
      <c r="AG12">
        <f t="shared" si="7"/>
        <v>4.0134219848686286</v>
      </c>
    </row>
    <row r="13" spans="1:33" ht="15" thickBot="1" x14ac:dyDescent="0.4">
      <c r="A13" s="28">
        <f>A12+1</f>
        <v>2021</v>
      </c>
      <c r="B13" s="6"/>
      <c r="C13" s="6">
        <f>'Rev Rq_Benefits'!C8</f>
        <v>0</v>
      </c>
      <c r="D13" s="90">
        <f>'Rev Rq_Benefits'!X8*1000</f>
        <v>0</v>
      </c>
      <c r="E13" s="89">
        <v>0</v>
      </c>
      <c r="F13" s="33">
        <f t="shared" si="8"/>
        <v>0</v>
      </c>
      <c r="G13" s="6"/>
      <c r="H13" s="6">
        <v>0</v>
      </c>
      <c r="I13" s="34">
        <f t="shared" ref="I13:I45" si="11">D13*H13*1000/100</f>
        <v>0</v>
      </c>
      <c r="J13" s="34"/>
      <c r="K13" s="35">
        <f t="shared" si="9"/>
        <v>0</v>
      </c>
      <c r="L13" s="35">
        <f t="shared" ref="L13:L14" si="12">L12+K13</f>
        <v>0</v>
      </c>
      <c r="M13" s="4"/>
      <c r="N13" s="35">
        <f>'Rev Rq_Benefits'!N8*$H$2*$AB$2</f>
        <v>984631.34759418014</v>
      </c>
      <c r="O13" s="41">
        <f>IF($S$23="Y",SUM('Rev Rq_Benefits'!Q8:T8)*'Results - C&amp;I and Residential'!$S$24,SUM('Rev Rq_Benefits'!Q8:S8)*'Results - C&amp;I and Residential'!$S$24)*1000000*$H$2</f>
        <v>0</v>
      </c>
      <c r="R13" s="1"/>
      <c r="T13" s="16"/>
      <c r="V13">
        <v>6</v>
      </c>
      <c r="W13" s="11">
        <f t="shared" si="0"/>
        <v>8.35</v>
      </c>
      <c r="X13" s="64">
        <f t="shared" si="1"/>
        <v>-4.2210000000000001</v>
      </c>
      <c r="Y13" s="65">
        <f t="shared" si="5"/>
        <v>1.4907429670593997E-2</v>
      </c>
      <c r="Z13" s="65"/>
      <c r="AA13">
        <v>6</v>
      </c>
      <c r="AB13">
        <v>1</v>
      </c>
      <c r="AC13">
        <f t="shared" si="2"/>
        <v>2406.7690253671562</v>
      </c>
      <c r="AD13">
        <f t="shared" si="3"/>
        <v>100.19999999999999</v>
      </c>
      <c r="AE13">
        <f t="shared" si="4"/>
        <v>-101.58972056074766</v>
      </c>
      <c r="AF13">
        <f t="shared" si="10"/>
        <v>-1.3897205607476764</v>
      </c>
      <c r="AG13">
        <f t="shared" si="7"/>
        <v>2.6237014241209522</v>
      </c>
    </row>
    <row r="14" spans="1:33" x14ac:dyDescent="0.35">
      <c r="A14" s="28">
        <f t="shared" ref="A14:B29" si="13">A13+1</f>
        <v>2022</v>
      </c>
      <c r="B14" s="6">
        <v>1</v>
      </c>
      <c r="C14" s="6">
        <f>'Rev Rq_Benefits'!C9*$H$2</f>
        <v>144.59445000000002</v>
      </c>
      <c r="D14" s="90">
        <f>'Rev Rq_Benefits'!X9*1000*$H$2</f>
        <v>354700.41750000004</v>
      </c>
      <c r="E14" s="89">
        <f>IF(C14=0,0,$S$5)</f>
        <v>8.35</v>
      </c>
      <c r="F14" s="33">
        <f t="shared" si="8"/>
        <v>14488363.890000001</v>
      </c>
      <c r="G14" s="36">
        <v>0</v>
      </c>
      <c r="H14" s="47">
        <f>S6</f>
        <v>-4.0369999999999999</v>
      </c>
      <c r="I14" s="34">
        <f>D14*H14*1000/100</f>
        <v>-14319255.854475003</v>
      </c>
      <c r="J14" s="34"/>
      <c r="K14" s="35">
        <f t="shared" si="9"/>
        <v>169108.03552499786</v>
      </c>
      <c r="L14" s="35">
        <f t="shared" si="12"/>
        <v>169108.03552499786</v>
      </c>
      <c r="M14" s="4"/>
      <c r="N14" s="35">
        <f>'Rev Rq_Benefits'!N9*$H$2*$AB$2</f>
        <v>30391476.045250423</v>
      </c>
      <c r="O14" s="41">
        <f>IF($S$23="Y",SUM('Rev Rq_Benefits'!Q9:T9)*'Results - C&amp;I and Residential'!$S$24,SUM('Rev Rq_Benefits'!Q9:S9)*'Results - C&amp;I and Residential'!$S$24)*1000000*$H$2</f>
        <v>-9532345.2149240822</v>
      </c>
      <c r="R14" s="205" t="s">
        <v>121</v>
      </c>
      <c r="S14" s="206"/>
      <c r="V14">
        <v>7</v>
      </c>
      <c r="W14" s="11">
        <f t="shared" si="0"/>
        <v>8.35</v>
      </c>
      <c r="X14" s="64">
        <f t="shared" si="1"/>
        <v>-4.2839999999999998</v>
      </c>
      <c r="Y14" s="65">
        <f t="shared" si="5"/>
        <v>1.4925373134328401E-2</v>
      </c>
      <c r="Z14" s="65"/>
      <c r="AA14" s="10">
        <v>7</v>
      </c>
      <c r="AB14" s="10">
        <v>1</v>
      </c>
      <c r="AC14" s="10">
        <f t="shared" si="2"/>
        <v>2400.4005340453937</v>
      </c>
      <c r="AD14" s="10">
        <f t="shared" si="3"/>
        <v>100.19999999999999</v>
      </c>
      <c r="AE14" s="10">
        <f t="shared" si="4"/>
        <v>-102.83315887850466</v>
      </c>
      <c r="AF14" s="10">
        <f t="shared" si="10"/>
        <v>-2.6331588785046733</v>
      </c>
      <c r="AG14" s="10">
        <f t="shared" si="7"/>
        <v>-9.4574543837211422E-3</v>
      </c>
    </row>
    <row r="15" spans="1:33" x14ac:dyDescent="0.35">
      <c r="A15" s="28">
        <f t="shared" si="13"/>
        <v>2023</v>
      </c>
      <c r="B15" s="6">
        <f>B14+1</f>
        <v>2</v>
      </c>
      <c r="C15" s="6">
        <f>'Rev Rq_Benefits'!C10*$H$2</f>
        <v>433.78335000000004</v>
      </c>
      <c r="D15" s="90">
        <f>'Rev Rq_Benefits'!X10*1000*$H$2</f>
        <v>1062315.54</v>
      </c>
      <c r="E15" s="89">
        <f t="shared" ref="E15:E46" si="14">IF(C15=0,0,$S$5)</f>
        <v>8.35</v>
      </c>
      <c r="F15" s="33">
        <f t="shared" si="8"/>
        <v>43465091.670000002</v>
      </c>
      <c r="G15" s="36">
        <v>0</v>
      </c>
      <c r="H15" s="37">
        <f>ROUND(H14*(1+G15),3)</f>
        <v>-4.0369999999999999</v>
      </c>
      <c r="I15" s="34">
        <f t="shared" si="11"/>
        <v>-42885678.349799998</v>
      </c>
      <c r="J15" s="34"/>
      <c r="K15" s="35">
        <f t="shared" si="9"/>
        <v>579413.32020000368</v>
      </c>
      <c r="L15" s="35">
        <f>L14+K15</f>
        <v>748521.35572500154</v>
      </c>
      <c r="M15" s="4"/>
      <c r="N15" s="35">
        <f>'Rev Rq_Benefits'!N10*$H$2*$AB$2</f>
        <v>84704852.743594527</v>
      </c>
      <c r="O15" s="41">
        <f>IF($S$23="Y",SUM('Rev Rq_Benefits'!Q10:T10)*'Results - C&amp;I and Residential'!$S$24,SUM('Rev Rq_Benefits'!Q10:S10)*'Results - C&amp;I and Residential'!$S$24)*1000000*$H$2</f>
        <v>-27416843.812632795</v>
      </c>
      <c r="Q15" s="13"/>
      <c r="R15" s="60" t="s">
        <v>24</v>
      </c>
      <c r="S15" s="48">
        <f>NPV('Rev Rq_Benefits'!A1,'Results - C&amp;I and Residential'!N13:N45)+N12</f>
        <v>1107743573.4461296</v>
      </c>
      <c r="V15">
        <v>8</v>
      </c>
      <c r="W15" s="11">
        <f t="shared" si="0"/>
        <v>8.35</v>
      </c>
      <c r="X15" s="64">
        <f t="shared" si="1"/>
        <v>-4.3479999999999999</v>
      </c>
      <c r="Y15" s="65">
        <f t="shared" si="5"/>
        <v>1.4939309056956063E-2</v>
      </c>
      <c r="Z15" s="65"/>
      <c r="AA15">
        <v>8</v>
      </c>
      <c r="AB15">
        <v>1</v>
      </c>
      <c r="AC15">
        <f t="shared" si="2"/>
        <v>2382.7503337783714</v>
      </c>
      <c r="AD15">
        <f t="shared" si="3"/>
        <v>100.19999999999999</v>
      </c>
      <c r="AE15">
        <f t="shared" si="4"/>
        <v>-103.6019845126836</v>
      </c>
      <c r="AF15">
        <f t="shared" si="10"/>
        <v>-3.4019845126836117</v>
      </c>
      <c r="AG15">
        <f t="shared" si="7"/>
        <v>-3.4114419670673328</v>
      </c>
    </row>
    <row r="16" spans="1:33" x14ac:dyDescent="0.35">
      <c r="A16" s="28">
        <f t="shared" si="13"/>
        <v>2024</v>
      </c>
      <c r="B16" s="6">
        <f t="shared" si="13"/>
        <v>3</v>
      </c>
      <c r="C16" s="6">
        <f>'Rev Rq_Benefits'!C11*$H$2</f>
        <v>722.97225000000003</v>
      </c>
      <c r="D16" s="90">
        <f>'Rev Rq_Benefits'!X11*1000*$H$2</f>
        <v>1770587.0325000002</v>
      </c>
      <c r="E16" s="89">
        <f t="shared" si="14"/>
        <v>8.35</v>
      </c>
      <c r="F16" s="33">
        <f t="shared" si="8"/>
        <v>72441819.450000003</v>
      </c>
      <c r="G16" s="36">
        <v>0</v>
      </c>
      <c r="H16" s="37">
        <f t="shared" ref="H16:H45" si="15">ROUND(H15*(1+G16),3)</f>
        <v>-4.0369999999999999</v>
      </c>
      <c r="I16" s="34">
        <f t="shared" si="11"/>
        <v>-71478598.502025008</v>
      </c>
      <c r="J16" s="34"/>
      <c r="K16" s="35">
        <f t="shared" si="9"/>
        <v>963220.94797499478</v>
      </c>
      <c r="L16" s="35">
        <f t="shared" ref="L16:L45" si="16">L15+K16</f>
        <v>1711742.3036999963</v>
      </c>
      <c r="M16" s="4"/>
      <c r="N16" s="35">
        <f>'Rev Rq_Benefits'!N11*$H$2*$AB$2</f>
        <v>134166079.84283155</v>
      </c>
      <c r="O16" s="41">
        <f>IF($S$23="Y",SUM('Rev Rq_Benefits'!Q11:T11)*'Results - C&amp;I and Residential'!$S$24,SUM('Rev Rq_Benefits'!Q11:S11)*'Results - C&amp;I and Residential'!$S$24)*1000000*$H$2</f>
        <v>-52626418.225189582</v>
      </c>
      <c r="Q16" s="13"/>
      <c r="R16" s="28" t="s">
        <v>45</v>
      </c>
      <c r="S16" s="48">
        <f>(S15-S8*H2)*S12</f>
        <v>804437992.24638093</v>
      </c>
      <c r="V16">
        <v>9</v>
      </c>
      <c r="W16" s="11">
        <f t="shared" si="0"/>
        <v>8.35</v>
      </c>
      <c r="X16" s="64">
        <f t="shared" si="1"/>
        <v>-4.4130000000000003</v>
      </c>
      <c r="Y16" s="65">
        <f t="shared" si="5"/>
        <v>1.4949402023919145E-2</v>
      </c>
      <c r="Z16" s="65"/>
      <c r="AA16">
        <v>9</v>
      </c>
      <c r="AB16">
        <v>1</v>
      </c>
      <c r="AC16">
        <f t="shared" si="2"/>
        <v>2370.8411214953276</v>
      </c>
      <c r="AD16">
        <f t="shared" si="3"/>
        <v>100.19999999999999</v>
      </c>
      <c r="AE16">
        <f t="shared" si="4"/>
        <v>-104.62521869158881</v>
      </c>
      <c r="AF16">
        <f t="shared" si="10"/>
        <v>-4.4252186915888245</v>
      </c>
      <c r="AG16">
        <f t="shared" si="7"/>
        <v>-7.8366606586561574</v>
      </c>
    </row>
    <row r="17" spans="1:33" x14ac:dyDescent="0.35">
      <c r="A17" s="28">
        <f t="shared" si="13"/>
        <v>2025</v>
      </c>
      <c r="B17" s="6">
        <f t="shared" si="13"/>
        <v>4</v>
      </c>
      <c r="C17" s="6">
        <f>'Rev Rq_Benefits'!C12*$H$2</f>
        <v>722.97225000000003</v>
      </c>
      <c r="D17" s="90">
        <f>'Rev Rq_Benefits'!X12*1000*$H$2</f>
        <v>1757556.1575000002</v>
      </c>
      <c r="E17" s="89">
        <f t="shared" si="14"/>
        <v>8.35</v>
      </c>
      <c r="F17" s="33">
        <f t="shared" si="8"/>
        <v>72441819.450000003</v>
      </c>
      <c r="G17" s="36">
        <f>S7</f>
        <v>1.4999999999999999E-2</v>
      </c>
      <c r="H17" s="37">
        <f t="shared" si="15"/>
        <v>-4.0979999999999999</v>
      </c>
      <c r="I17" s="34">
        <f t="shared" si="11"/>
        <v>-72024651.334350005</v>
      </c>
      <c r="J17" s="34"/>
      <c r="K17" s="35">
        <f t="shared" si="9"/>
        <v>417168.11564999819</v>
      </c>
      <c r="L17" s="35">
        <f t="shared" si="16"/>
        <v>2128910.4193499945</v>
      </c>
      <c r="M17" s="4"/>
      <c r="N17" s="35">
        <f>'Rev Rq_Benefits'!N12*$H$2*$AB$2</f>
        <v>127410321.49576035</v>
      </c>
      <c r="O17" s="41">
        <f>IF($S$23="Y",SUM('Rev Rq_Benefits'!Q12:T12)*'Results - C&amp;I and Residential'!$S$24,SUM('Rev Rq_Benefits'!Q12:S12)*'Results - C&amp;I and Residential'!$S$24)*1000000*$H$2</f>
        <v>-52077385.39387048</v>
      </c>
      <c r="Q17" s="13"/>
      <c r="R17" s="28" t="s">
        <v>46</v>
      </c>
      <c r="S17" s="41">
        <f>NPV('Rev Rq_Benefits'!A1,'Results - C&amp;I and Residential'!F13:F46)</f>
        <v>804438031.48372114</v>
      </c>
      <c r="V17">
        <v>10</v>
      </c>
      <c r="W17" s="11">
        <f t="shared" si="0"/>
        <v>8.35</v>
      </c>
      <c r="X17" s="64">
        <f t="shared" si="1"/>
        <v>-4.4790000000000001</v>
      </c>
      <c r="Y17" s="65">
        <f t="shared" si="5"/>
        <v>1.4955812372535737E-2</v>
      </c>
      <c r="Z17" s="65"/>
      <c r="AA17">
        <v>10</v>
      </c>
      <c r="AB17">
        <v>1</v>
      </c>
      <c r="AC17">
        <f t="shared" si="2"/>
        <v>2358.9853137516689</v>
      </c>
      <c r="AD17">
        <f t="shared" si="3"/>
        <v>100.19999999999999</v>
      </c>
      <c r="AE17">
        <f t="shared" si="4"/>
        <v>-105.65895220293726</v>
      </c>
      <c r="AF17">
        <f t="shared" si="10"/>
        <v>-5.4589522029372688</v>
      </c>
      <c r="AG17">
        <f t="shared" si="7"/>
        <v>-13.295612861593426</v>
      </c>
    </row>
    <row r="18" spans="1:33" x14ac:dyDescent="0.35">
      <c r="A18" s="28">
        <f t="shared" si="13"/>
        <v>2026</v>
      </c>
      <c r="B18" s="6">
        <f t="shared" si="13"/>
        <v>5</v>
      </c>
      <c r="C18" s="6">
        <f>'Rev Rq_Benefits'!C13*$H$2</f>
        <v>722.97225000000003</v>
      </c>
      <c r="D18" s="90">
        <f>'Rev Rq_Benefits'!X13*1000*$H$2</f>
        <v>1748782.0350000004</v>
      </c>
      <c r="E18" s="89">
        <f t="shared" si="14"/>
        <v>8.35</v>
      </c>
      <c r="F18" s="33">
        <f t="shared" si="8"/>
        <v>72441819.450000003</v>
      </c>
      <c r="G18" s="36">
        <f t="shared" ref="G18:G43" si="17">G17</f>
        <v>1.4999999999999999E-2</v>
      </c>
      <c r="H18" s="37">
        <f t="shared" si="15"/>
        <v>-4.1589999999999998</v>
      </c>
      <c r="I18" s="34">
        <f t="shared" si="11"/>
        <v>-72731844.835650012</v>
      </c>
      <c r="J18" s="34"/>
      <c r="K18" s="35">
        <f t="shared" si="9"/>
        <v>-290025.38565000892</v>
      </c>
      <c r="L18" s="35">
        <f t="shared" si="16"/>
        <v>1838885.0336999856</v>
      </c>
      <c r="M18" s="4"/>
      <c r="N18" s="35">
        <f>'Rev Rq_Benefits'!N13*$H$2*$AB$2</f>
        <v>121465897.15736499</v>
      </c>
      <c r="O18" s="41">
        <f>IF($S$23="Y",SUM('Rev Rq_Benefits'!Q13:T13)*'Results - C&amp;I and Residential'!$S$24,SUM('Rev Rq_Benefits'!Q13:S13)*'Results - C&amp;I and Residential'!$S$24)*1000000*$H$2</f>
        <v>-55186445.994233228</v>
      </c>
      <c r="R18" s="28"/>
      <c r="S18" s="49"/>
      <c r="V18">
        <v>11</v>
      </c>
      <c r="W18" s="11">
        <f t="shared" si="0"/>
        <v>8.35</v>
      </c>
      <c r="X18" s="64">
        <f t="shared" si="1"/>
        <v>-4.5460000000000003</v>
      </c>
      <c r="Y18" s="65">
        <f t="shared" si="5"/>
        <v>1.4958696137530758E-2</v>
      </c>
      <c r="Z18" s="65"/>
      <c r="AA18">
        <v>11</v>
      </c>
      <c r="AB18">
        <v>1</v>
      </c>
      <c r="AC18">
        <f t="shared" si="2"/>
        <v>2352.7503337783714</v>
      </c>
      <c r="AD18">
        <f t="shared" si="3"/>
        <v>100.19999999999999</v>
      </c>
      <c r="AE18">
        <f t="shared" si="4"/>
        <v>-106.95603017356478</v>
      </c>
      <c r="AF18">
        <f t="shared" si="10"/>
        <v>-6.7560301735647954</v>
      </c>
      <c r="AG18">
        <f t="shared" si="7"/>
        <v>-20.051643035158222</v>
      </c>
    </row>
    <row r="19" spans="1:33" x14ac:dyDescent="0.35">
      <c r="A19" s="28">
        <f t="shared" si="13"/>
        <v>2027</v>
      </c>
      <c r="B19" s="6">
        <f t="shared" si="13"/>
        <v>6</v>
      </c>
      <c r="C19" s="6">
        <f>'Rev Rq_Benefits'!C14*$H$2</f>
        <v>722.97225000000003</v>
      </c>
      <c r="D19" s="90">
        <f>'Rev Rq_Benefits'!X14*1000*$H$2</f>
        <v>1740027.2175</v>
      </c>
      <c r="E19" s="89">
        <f t="shared" si="14"/>
        <v>8.35</v>
      </c>
      <c r="F19" s="33">
        <f t="shared" si="8"/>
        <v>72441819.450000003</v>
      </c>
      <c r="G19" s="36">
        <f t="shared" si="17"/>
        <v>1.4999999999999999E-2</v>
      </c>
      <c r="H19" s="37">
        <f t="shared" si="15"/>
        <v>-4.2210000000000001</v>
      </c>
      <c r="I19" s="34">
        <f t="shared" si="11"/>
        <v>-73446548.850675002</v>
      </c>
      <c r="J19" s="34"/>
      <c r="K19" s="35">
        <f t="shared" si="9"/>
        <v>-1004729.4006749988</v>
      </c>
      <c r="L19" s="35">
        <f t="shared" si="16"/>
        <v>834155.63302498683</v>
      </c>
      <c r="M19" s="4"/>
      <c r="N19" s="35">
        <f>'Rev Rq_Benefits'!N14*$H$2*$AB$2</f>
        <v>109013620.36523214</v>
      </c>
      <c r="O19" s="41">
        <f>IF($S$23="Y",SUM('Rev Rq_Benefits'!Q14:T14)*'Results - C&amp;I and Residential'!$S$24,SUM('Rev Rq_Benefits'!Q14:S14)*'Results - C&amp;I and Residential'!$S$24)*1000000*$H$2</f>
        <v>-60635385.918526947</v>
      </c>
      <c r="R19" s="28" t="s">
        <v>25</v>
      </c>
      <c r="S19" s="50">
        <f>NPV('Rev Rq_Benefits'!A1,'Results - C&amp;I and Residential'!O13:O45)+O12</f>
        <v>-869663216.01470149</v>
      </c>
      <c r="V19">
        <v>12</v>
      </c>
      <c r="W19" s="11">
        <f t="shared" si="0"/>
        <v>8.35</v>
      </c>
      <c r="X19" s="64">
        <f t="shared" si="1"/>
        <v>-4.6139999999999999</v>
      </c>
      <c r="Y19" s="65">
        <f t="shared" si="5"/>
        <v>1.4958205015398018E-2</v>
      </c>
      <c r="Z19" s="65"/>
      <c r="AA19">
        <v>12</v>
      </c>
      <c r="AB19">
        <v>1</v>
      </c>
      <c r="AC19">
        <f t="shared" si="2"/>
        <v>2335.4339118825101</v>
      </c>
      <c r="AD19">
        <f t="shared" si="3"/>
        <v>100.19999999999999</v>
      </c>
      <c r="AE19">
        <f t="shared" si="4"/>
        <v>-107.75692069425901</v>
      </c>
      <c r="AF19">
        <f t="shared" si="10"/>
        <v>-7.5569206942590199</v>
      </c>
      <c r="AG19">
        <f t="shared" si="7"/>
        <v>-27.608563729417241</v>
      </c>
    </row>
    <row r="20" spans="1:33" ht="15" thickBot="1" x14ac:dyDescent="0.4">
      <c r="A20" s="28">
        <f t="shared" si="13"/>
        <v>2028</v>
      </c>
      <c r="B20" s="6">
        <f t="shared" si="13"/>
        <v>7</v>
      </c>
      <c r="C20" s="6">
        <f>'Rev Rq_Benefits'!C15*$H$2</f>
        <v>722.97225000000003</v>
      </c>
      <c r="D20" s="90">
        <f>'Rev Rq_Benefits'!X15*1000*$H$2</f>
        <v>1735422.9749999999</v>
      </c>
      <c r="E20" s="89">
        <f t="shared" si="14"/>
        <v>8.35</v>
      </c>
      <c r="F20" s="33">
        <f t="shared" si="8"/>
        <v>72441819.450000003</v>
      </c>
      <c r="G20" s="36">
        <f t="shared" si="17"/>
        <v>1.4999999999999999E-2</v>
      </c>
      <c r="H20" s="37">
        <f t="shared" si="15"/>
        <v>-4.2839999999999998</v>
      </c>
      <c r="I20" s="34">
        <f t="shared" si="11"/>
        <v>-74345520.248999983</v>
      </c>
      <c r="J20" s="34"/>
      <c r="K20" s="35">
        <f t="shared" si="9"/>
        <v>-1903700.7989999801</v>
      </c>
      <c r="L20" s="67">
        <f t="shared" si="16"/>
        <v>-1069545.1659749933</v>
      </c>
      <c r="M20" s="4"/>
      <c r="N20" s="35">
        <f>'Rev Rq_Benefits'!N15*$H$2*$AB$2</f>
        <v>105290092.62753862</v>
      </c>
      <c r="O20" s="41">
        <f>IF($S$23="Y",SUM('Rev Rq_Benefits'!Q15:T15)*'Results - C&amp;I and Residential'!$S$24,SUM('Rev Rq_Benefits'!Q15:S15)*'Results - C&amp;I and Residential'!$S$24)*1000000*$H$2</f>
        <v>-61635865.014551327</v>
      </c>
      <c r="R20" s="38" t="s">
        <v>47</v>
      </c>
      <c r="S20" s="51">
        <f>NPV('Rev Rq_Benefits'!A1,'Results - C&amp;I and Residential'!I13:I45)+I12</f>
        <v>-869663140.6025604</v>
      </c>
      <c r="V20">
        <v>13</v>
      </c>
      <c r="W20" s="11">
        <f t="shared" si="0"/>
        <v>8.35</v>
      </c>
      <c r="X20" s="64">
        <f t="shared" si="1"/>
        <v>-4.6829999999999998</v>
      </c>
      <c r="Y20" s="65">
        <f t="shared" si="5"/>
        <v>1.4954486345903684E-2</v>
      </c>
      <c r="Z20" s="65"/>
    </row>
    <row r="21" spans="1:33" x14ac:dyDescent="0.35">
      <c r="A21" s="28">
        <f t="shared" si="13"/>
        <v>2029</v>
      </c>
      <c r="B21" s="6">
        <f t="shared" si="13"/>
        <v>8</v>
      </c>
      <c r="C21" s="6">
        <f>'Rev Rq_Benefits'!C16*$H$2</f>
        <v>722.97225000000003</v>
      </c>
      <c r="D21" s="90">
        <f>'Rev Rq_Benefits'!X16*1000*$H$2</f>
        <v>1722662.37</v>
      </c>
      <c r="E21" s="89">
        <f t="shared" si="14"/>
        <v>8.35</v>
      </c>
      <c r="F21" s="33">
        <f t="shared" si="8"/>
        <v>72441819.450000003</v>
      </c>
      <c r="G21" s="36">
        <f t="shared" si="17"/>
        <v>1.4999999999999999E-2</v>
      </c>
      <c r="H21" s="37">
        <f t="shared" si="15"/>
        <v>-4.3479999999999999</v>
      </c>
      <c r="I21" s="34">
        <f t="shared" si="11"/>
        <v>-74901359.847599998</v>
      </c>
      <c r="J21" s="34"/>
      <c r="K21" s="35">
        <f t="shared" si="9"/>
        <v>-2459540.3975999951</v>
      </c>
      <c r="L21" s="76">
        <f t="shared" si="16"/>
        <v>-3529085.5635749884</v>
      </c>
      <c r="M21" s="4"/>
      <c r="N21" s="35">
        <f>'Rev Rq_Benefits'!N16*$H$2*$AB$2</f>
        <v>102350452.59790368</v>
      </c>
      <c r="O21" s="41">
        <f>IF($S$23="Y",SUM('Rev Rq_Benefits'!Q16:T16)*'Results - C&amp;I and Residential'!$S$24,SUM('Rev Rq_Benefits'!Q16:S16)*'Results - C&amp;I and Residential'!$S$24)*1000000*$H$2</f>
        <v>-70860613.270899534</v>
      </c>
      <c r="R21" s="66"/>
      <c r="V21">
        <v>14</v>
      </c>
      <c r="W21" s="11">
        <f t="shared" si="0"/>
        <v>8.35</v>
      </c>
      <c r="X21" s="64">
        <f t="shared" si="1"/>
        <v>-4.7530000000000001</v>
      </c>
      <c r="Y21" s="65">
        <f t="shared" si="5"/>
        <v>1.4947683109118204E-2</v>
      </c>
      <c r="Z21" s="65"/>
    </row>
    <row r="22" spans="1:33" ht="15" thickBot="1" x14ac:dyDescent="0.4">
      <c r="A22" s="28">
        <f t="shared" si="13"/>
        <v>2030</v>
      </c>
      <c r="B22" s="6">
        <f t="shared" si="13"/>
        <v>9</v>
      </c>
      <c r="C22" s="6">
        <f>'Rev Rq_Benefits'!C17*$H$2</f>
        <v>722.97225000000003</v>
      </c>
      <c r="D22" s="90">
        <f>'Rev Rq_Benefits'!X17*1000*$H$2</f>
        <v>1714052.3400000003</v>
      </c>
      <c r="E22" s="89">
        <f t="shared" si="14"/>
        <v>8.35</v>
      </c>
      <c r="F22" s="33">
        <f t="shared" si="8"/>
        <v>72441819.450000003</v>
      </c>
      <c r="G22" s="36">
        <f t="shared" si="17"/>
        <v>1.4999999999999999E-2</v>
      </c>
      <c r="H22" s="37">
        <f t="shared" si="15"/>
        <v>-4.4130000000000003</v>
      </c>
      <c r="I22" s="34">
        <f t="shared" si="11"/>
        <v>-75641129.764200017</v>
      </c>
      <c r="J22" s="34"/>
      <c r="K22" s="35">
        <f t="shared" si="9"/>
        <v>-3199310.3142000139</v>
      </c>
      <c r="L22" s="35">
        <f t="shared" si="16"/>
        <v>-6728395.8777750023</v>
      </c>
      <c r="M22" s="4"/>
      <c r="N22" s="35">
        <f>'Rev Rq_Benefits'!N17*$H$2*$AB$2</f>
        <v>99870159.57454735</v>
      </c>
      <c r="O22" s="41">
        <f>IF($S$23="Y",SUM('Rev Rq_Benefits'!Q17:T17)*'Results - C&amp;I and Residential'!$S$24,SUM('Rev Rq_Benefits'!Q17:S17)*'Results - C&amp;I and Residential'!$S$24)*1000000*$H$2</f>
        <v>-66367803.537657306</v>
      </c>
      <c r="R22" s="1"/>
      <c r="T22" t="s">
        <v>48</v>
      </c>
      <c r="V22">
        <v>15</v>
      </c>
      <c r="W22" s="11">
        <f t="shared" si="0"/>
        <v>8.35</v>
      </c>
      <c r="X22" s="64">
        <f t="shared" si="1"/>
        <v>-4.8239999999999998</v>
      </c>
      <c r="Y22" s="65">
        <f t="shared" si="5"/>
        <v>1.4937933936461034E-2</v>
      </c>
      <c r="Z22" s="65"/>
    </row>
    <row r="23" spans="1:33" ht="15" thickBot="1" x14ac:dyDescent="0.4">
      <c r="A23" s="28">
        <f t="shared" si="13"/>
        <v>2031</v>
      </c>
      <c r="B23" s="6">
        <f t="shared" si="13"/>
        <v>10</v>
      </c>
      <c r="C23" s="6">
        <f>'Rev Rq_Benefits'!C18*$H$2</f>
        <v>722.97225000000003</v>
      </c>
      <c r="D23" s="90">
        <f>'Rev Rq_Benefits'!X18*1000*$H$2</f>
        <v>1705480.9200000002</v>
      </c>
      <c r="E23" s="89">
        <f t="shared" si="14"/>
        <v>8.35</v>
      </c>
      <c r="F23" s="33">
        <f t="shared" si="8"/>
        <v>72441819.450000003</v>
      </c>
      <c r="G23" s="36">
        <f t="shared" si="17"/>
        <v>1.4999999999999999E-2</v>
      </c>
      <c r="H23" s="37">
        <f t="shared" si="15"/>
        <v>-4.4790000000000001</v>
      </c>
      <c r="I23" s="34">
        <f t="shared" si="11"/>
        <v>-76388490.406800002</v>
      </c>
      <c r="J23" s="34"/>
      <c r="K23" s="35">
        <f t="shared" si="9"/>
        <v>-3946670.9567999989</v>
      </c>
      <c r="L23" s="35">
        <f t="shared" si="16"/>
        <v>-10675066.834575001</v>
      </c>
      <c r="M23" s="4"/>
      <c r="N23" s="35">
        <f>'Rev Rq_Benefits'!N18*$H$2*$AB$2</f>
        <v>97379534.438967153</v>
      </c>
      <c r="O23" s="41">
        <f>IF($S$23="Y",SUM('Rev Rq_Benefits'!Q18:T18)*'Results - C&amp;I and Residential'!$S$24,SUM('Rev Rq_Benefits'!Q18:S18)*'Results - C&amp;I and Residential'!$S$24)*1000000*$H$2</f>
        <v>-77857444.495198727</v>
      </c>
      <c r="R23" s="61" t="s">
        <v>49</v>
      </c>
      <c r="S23" s="57" t="s">
        <v>50</v>
      </c>
      <c r="V23">
        <v>16</v>
      </c>
      <c r="W23" s="11">
        <f t="shared" si="0"/>
        <v>8.35</v>
      </c>
      <c r="X23" s="64">
        <f t="shared" si="1"/>
        <v>-4.8959999999999999</v>
      </c>
      <c r="Y23" s="65">
        <f t="shared" si="5"/>
        <v>1.4925373134328401E-2</v>
      </c>
      <c r="Z23" s="65"/>
    </row>
    <row r="24" spans="1:33" ht="15" thickBot="1" x14ac:dyDescent="0.4">
      <c r="A24" s="28">
        <f t="shared" si="13"/>
        <v>2032</v>
      </c>
      <c r="B24" s="6">
        <f t="shared" si="13"/>
        <v>11</v>
      </c>
      <c r="C24" s="6">
        <f>'Rev Rq_Benefits'!C19*$H$2</f>
        <v>722.97225000000003</v>
      </c>
      <c r="D24" s="90">
        <f>'Rev Rq_Benefits'!X19*1000*$H$2</f>
        <v>1700973.2025000001</v>
      </c>
      <c r="E24" s="89">
        <f t="shared" si="14"/>
        <v>8.35</v>
      </c>
      <c r="F24" s="33">
        <f t="shared" si="8"/>
        <v>72441819.450000003</v>
      </c>
      <c r="G24" s="36">
        <f t="shared" si="17"/>
        <v>1.4999999999999999E-2</v>
      </c>
      <c r="H24" s="37">
        <f t="shared" si="15"/>
        <v>-4.5460000000000003</v>
      </c>
      <c r="I24" s="34">
        <f t="shared" si="11"/>
        <v>-77326241.785650015</v>
      </c>
      <c r="J24" s="34"/>
      <c r="K24" s="35">
        <f t="shared" si="9"/>
        <v>-4884422.3356500119</v>
      </c>
      <c r="L24" s="35">
        <f t="shared" si="16"/>
        <v>-15559489.170225013</v>
      </c>
      <c r="M24" s="4"/>
      <c r="N24" s="35">
        <f>'Rev Rq_Benefits'!N19*$H$2*$AB$2</f>
        <v>95123683.424332157</v>
      </c>
      <c r="O24" s="41">
        <f>IF($S$23="Y",SUM('Rev Rq_Benefits'!Q19:T19)*'Results - C&amp;I and Residential'!$S$24,SUM('Rev Rq_Benefits'!Q19:S19)*'Results - C&amp;I and Residential'!$S$24)*1000000*$H$2</f>
        <v>-75823982.969300628</v>
      </c>
      <c r="R24" s="66" t="s">
        <v>68</v>
      </c>
      <c r="S24" s="122">
        <v>1.0091793</v>
      </c>
      <c r="V24">
        <v>17</v>
      </c>
      <c r="W24" s="11">
        <f t="shared" si="0"/>
        <v>8.35</v>
      </c>
      <c r="X24" s="64">
        <f t="shared" si="1"/>
        <v>-4.9690000000000003</v>
      </c>
      <c r="Y24" s="65">
        <f t="shared" si="5"/>
        <v>1.4910130718954306E-2</v>
      </c>
      <c r="Z24" s="65"/>
    </row>
    <row r="25" spans="1:33" ht="15" thickBot="1" x14ac:dyDescent="0.4">
      <c r="A25" s="28">
        <f t="shared" si="13"/>
        <v>2033</v>
      </c>
      <c r="B25" s="6">
        <f t="shared" si="13"/>
        <v>12</v>
      </c>
      <c r="C25" s="6">
        <f>'Rev Rq_Benefits'!C20*$H$2</f>
        <v>722.97225000000003</v>
      </c>
      <c r="D25" s="90">
        <f>'Rev Rq_Benefits'!X20*1000*$H$2</f>
        <v>1688453.9100000001</v>
      </c>
      <c r="E25" s="89">
        <f t="shared" si="14"/>
        <v>8.35</v>
      </c>
      <c r="F25" s="33">
        <f t="shared" si="8"/>
        <v>72441819.450000003</v>
      </c>
      <c r="G25" s="36">
        <f t="shared" si="17"/>
        <v>1.4999999999999999E-2</v>
      </c>
      <c r="H25" s="37">
        <f t="shared" si="15"/>
        <v>-4.6139999999999999</v>
      </c>
      <c r="I25" s="34">
        <f t="shared" si="11"/>
        <v>-77905263.407400012</v>
      </c>
      <c r="J25" s="34"/>
      <c r="K25" s="35">
        <f t="shared" si="9"/>
        <v>-5463443.957400009</v>
      </c>
      <c r="L25" s="35">
        <f t="shared" si="16"/>
        <v>-21022933.127625022</v>
      </c>
      <c r="M25" s="4"/>
      <c r="N25" s="35">
        <f>'Rev Rq_Benefits'!N20*$H$2*$AB$2</f>
        <v>92929811.287611187</v>
      </c>
      <c r="O25" s="41">
        <f>IF($S$23="Y",SUM('Rev Rq_Benefits'!Q20:T20)*'Results - C&amp;I and Residential'!$S$24,SUM('Rev Rq_Benefits'!Q20:S20)*'Results - C&amp;I and Residential'!$S$24)*1000000*$H$2</f>
        <v>-77234339.828143388</v>
      </c>
      <c r="Q25" s="97" t="s">
        <v>70</v>
      </c>
      <c r="R25" s="87" t="s">
        <v>52</v>
      </c>
      <c r="S25" s="96" t="s">
        <v>53</v>
      </c>
      <c r="V25">
        <v>18</v>
      </c>
      <c r="W25" s="11">
        <f t="shared" si="0"/>
        <v>8.35</v>
      </c>
      <c r="X25" s="64">
        <f t="shared" si="1"/>
        <v>-5.0439999999999996</v>
      </c>
      <c r="Y25" s="65">
        <f t="shared" si="5"/>
        <v>1.5093580197222733E-2</v>
      </c>
      <c r="Z25" s="65"/>
    </row>
    <row r="26" spans="1:33" x14ac:dyDescent="0.35">
      <c r="A26" s="28">
        <f t="shared" si="13"/>
        <v>2034</v>
      </c>
      <c r="B26" s="6">
        <f t="shared" si="13"/>
        <v>13</v>
      </c>
      <c r="C26" s="6">
        <f>'Rev Rq_Benefits'!C21*$H$2</f>
        <v>722.97225000000003</v>
      </c>
      <c r="D26" s="90">
        <f>'Rev Rq_Benefits'!X21*1000*$H$2</f>
        <v>1680027.2775000001</v>
      </c>
      <c r="E26" s="89">
        <f t="shared" si="14"/>
        <v>8.35</v>
      </c>
      <c r="F26" s="33">
        <f t="shared" si="8"/>
        <v>72441819.450000003</v>
      </c>
      <c r="G26" s="36">
        <f t="shared" si="17"/>
        <v>1.4999999999999999E-2</v>
      </c>
      <c r="H26" s="37">
        <f t="shared" si="15"/>
        <v>-4.6829999999999998</v>
      </c>
      <c r="I26" s="34">
        <f t="shared" si="11"/>
        <v>-78675677.405324996</v>
      </c>
      <c r="J26" s="34"/>
      <c r="K26" s="35">
        <f t="shared" si="9"/>
        <v>-6233857.9553249925</v>
      </c>
      <c r="L26" s="35">
        <f t="shared" si="16"/>
        <v>-27256791.082950015</v>
      </c>
      <c r="M26" s="4"/>
      <c r="N26" s="35">
        <f>'Rev Rq_Benefits'!N21*$H$2*$AB$2</f>
        <v>90595160.069508985</v>
      </c>
      <c r="O26" s="41">
        <f>IF($S$23="Y",SUM('Rev Rq_Benefits'!Q21:T21)*'Results - C&amp;I and Residential'!$S$24,SUM('Rev Rq_Benefits'!Q21:S21)*'Results - C&amp;I and Residential'!$S$24)*1000000*$H$2</f>
        <v>-83980454.733276352</v>
      </c>
      <c r="R26" s="66"/>
      <c r="V26">
        <v>19</v>
      </c>
      <c r="W26" s="11">
        <f t="shared" si="0"/>
        <v>8.35</v>
      </c>
      <c r="X26" s="64">
        <f t="shared" si="1"/>
        <v>-5.12</v>
      </c>
      <c r="Y26" s="65">
        <f t="shared" si="5"/>
        <v>1.5067406819984308E-2</v>
      </c>
      <c r="Z26" s="65"/>
    </row>
    <row r="27" spans="1:33" x14ac:dyDescent="0.35">
      <c r="A27" s="28">
        <f t="shared" si="13"/>
        <v>2035</v>
      </c>
      <c r="B27" s="6">
        <f t="shared" si="13"/>
        <v>14</v>
      </c>
      <c r="C27" s="6">
        <f>'Rev Rq_Benefits'!C22*$H$2</f>
        <v>722.97225000000003</v>
      </c>
      <c r="D27" s="90">
        <f>'Rev Rq_Benefits'!X22*1000*$H$2</f>
        <v>1671639.2550000001</v>
      </c>
      <c r="E27" s="89">
        <f t="shared" si="14"/>
        <v>8.35</v>
      </c>
      <c r="F27" s="33">
        <f t="shared" si="8"/>
        <v>72441819.450000003</v>
      </c>
      <c r="G27" s="36">
        <f t="shared" si="17"/>
        <v>1.4999999999999999E-2</v>
      </c>
      <c r="H27" s="37">
        <f t="shared" si="15"/>
        <v>-4.7530000000000001</v>
      </c>
      <c r="I27" s="34">
        <f t="shared" si="11"/>
        <v>-79453013.790150002</v>
      </c>
      <c r="J27" s="34"/>
      <c r="K27" s="35">
        <f t="shared" si="9"/>
        <v>-7011194.3401499987</v>
      </c>
      <c r="L27" s="35">
        <f t="shared" si="16"/>
        <v>-34267985.42310001</v>
      </c>
      <c r="M27" s="4"/>
      <c r="N27" s="35">
        <f>'Rev Rq_Benefits'!N22*$H$2*$AB$2</f>
        <v>88403131.001825199</v>
      </c>
      <c r="O27" s="41">
        <f>IF($S$23="Y",SUM('Rev Rq_Benefits'!Q22:T22)*'Results - C&amp;I and Residential'!$S$24,SUM('Rev Rq_Benefits'!Q22:S22)*'Results - C&amp;I and Residential'!$S$24)*1000000*$H$2</f>
        <v>-82534935.414237767</v>
      </c>
      <c r="R27" s="66"/>
      <c r="V27">
        <v>20</v>
      </c>
      <c r="W27" s="11">
        <f t="shared" si="0"/>
        <v>8.35</v>
      </c>
      <c r="X27" s="64">
        <f t="shared" si="1"/>
        <v>-5.1970000000000001</v>
      </c>
      <c r="Y27" s="65">
        <f t="shared" si="5"/>
        <v>1.5039062500000089E-2</v>
      </c>
      <c r="Z27" s="65"/>
    </row>
    <row r="28" spans="1:33" x14ac:dyDescent="0.35">
      <c r="A28" s="28">
        <f t="shared" si="13"/>
        <v>2036</v>
      </c>
      <c r="B28" s="6">
        <f t="shared" si="13"/>
        <v>15</v>
      </c>
      <c r="C28" s="6">
        <f>'Rev Rq_Benefits'!C23*$H$2</f>
        <v>722.97225000000003</v>
      </c>
      <c r="D28" s="90">
        <f>'Rev Rq_Benefits'!X23*1000*$H$2</f>
        <v>1667228.0625</v>
      </c>
      <c r="E28" s="89">
        <f t="shared" si="14"/>
        <v>8.35</v>
      </c>
      <c r="F28" s="33">
        <f t="shared" si="8"/>
        <v>72441819.450000003</v>
      </c>
      <c r="G28" s="36">
        <f t="shared" si="17"/>
        <v>1.4999999999999999E-2</v>
      </c>
      <c r="H28" s="37">
        <f t="shared" si="15"/>
        <v>-4.8239999999999998</v>
      </c>
      <c r="I28" s="34">
        <f t="shared" si="11"/>
        <v>-80427081.734999999</v>
      </c>
      <c r="J28" s="34"/>
      <c r="K28" s="35">
        <f t="shared" si="9"/>
        <v>-7985262.2849999964</v>
      </c>
      <c r="L28" s="35">
        <f t="shared" si="16"/>
        <v>-42253247.708100006</v>
      </c>
      <c r="M28" s="4"/>
      <c r="N28" s="35">
        <f>'Rev Rq_Benefits'!N23*$H$2*$AB$2</f>
        <v>86269794.877559349</v>
      </c>
      <c r="O28" s="41">
        <f>IF($S$23="Y",SUM('Rev Rq_Benefits'!Q23:T23)*'Results - C&amp;I and Residential'!$S$24,SUM('Rev Rq_Benefits'!Q23:S23)*'Results - C&amp;I and Residential'!$S$24)*1000000*$H$2</f>
        <v>-81905913.416637644</v>
      </c>
      <c r="R28" s="107" t="s">
        <v>80</v>
      </c>
      <c r="S28" s="107" t="s">
        <v>84</v>
      </c>
      <c r="T28" s="86" t="s">
        <v>79</v>
      </c>
      <c r="V28">
        <v>21</v>
      </c>
      <c r="W28" s="11">
        <f t="shared" si="0"/>
        <v>8.35</v>
      </c>
      <c r="X28" s="64">
        <f t="shared" si="1"/>
        <v>-5.2750000000000004</v>
      </c>
      <c r="Y28" s="65">
        <f t="shared" si="5"/>
        <v>1.5008658841639377E-2</v>
      </c>
      <c r="Z28" s="65"/>
    </row>
    <row r="29" spans="1:33" x14ac:dyDescent="0.35">
      <c r="A29" s="28">
        <f t="shared" si="13"/>
        <v>2037</v>
      </c>
      <c r="B29" s="6">
        <f t="shared" si="13"/>
        <v>16</v>
      </c>
      <c r="C29" s="6">
        <f>'Rev Rq_Benefits'!C24*$H$2</f>
        <v>722.97225000000003</v>
      </c>
      <c r="D29" s="90">
        <f>'Rev Rq_Benefits'!X24*1000*$H$2</f>
        <v>1654969.3875000004</v>
      </c>
      <c r="E29" s="89">
        <f t="shared" si="14"/>
        <v>8.35</v>
      </c>
      <c r="F29" s="33">
        <f t="shared" si="8"/>
        <v>72441819.450000003</v>
      </c>
      <c r="G29" s="36">
        <f t="shared" si="17"/>
        <v>1.4999999999999999E-2</v>
      </c>
      <c r="H29" s="37">
        <f t="shared" si="15"/>
        <v>-4.8959999999999999</v>
      </c>
      <c r="I29" s="34">
        <f t="shared" si="11"/>
        <v>-81027301.212000012</v>
      </c>
      <c r="J29" s="34"/>
      <c r="K29" s="35">
        <f t="shared" si="9"/>
        <v>-8585481.7620000094</v>
      </c>
      <c r="L29" s="35">
        <f t="shared" si="16"/>
        <v>-50838729.470100015</v>
      </c>
      <c r="M29" s="4"/>
      <c r="N29" s="35">
        <f>'Rev Rq_Benefits'!N24*$H$2*$AB$2</f>
        <v>84036323.267980203</v>
      </c>
      <c r="O29" s="41">
        <f>IF($S$23="Y",SUM('Rev Rq_Benefits'!Q24:T24)*'Results - C&amp;I and Residential'!$S$24,SUM('Rev Rq_Benefits'!Q24:S24)*'Results - C&amp;I and Residential'!$S$24)*1000000*$H$2</f>
        <v>-88051672.832289621</v>
      </c>
      <c r="R29" s="66" t="s">
        <v>2</v>
      </c>
      <c r="S29" s="12">
        <f>S8/1000000*H2</f>
        <v>341.17608486774026</v>
      </c>
      <c r="T29" s="105">
        <f>S29/$S$34</f>
        <v>0.21034776848444892</v>
      </c>
      <c r="V29">
        <v>22</v>
      </c>
      <c r="W29" s="11">
        <f t="shared" si="0"/>
        <v>8.35</v>
      </c>
      <c r="X29" s="64">
        <f t="shared" si="1"/>
        <v>-5.3540000000000001</v>
      </c>
      <c r="Y29" s="65">
        <f t="shared" si="5"/>
        <v>1.4976303317535411E-2</v>
      </c>
      <c r="Z29" s="65"/>
    </row>
    <row r="30" spans="1:33" x14ac:dyDescent="0.35">
      <c r="A30" s="28">
        <f t="shared" ref="A30:B46" si="18">A29+1</f>
        <v>2038</v>
      </c>
      <c r="B30" s="6">
        <f t="shared" si="18"/>
        <v>17</v>
      </c>
      <c r="C30" s="6">
        <f>'Rev Rq_Benefits'!C25*$H$2</f>
        <v>722.97225000000003</v>
      </c>
      <c r="D30" s="90">
        <f>'Rev Rq_Benefits'!X25*1000*$H$2</f>
        <v>1646687.5425</v>
      </c>
      <c r="E30" s="89">
        <f t="shared" si="14"/>
        <v>8.35</v>
      </c>
      <c r="F30" s="33">
        <f t="shared" si="8"/>
        <v>72441819.450000003</v>
      </c>
      <c r="G30" s="36">
        <f t="shared" si="17"/>
        <v>1.4999999999999999E-2</v>
      </c>
      <c r="H30" s="37">
        <f t="shared" si="15"/>
        <v>-4.9690000000000003</v>
      </c>
      <c r="I30" s="34">
        <f t="shared" si="11"/>
        <v>-81823903.986825004</v>
      </c>
      <c r="J30" s="34"/>
      <c r="K30" s="35">
        <f t="shared" si="9"/>
        <v>-9382084.5368250012</v>
      </c>
      <c r="L30" s="35">
        <f t="shared" si="16"/>
        <v>-60220814.006925017</v>
      </c>
      <c r="M30" s="4"/>
      <c r="N30" s="35">
        <f>'Rev Rq_Benefits'!N25*$H$2*$AB$2</f>
        <v>87822766.571916416</v>
      </c>
      <c r="O30" s="41">
        <f>IF($S$23="Y",SUM('Rev Rq_Benefits'!Q25:T25)*'Results - C&amp;I and Residential'!$S$24,SUM('Rev Rq_Benefits'!Q25:S25)*'Results - C&amp;I and Residential'!$S$24)*1000000*$H$2</f>
        <v>-94332404.97378926</v>
      </c>
      <c r="R30" s="63" t="s">
        <v>18</v>
      </c>
      <c r="S30" s="12">
        <f>-'Rev Rq_Benefits'!Q42*H2</f>
        <v>798.14264090564222</v>
      </c>
      <c r="T30" s="105">
        <f t="shared" ref="T30:T33" si="19">S30/$S$34</f>
        <v>0.49208467677876566</v>
      </c>
      <c r="V30">
        <v>23</v>
      </c>
      <c r="W30" s="11">
        <f t="shared" si="0"/>
        <v>8.35</v>
      </c>
      <c r="X30" s="64">
        <f t="shared" si="1"/>
        <v>-5.4340000000000002</v>
      </c>
      <c r="Y30" s="65">
        <f t="shared" si="5"/>
        <v>1.4942099364960715E-2</v>
      </c>
      <c r="Z30" s="65"/>
    </row>
    <row r="31" spans="1:33" x14ac:dyDescent="0.35">
      <c r="A31" s="28">
        <f t="shared" si="18"/>
        <v>2039</v>
      </c>
      <c r="B31" s="6">
        <f t="shared" si="18"/>
        <v>18</v>
      </c>
      <c r="C31" s="6">
        <f>'Rev Rq_Benefits'!C26*$H$2</f>
        <v>722.97225000000003</v>
      </c>
      <c r="D31" s="90">
        <f>'Rev Rq_Benefits'!X26*1000*$H$2</f>
        <v>1638453.9600000002</v>
      </c>
      <c r="E31" s="89">
        <f t="shared" si="14"/>
        <v>8.35</v>
      </c>
      <c r="F31" s="33">
        <f t="shared" si="8"/>
        <v>72441819.450000003</v>
      </c>
      <c r="G31" s="36">
        <f t="shared" si="17"/>
        <v>1.4999999999999999E-2</v>
      </c>
      <c r="H31" s="37">
        <f t="shared" si="15"/>
        <v>-5.0439999999999996</v>
      </c>
      <c r="I31" s="34">
        <f t="shared" si="11"/>
        <v>-82643617.742399991</v>
      </c>
      <c r="J31" s="34"/>
      <c r="K31" s="35">
        <f t="shared" si="9"/>
        <v>-10201798.292399988</v>
      </c>
      <c r="L31" s="35">
        <f t="shared" si="16"/>
        <v>-70422612.299325004</v>
      </c>
      <c r="M31" s="4"/>
      <c r="N31" s="35">
        <f>'Rev Rq_Benefits'!N26*$H$2*$AB$2</f>
        <v>85176996.680291906</v>
      </c>
      <c r="O31" s="41">
        <f>IF($S$23="Y",SUM('Rev Rq_Benefits'!Q26:T26)*'Results - C&amp;I and Residential'!$S$24,SUM('Rev Rq_Benefits'!Q26:S26)*'Results - C&amp;I and Residential'!$S$24)*1000000*$H$2</f>
        <v>-99268192.738499999</v>
      </c>
      <c r="R31" s="66" t="s">
        <v>71</v>
      </c>
      <c r="S31" s="12">
        <f>-'Rev Rq_Benefits'!R42*H2</f>
        <v>62.309335861880356</v>
      </c>
      <c r="T31" s="105">
        <f t="shared" si="19"/>
        <v>3.8416027194214018E-2</v>
      </c>
      <c r="V31">
        <v>24</v>
      </c>
      <c r="W31" s="11">
        <f t="shared" si="0"/>
        <v>8.35</v>
      </c>
      <c r="X31" s="64">
        <f t="shared" si="1"/>
        <v>-5.516</v>
      </c>
      <c r="Y31" s="65">
        <f t="shared" si="5"/>
        <v>1.5090172984909778E-2</v>
      </c>
      <c r="Z31" s="65"/>
    </row>
    <row r="32" spans="1:33" x14ac:dyDescent="0.35">
      <c r="A32" s="28">
        <f t="shared" si="18"/>
        <v>2040</v>
      </c>
      <c r="B32" s="6">
        <f t="shared" si="18"/>
        <v>19</v>
      </c>
      <c r="C32" s="6">
        <f>'Rev Rq_Benefits'!C27*$H$2</f>
        <v>722.97225000000003</v>
      </c>
      <c r="D32" s="90">
        <f>'Rev Rq_Benefits'!X27*1000*$H$2</f>
        <v>1634139.2924999997</v>
      </c>
      <c r="E32" s="89">
        <f t="shared" si="14"/>
        <v>8.35</v>
      </c>
      <c r="F32" s="33">
        <f t="shared" si="8"/>
        <v>72441819.450000003</v>
      </c>
      <c r="G32" s="36">
        <f t="shared" si="17"/>
        <v>1.4999999999999999E-2</v>
      </c>
      <c r="H32" s="37">
        <f t="shared" si="15"/>
        <v>-5.12</v>
      </c>
      <c r="I32" s="34">
        <f t="shared" si="11"/>
        <v>-83667931.775999993</v>
      </c>
      <c r="J32" s="34"/>
      <c r="K32" s="35">
        <f t="shared" si="9"/>
        <v>-11226112.32599999</v>
      </c>
      <c r="L32" s="35">
        <f t="shared" si="16"/>
        <v>-81648724.625324994</v>
      </c>
      <c r="M32" s="4"/>
      <c r="N32" s="35">
        <f>'Rev Rq_Benefits'!N27*$H$2*$AB$2</f>
        <v>82422627.658705398</v>
      </c>
      <c r="O32" s="41">
        <f>IF($S$23="Y",SUM('Rev Rq_Benefits'!Q27:T27)*'Results - C&amp;I and Residential'!$S$24,SUM('Rev Rq_Benefits'!Q27:S27)*'Results - C&amp;I and Residential'!$S$24)*1000000*$H$2</f>
        <v>-103145892.13325715</v>
      </c>
      <c r="R32" s="66" t="s">
        <v>72</v>
      </c>
      <c r="S32" s="13">
        <f>-'Rev Rq_Benefits'!S42*H2</f>
        <v>1.3009506009849747</v>
      </c>
      <c r="T32" s="105">
        <f t="shared" si="19"/>
        <v>8.0208451870762178E-4</v>
      </c>
      <c r="V32">
        <v>25</v>
      </c>
      <c r="W32" s="11">
        <f t="shared" si="0"/>
        <v>8.35</v>
      </c>
      <c r="X32" s="64">
        <f t="shared" si="1"/>
        <v>-5.5990000000000002</v>
      </c>
      <c r="Y32" s="65">
        <f t="shared" si="5"/>
        <v>1.5047135605511297E-2</v>
      </c>
      <c r="Z32" s="65"/>
    </row>
    <row r="33" spans="1:26" x14ac:dyDescent="0.35">
      <c r="A33" s="28">
        <f t="shared" si="18"/>
        <v>2041</v>
      </c>
      <c r="B33" s="6">
        <f t="shared" si="18"/>
        <v>20</v>
      </c>
      <c r="C33" s="6">
        <f>'Rev Rq_Benefits'!C28*$H$2</f>
        <v>722.97225000000003</v>
      </c>
      <c r="D33" s="90">
        <f>'Rev Rq_Benefits'!X28*1000*$H$2</f>
        <v>1622102.625</v>
      </c>
      <c r="E33" s="89">
        <f t="shared" si="14"/>
        <v>8.35</v>
      </c>
      <c r="F33" s="33">
        <f t="shared" si="8"/>
        <v>72441819.450000003</v>
      </c>
      <c r="G33" s="36">
        <f t="shared" si="17"/>
        <v>1.4999999999999999E-2</v>
      </c>
      <c r="H33" s="37">
        <f t="shared" si="15"/>
        <v>-5.1970000000000001</v>
      </c>
      <c r="I33" s="34">
        <f t="shared" si="11"/>
        <v>-84300673.421250001</v>
      </c>
      <c r="J33" s="34"/>
      <c r="K33" s="35">
        <f t="shared" si="9"/>
        <v>-11858853.971249998</v>
      </c>
      <c r="L33" s="35">
        <f t="shared" si="16"/>
        <v>-93507578.596574992</v>
      </c>
      <c r="M33" s="4"/>
      <c r="N33" s="35">
        <f>'Rev Rq_Benefits'!N28*$H$2*$AB$2</f>
        <v>79750674.773843691</v>
      </c>
      <c r="O33" s="41">
        <f>IF($S$23="Y",SUM('Rev Rq_Benefits'!Q28:T28)*'Results - C&amp;I and Residential'!$S$24,SUM('Rev Rq_Benefits'!Q28:S28)*'Results - C&amp;I and Residential'!$S$24)*1000000*$H$2</f>
        <v>-105929577.96948108</v>
      </c>
      <c r="R33" s="66" t="s">
        <v>21</v>
      </c>
      <c r="S33" s="13">
        <f>-'Rev Rq_Benefits'!T42*H2</f>
        <v>419.0329763596211</v>
      </c>
      <c r="T33" s="105">
        <f t="shared" si="19"/>
        <v>0.25834944302386365</v>
      </c>
      <c r="V33">
        <v>26</v>
      </c>
      <c r="W33" s="11">
        <f t="shared" si="0"/>
        <v>8.35</v>
      </c>
      <c r="X33" s="64">
        <f t="shared" si="1"/>
        <v>-5.6829999999999998</v>
      </c>
      <c r="Y33" s="65">
        <f t="shared" si="5"/>
        <v>1.5002679049830325E-2</v>
      </c>
      <c r="Z33" s="65"/>
    </row>
    <row r="34" spans="1:26" x14ac:dyDescent="0.35">
      <c r="A34" s="28">
        <f t="shared" si="18"/>
        <v>2042</v>
      </c>
      <c r="B34" s="6">
        <f t="shared" si="18"/>
        <v>21</v>
      </c>
      <c r="C34" s="6">
        <f>'Rev Rq_Benefits'!C29*$H$2</f>
        <v>722.97225000000003</v>
      </c>
      <c r="D34" s="90">
        <f>'Rev Rq_Benefits'!X29*1000*$H$2</f>
        <v>1613984.8725000001</v>
      </c>
      <c r="E34" s="89">
        <f t="shared" si="14"/>
        <v>8.35</v>
      </c>
      <c r="F34" s="33">
        <f t="shared" si="8"/>
        <v>72441819.450000003</v>
      </c>
      <c r="G34" s="36">
        <f t="shared" si="17"/>
        <v>1.4999999999999999E-2</v>
      </c>
      <c r="H34" s="37">
        <f t="shared" si="15"/>
        <v>-5.2750000000000004</v>
      </c>
      <c r="I34" s="34">
        <f t="shared" si="11"/>
        <v>-85137702.024375007</v>
      </c>
      <c r="J34" s="34"/>
      <c r="K34" s="35">
        <f t="shared" si="9"/>
        <v>-12695882.574375004</v>
      </c>
      <c r="L34" s="35">
        <f t="shared" si="16"/>
        <v>-106203461.17095</v>
      </c>
      <c r="M34" s="4"/>
      <c r="N34" s="35">
        <f>'Rev Rq_Benefits'!N29*$H$2*$AB$2</f>
        <v>77331343.475588202</v>
      </c>
      <c r="O34" s="41">
        <f>IF($S$23="Y",SUM('Rev Rq_Benefits'!Q29:T29)*'Results - C&amp;I and Residential'!$S$24,SUM('Rev Rq_Benefits'!Q29:S29)*'Results - C&amp;I and Residential'!$S$24)*1000000*$H$2</f>
        <v>-104867768.49810699</v>
      </c>
      <c r="R34" s="66" t="s">
        <v>17</v>
      </c>
      <c r="S34" s="12">
        <f>SUM(S29:S33)</f>
        <v>1621.9619885958691</v>
      </c>
      <c r="T34" s="105"/>
      <c r="V34">
        <v>27</v>
      </c>
      <c r="W34" s="11">
        <f t="shared" si="0"/>
        <v>8.35</v>
      </c>
      <c r="X34" s="64">
        <f t="shared" si="1"/>
        <v>-5.7679999999999998</v>
      </c>
      <c r="Y34" s="65">
        <f t="shared" si="5"/>
        <v>1.4956888967094795E-2</v>
      </c>
      <c r="Z34" s="65"/>
    </row>
    <row r="35" spans="1:26" x14ac:dyDescent="0.35">
      <c r="A35" s="28">
        <f t="shared" si="18"/>
        <v>2043</v>
      </c>
      <c r="B35" s="6">
        <f t="shared" si="18"/>
        <v>22</v>
      </c>
      <c r="C35" s="6">
        <f>'Rev Rq_Benefits'!C30*$H$2</f>
        <v>722.97225000000003</v>
      </c>
      <c r="D35" s="90">
        <f>'Rev Rq_Benefits'!X30*1000*$H$2</f>
        <v>1605915.3825000001</v>
      </c>
      <c r="E35" s="89">
        <f t="shared" si="14"/>
        <v>8.35</v>
      </c>
      <c r="F35" s="33">
        <f t="shared" si="8"/>
        <v>72441819.450000003</v>
      </c>
      <c r="G35" s="36">
        <f t="shared" si="17"/>
        <v>1.4999999999999999E-2</v>
      </c>
      <c r="H35" s="37">
        <f t="shared" si="15"/>
        <v>-5.3540000000000001</v>
      </c>
      <c r="I35" s="34">
        <f t="shared" si="11"/>
        <v>-85980709.579050004</v>
      </c>
      <c r="J35" s="34"/>
      <c r="K35" s="35">
        <f t="shared" si="9"/>
        <v>-13538890.129050002</v>
      </c>
      <c r="L35" s="35">
        <f t="shared" si="16"/>
        <v>-119742351.3</v>
      </c>
      <c r="M35" s="4"/>
      <c r="N35" s="35">
        <f>'Rev Rq_Benefits'!N30*$H$2*$AB$2</f>
        <v>75038549.683914557</v>
      </c>
      <c r="O35" s="41">
        <f>IF($S$23="Y",SUM('Rev Rq_Benefits'!Q30:T30)*'Results - C&amp;I and Residential'!$S$24,SUM('Rev Rq_Benefits'!Q30:S30)*'Results - C&amp;I and Residential'!$S$24)*1000000*$H$2</f>
        <v>-110554497.9079845</v>
      </c>
      <c r="R35" s="66"/>
      <c r="T35" s="105"/>
      <c r="V35">
        <v>28</v>
      </c>
      <c r="W35" s="11">
        <f t="shared" si="0"/>
        <v>8.35</v>
      </c>
      <c r="X35" s="64">
        <f t="shared" si="1"/>
        <v>-5.8550000000000004</v>
      </c>
      <c r="Y35" s="65">
        <f t="shared" si="5"/>
        <v>1.5083217753120826E-2</v>
      </c>
      <c r="Z35" s="65"/>
    </row>
    <row r="36" spans="1:26" x14ac:dyDescent="0.35">
      <c r="A36" s="28">
        <f t="shared" si="18"/>
        <v>2044</v>
      </c>
      <c r="B36" s="6">
        <f t="shared" si="18"/>
        <v>23</v>
      </c>
      <c r="C36" s="6">
        <f>'Rev Rq_Benefits'!C31*$H$2</f>
        <v>722.97225000000003</v>
      </c>
      <c r="D36" s="90">
        <f>'Rev Rq_Benefits'!X31*1000*$H$2</f>
        <v>1601697.2400000002</v>
      </c>
      <c r="E36" s="89">
        <f t="shared" si="14"/>
        <v>8.35</v>
      </c>
      <c r="F36" s="33">
        <f t="shared" si="8"/>
        <v>72441819.450000003</v>
      </c>
      <c r="G36" s="36">
        <f t="shared" si="17"/>
        <v>1.4999999999999999E-2</v>
      </c>
      <c r="H36" s="37">
        <f t="shared" si="15"/>
        <v>-5.4340000000000002</v>
      </c>
      <c r="I36" s="34">
        <f t="shared" si="11"/>
        <v>-87036228.021600023</v>
      </c>
      <c r="J36" s="34"/>
      <c r="K36" s="35">
        <f t="shared" si="9"/>
        <v>-14594408.57160002</v>
      </c>
      <c r="L36" s="35">
        <f t="shared" si="16"/>
        <v>-134336759.87160003</v>
      </c>
      <c r="M36" s="4"/>
      <c r="N36" s="35">
        <f>'Rev Rq_Benefits'!N31*$H$2*$AB$2</f>
        <v>72860821.346464038</v>
      </c>
      <c r="O36" s="41">
        <f>IF($S$23="Y",SUM('Rev Rq_Benefits'!Q31:T31)*'Results - C&amp;I and Residential'!$S$24,SUM('Rev Rq_Benefits'!Q31:S31)*'Results - C&amp;I and Residential'!$S$24)*1000000*$H$2</f>
        <v>-107277415.45391837</v>
      </c>
      <c r="R36" s="107" t="s">
        <v>81</v>
      </c>
      <c r="T36" s="105"/>
      <c r="V36">
        <v>29</v>
      </c>
      <c r="W36" s="11">
        <f t="shared" si="0"/>
        <v>8.35</v>
      </c>
      <c r="X36" s="64">
        <f t="shared" si="1"/>
        <v>-5.9429999999999996</v>
      </c>
      <c r="Y36" s="65">
        <f t="shared" si="5"/>
        <v>1.5029888983774331E-2</v>
      </c>
      <c r="Z36" s="65"/>
    </row>
    <row r="37" spans="1:26" x14ac:dyDescent="0.35">
      <c r="A37" s="28">
        <f t="shared" si="18"/>
        <v>2045</v>
      </c>
      <c r="B37" s="6">
        <f t="shared" si="18"/>
        <v>24</v>
      </c>
      <c r="C37" s="6">
        <f>'Rev Rq_Benefits'!C32*$H$2</f>
        <v>722.97225000000003</v>
      </c>
      <c r="D37" s="90">
        <f>'Rev Rq_Benefits'!X32*1000*$H$2</f>
        <v>1589921.1900000002</v>
      </c>
      <c r="E37" s="89">
        <f t="shared" si="14"/>
        <v>8.35</v>
      </c>
      <c r="F37" s="33">
        <f t="shared" si="8"/>
        <v>72441819.450000003</v>
      </c>
      <c r="G37" s="36">
        <f t="shared" si="17"/>
        <v>1.4999999999999999E-2</v>
      </c>
      <c r="H37" s="37">
        <f t="shared" si="15"/>
        <v>-5.516</v>
      </c>
      <c r="I37" s="34">
        <f t="shared" si="11"/>
        <v>-87700052.84040001</v>
      </c>
      <c r="J37" s="34"/>
      <c r="K37" s="35">
        <f t="shared" si="9"/>
        <v>-15258233.390400007</v>
      </c>
      <c r="L37" s="35">
        <f t="shared" si="16"/>
        <v>-149594993.26200002</v>
      </c>
      <c r="M37" s="4"/>
      <c r="N37" s="35">
        <f>'Rev Rq_Benefits'!N32*$H$2*$AB$2</f>
        <v>70671452.286458805</v>
      </c>
      <c r="O37" s="41">
        <f>IF($S$23="Y",SUM('Rev Rq_Benefits'!Q32:T32)*'Results - C&amp;I and Residential'!$S$24,SUM('Rev Rq_Benefits'!Q32:S32)*'Results - C&amp;I and Residential'!$S$24)*1000000*$H$2</f>
        <v>-116380495.87021796</v>
      </c>
      <c r="R37" s="66" t="s">
        <v>73</v>
      </c>
      <c r="S37" s="13">
        <f>S39-S38</f>
        <v>1100.6729189683726</v>
      </c>
      <c r="T37" s="105">
        <f>S37/$S$39</f>
        <v>0.99361706567544272</v>
      </c>
      <c r="V37">
        <v>30</v>
      </c>
      <c r="W37" s="11">
        <f t="shared" si="0"/>
        <v>8.35</v>
      </c>
      <c r="X37" s="64">
        <f t="shared" si="1"/>
        <v>-6.032</v>
      </c>
      <c r="Y37" s="65">
        <f t="shared" si="5"/>
        <v>1.4975601548039785E-2</v>
      </c>
      <c r="Z37" s="65"/>
    </row>
    <row r="38" spans="1:26" x14ac:dyDescent="0.35">
      <c r="A38" s="28">
        <f t="shared" si="18"/>
        <v>2046</v>
      </c>
      <c r="B38" s="6">
        <f t="shared" si="18"/>
        <v>25</v>
      </c>
      <c r="C38" s="6">
        <f>'Rev Rq_Benefits'!C33*$H$2</f>
        <v>722.97225000000003</v>
      </c>
      <c r="D38" s="90">
        <f>'Rev Rq_Benefits'!X33*1000*$H$2</f>
        <v>1581967.53</v>
      </c>
      <c r="E38" s="89">
        <f t="shared" si="14"/>
        <v>8.35</v>
      </c>
      <c r="F38" s="33">
        <f t="shared" si="8"/>
        <v>72441819.450000003</v>
      </c>
      <c r="G38" s="36">
        <f t="shared" si="17"/>
        <v>1.4999999999999999E-2</v>
      </c>
      <c r="H38" s="37">
        <f t="shared" si="15"/>
        <v>-5.5990000000000002</v>
      </c>
      <c r="I38" s="34">
        <f t="shared" si="11"/>
        <v>-88574362.004700005</v>
      </c>
      <c r="J38" s="34"/>
      <c r="K38" s="35">
        <f t="shared" si="9"/>
        <v>-16132542.554700002</v>
      </c>
      <c r="L38" s="35">
        <f t="shared" si="16"/>
        <v>-165727535.81670004</v>
      </c>
      <c r="M38" s="4"/>
      <c r="N38" s="35">
        <f>'Rev Rq_Benefits'!N33*$H$2*$AB$2</f>
        <v>68537523.807136759</v>
      </c>
      <c r="O38" s="41">
        <f>IF($S$23="Y",SUM('Rev Rq_Benefits'!Q33:T33)*'Results - C&amp;I and Residential'!$S$24,SUM('Rev Rq_Benefits'!Q33:S33)*'Results - C&amp;I and Residential'!$S$24)*1000000*$H$2</f>
        <v>-117804995.83678499</v>
      </c>
      <c r="R38" s="66" t="s">
        <v>74</v>
      </c>
      <c r="S38" s="13">
        <f>NPV('Rev Rq_Benefits'!A1,'Rev Rq_Benefits'!M8:M41)/1000000*H2</f>
        <v>7.0706544777570128</v>
      </c>
      <c r="T38" s="105">
        <f>S38/$S$39</f>
        <v>6.3829343245572559E-3</v>
      </c>
      <c r="V38">
        <v>31</v>
      </c>
      <c r="W38" s="11">
        <f t="shared" ref="W38:W39" si="20">E44</f>
        <v>8.35</v>
      </c>
      <c r="X38" s="64">
        <f t="shared" ref="X38:X39" si="21">H44</f>
        <v>-6.032</v>
      </c>
      <c r="Y38" s="65">
        <f t="shared" ref="Y38:Y39" si="22">X38/X37-1</f>
        <v>0</v>
      </c>
      <c r="Z38" s="65"/>
    </row>
    <row r="39" spans="1:26" x14ac:dyDescent="0.35">
      <c r="A39" s="28">
        <f t="shared" si="18"/>
        <v>2047</v>
      </c>
      <c r="B39" s="6">
        <f t="shared" si="18"/>
        <v>26</v>
      </c>
      <c r="C39" s="6">
        <f>'Rev Rq_Benefits'!C34*$H$2</f>
        <v>722.97225000000003</v>
      </c>
      <c r="D39" s="90">
        <f>'Rev Rq_Benefits'!X34*1000*$H$2</f>
        <v>1574062.1325000001</v>
      </c>
      <c r="E39" s="89">
        <f t="shared" si="14"/>
        <v>8.35</v>
      </c>
      <c r="F39" s="33">
        <f t="shared" si="8"/>
        <v>72441819.450000003</v>
      </c>
      <c r="G39" s="36">
        <f t="shared" si="17"/>
        <v>1.4999999999999999E-2</v>
      </c>
      <c r="H39" s="37">
        <f t="shared" si="15"/>
        <v>-5.6829999999999998</v>
      </c>
      <c r="I39" s="34">
        <f t="shared" si="11"/>
        <v>-89453950.98997499</v>
      </c>
      <c r="J39" s="34"/>
      <c r="K39" s="35">
        <f t="shared" si="9"/>
        <v>-17012131.539974988</v>
      </c>
      <c r="L39" s="35">
        <f t="shared" si="16"/>
        <v>-182739667.35667503</v>
      </c>
      <c r="M39" s="4"/>
      <c r="N39" s="35">
        <f>'Rev Rq_Benefits'!N34*$H$2*$AB$2</f>
        <v>66483912.603223681</v>
      </c>
      <c r="O39" s="41">
        <f>IF($S$23="Y",SUM('Rev Rq_Benefits'!Q34:T34)*'Results - C&amp;I and Residential'!$S$24,SUM('Rev Rq_Benefits'!Q34:S34)*'Results - C&amp;I and Residential'!$S$24)*1000000*$H$2</f>
        <v>-112577530.21915816</v>
      </c>
      <c r="Q39" s="13"/>
      <c r="R39" s="66" t="s">
        <v>17</v>
      </c>
      <c r="S39" s="13">
        <f>NPV('Rev Rq_Benefits'!A1,N13:N45)/1000000</f>
        <v>1107.7435734461296</v>
      </c>
      <c r="T39" s="105"/>
      <c r="V39">
        <v>32</v>
      </c>
      <c r="W39" s="11">
        <f t="shared" si="20"/>
        <v>8.35</v>
      </c>
      <c r="X39" s="64">
        <f t="shared" si="21"/>
        <v>-6.032</v>
      </c>
      <c r="Y39" s="65">
        <f t="shared" si="22"/>
        <v>0</v>
      </c>
      <c r="Z39" s="65"/>
    </row>
    <row r="40" spans="1:26" x14ac:dyDescent="0.35">
      <c r="A40" s="28">
        <f t="shared" si="18"/>
        <v>2048</v>
      </c>
      <c r="B40" s="6">
        <f t="shared" si="18"/>
        <v>27</v>
      </c>
      <c r="C40" s="6">
        <f>'Rev Rq_Benefits'!C35*$H$2</f>
        <v>722.97225000000003</v>
      </c>
      <c r="D40" s="90">
        <f>'Rev Rq_Benefits'!X35*1000*$H$2</f>
        <v>1569467.5425</v>
      </c>
      <c r="E40" s="89">
        <f t="shared" si="14"/>
        <v>8.35</v>
      </c>
      <c r="F40" s="33">
        <f t="shared" si="8"/>
        <v>72441819.450000003</v>
      </c>
      <c r="G40" s="36">
        <f t="shared" si="17"/>
        <v>1.4999999999999999E-2</v>
      </c>
      <c r="H40" s="37">
        <f t="shared" si="15"/>
        <v>-5.7679999999999998</v>
      </c>
      <c r="I40" s="34">
        <f t="shared" si="11"/>
        <v>-90526887.851399988</v>
      </c>
      <c r="J40" s="34"/>
      <c r="K40" s="35">
        <f t="shared" si="9"/>
        <v>-18085068.401399985</v>
      </c>
      <c r="L40" s="35">
        <f t="shared" si="16"/>
        <v>-200824735.758075</v>
      </c>
      <c r="M40" s="4"/>
      <c r="N40" s="35">
        <f>'Rev Rq_Benefits'!N35*$H$2*$AB$2</f>
        <v>64476689.027979791</v>
      </c>
      <c r="O40" s="41">
        <f>IF($S$23="Y",SUM('Rev Rq_Benefits'!Q35:T35)*'Results - C&amp;I and Residential'!$S$24,SUM('Rev Rq_Benefits'!Q35:S35)*'Results - C&amp;I and Residential'!$S$24)*1000000*$H$2</f>
        <v>-126880557.63656338</v>
      </c>
      <c r="R40" s="66"/>
      <c r="S40" s="13"/>
      <c r="T40" s="105"/>
      <c r="W40" s="11"/>
      <c r="X40" s="64"/>
      <c r="Y40" s="65"/>
      <c r="Z40" s="65"/>
    </row>
    <row r="41" spans="1:26" x14ac:dyDescent="0.35">
      <c r="A41" s="28">
        <f t="shared" si="18"/>
        <v>2049</v>
      </c>
      <c r="B41" s="6">
        <f t="shared" si="18"/>
        <v>28</v>
      </c>
      <c r="C41" s="6">
        <f>'Rev Rq_Benefits'!C36*$H$2</f>
        <v>722.97225000000003</v>
      </c>
      <c r="D41" s="90">
        <f>'Rev Rq_Benefits'!X36*1000*$H$2</f>
        <v>1558328.5574999999</v>
      </c>
      <c r="E41" s="89">
        <f t="shared" si="14"/>
        <v>8.35</v>
      </c>
      <c r="F41" s="33">
        <f t="shared" si="8"/>
        <v>72441819.450000003</v>
      </c>
      <c r="G41" s="36">
        <f t="shared" si="17"/>
        <v>1.4999999999999999E-2</v>
      </c>
      <c r="H41" s="37">
        <f t="shared" si="15"/>
        <v>-5.8550000000000004</v>
      </c>
      <c r="I41" s="34">
        <f t="shared" si="11"/>
        <v>-91240137.041625008</v>
      </c>
      <c r="J41" s="34"/>
      <c r="K41" s="35">
        <f t="shared" si="9"/>
        <v>-18798317.591625005</v>
      </c>
      <c r="L41" s="35">
        <f t="shared" si="16"/>
        <v>-219623053.3497</v>
      </c>
      <c r="M41" s="4"/>
      <c r="N41" s="35">
        <f>'Rev Rq_Benefits'!N36*$H$2*$AB$2</f>
        <v>62446931.940299347</v>
      </c>
      <c r="O41" s="41">
        <f>IF($S$23="Y",SUM('Rev Rq_Benefits'!Q36:T36)*'Results - C&amp;I and Residential'!$S$24,SUM('Rev Rq_Benefits'!Q36:S36)*'Results - C&amp;I and Residential'!$S$24)*1000000*$H$2</f>
        <v>-119636849.25668973</v>
      </c>
      <c r="R41" s="66" t="s">
        <v>75</v>
      </c>
      <c r="S41" s="13">
        <f>S34-S39</f>
        <v>514.21841514973949</v>
      </c>
      <c r="T41" s="105"/>
    </row>
    <row r="42" spans="1:26" x14ac:dyDescent="0.35">
      <c r="A42" s="28">
        <f t="shared" si="18"/>
        <v>2050</v>
      </c>
      <c r="B42" s="6">
        <f t="shared" si="18"/>
        <v>29</v>
      </c>
      <c r="C42" s="6">
        <f>'Rev Rq_Benefits'!C37*$H$2</f>
        <v>722.97225000000003</v>
      </c>
      <c r="D42" s="90">
        <f>'Rev Rq_Benefits'!X37*1000*$H$2</f>
        <v>1550558.2950000002</v>
      </c>
      <c r="E42" s="89">
        <f t="shared" si="14"/>
        <v>8.35</v>
      </c>
      <c r="F42" s="33">
        <f t="shared" si="8"/>
        <v>72441819.450000003</v>
      </c>
      <c r="G42" s="36">
        <f t="shared" si="17"/>
        <v>1.4999999999999999E-2</v>
      </c>
      <c r="H42" s="37">
        <f t="shared" si="15"/>
        <v>-5.9429999999999996</v>
      </c>
      <c r="I42" s="34">
        <f t="shared" si="11"/>
        <v>-92149679.471849993</v>
      </c>
      <c r="J42" s="34"/>
      <c r="K42" s="35">
        <f t="shared" si="9"/>
        <v>-19707860.02184999</v>
      </c>
      <c r="L42" s="35">
        <f t="shared" si="16"/>
        <v>-239330913.37154999</v>
      </c>
      <c r="M42" s="4"/>
      <c r="N42" s="35">
        <f>'Rev Rq_Benefits'!N37*$H$2*$AB$2</f>
        <v>60510811.570838392</v>
      </c>
      <c r="O42" s="41">
        <f>IF($S$23="Y",SUM('Rev Rq_Benefits'!Q37:T37)*'Results - C&amp;I and Residential'!$S$24,SUM('Rev Rq_Benefits'!Q37:S37)*'Results - C&amp;I and Residential'!$S$24)*1000000*$H$2</f>
        <v>-122923799.44829114</v>
      </c>
      <c r="R42" s="66" t="s">
        <v>76</v>
      </c>
      <c r="S42" s="13">
        <f>-NPV(S9,K13:K45)/1000000</f>
        <v>65.225109118839512</v>
      </c>
      <c r="T42" s="105">
        <f>S42/S41</f>
        <v>0.12684319969335614</v>
      </c>
    </row>
    <row r="43" spans="1:26" x14ac:dyDescent="0.35">
      <c r="A43" s="28">
        <f t="shared" si="18"/>
        <v>2051</v>
      </c>
      <c r="B43" s="6">
        <f t="shared" si="18"/>
        <v>30</v>
      </c>
      <c r="C43" s="6">
        <f>'Rev Rq_Benefits'!C38*$H$2</f>
        <v>722.97225000000003</v>
      </c>
      <c r="D43" s="90">
        <f>'Rev Rq_Benefits'!X38*1000*$H$2</f>
        <v>1542816.9900000002</v>
      </c>
      <c r="E43" s="89">
        <f t="shared" si="14"/>
        <v>8.35</v>
      </c>
      <c r="F43" s="33">
        <f t="shared" si="8"/>
        <v>72441819.450000003</v>
      </c>
      <c r="G43" s="36">
        <f t="shared" si="17"/>
        <v>1.4999999999999999E-2</v>
      </c>
      <c r="H43" s="37">
        <f t="shared" si="15"/>
        <v>-6.032</v>
      </c>
      <c r="I43" s="34">
        <f t="shared" si="11"/>
        <v>-93062720.836800024</v>
      </c>
      <c r="J43" s="34"/>
      <c r="K43" s="35">
        <f t="shared" si="9"/>
        <v>-20620901.386800021</v>
      </c>
      <c r="L43" s="35">
        <f t="shared" si="16"/>
        <v>-259951814.75835001</v>
      </c>
      <c r="M43" s="4"/>
      <c r="N43" s="35">
        <f>'Rev Rq_Benefits'!N38*$H$2*$AB$2</f>
        <v>62169973.300409608</v>
      </c>
      <c r="O43" s="41">
        <f>IF($S$23="Y",SUM('Rev Rq_Benefits'!Q38:T38)*'Results - C&amp;I and Residential'!$S$24,SUM('Rev Rq_Benefits'!Q38:S38)*'Results - C&amp;I and Residential'!$S$24)*1000000*$H$2</f>
        <v>-119052948.04907872</v>
      </c>
      <c r="R43" s="66" t="s">
        <v>77</v>
      </c>
      <c r="S43" s="13">
        <f>S41-S42</f>
        <v>448.99330603089999</v>
      </c>
      <c r="T43" s="105">
        <f>S43/S41</f>
        <v>0.87315680030664389</v>
      </c>
    </row>
    <row r="44" spans="1:26" x14ac:dyDescent="0.35">
      <c r="A44" s="28">
        <f t="shared" si="18"/>
        <v>2052</v>
      </c>
      <c r="B44" s="6">
        <f t="shared" si="18"/>
        <v>31</v>
      </c>
      <c r="C44" s="6">
        <f>'Rev Rq_Benefits'!C39*$H$2</f>
        <v>578.37780000000009</v>
      </c>
      <c r="D44" s="90">
        <f>'Rev Rq_Benefits'!X39*1000*$H$2</f>
        <v>1232421.5475000001</v>
      </c>
      <c r="E44" s="89">
        <f t="shared" si="14"/>
        <v>8.35</v>
      </c>
      <c r="F44" s="33">
        <f t="shared" si="8"/>
        <v>57953455.560000002</v>
      </c>
      <c r="G44" s="36">
        <v>0</v>
      </c>
      <c r="H44" s="37">
        <f t="shared" si="15"/>
        <v>-6.032</v>
      </c>
      <c r="I44" s="34">
        <f t="shared" si="11"/>
        <v>-74339667.745200008</v>
      </c>
      <c r="J44" s="34"/>
      <c r="K44" s="35">
        <f t="shared" si="9"/>
        <v>-16386212.185200006</v>
      </c>
      <c r="L44" s="35">
        <f t="shared" si="16"/>
        <v>-276338026.94354999</v>
      </c>
      <c r="M44" s="4"/>
      <c r="N44" s="35">
        <f>'Rev Rq_Benefits'!N39*$H$2*$AB$2</f>
        <v>52977282.490662657</v>
      </c>
      <c r="O44" s="41">
        <f>IF($S$23="Y",SUM('Rev Rq_Benefits'!Q39:T39)*'Results - C&amp;I and Residential'!$S$24,SUM('Rev Rq_Benefits'!Q39:S39)*'Results - C&amp;I and Residential'!$S$24)*1000000*$H$2</f>
        <v>-111568273.99951226</v>
      </c>
      <c r="R44" s="66"/>
      <c r="S44" s="13"/>
      <c r="T44" s="105"/>
    </row>
    <row r="45" spans="1:26" x14ac:dyDescent="0.35">
      <c r="A45" s="28">
        <f t="shared" si="18"/>
        <v>2053</v>
      </c>
      <c r="B45" s="6">
        <f t="shared" si="18"/>
        <v>32</v>
      </c>
      <c r="C45" s="6">
        <f>'Rev Rq_Benefits'!C40*$H$2</f>
        <v>289.18890000000005</v>
      </c>
      <c r="D45" s="90">
        <f>'Rev Rq_Benefits'!X40*1000*$H$2</f>
        <v>611929.89</v>
      </c>
      <c r="E45" s="89">
        <f t="shared" si="14"/>
        <v>8.35</v>
      </c>
      <c r="F45" s="33">
        <f t="shared" si="8"/>
        <v>28976727.780000001</v>
      </c>
      <c r="G45" s="36">
        <v>0</v>
      </c>
      <c r="H45" s="37">
        <f t="shared" si="15"/>
        <v>-6.032</v>
      </c>
      <c r="I45" s="34">
        <f t="shared" si="11"/>
        <v>-36911610.964800008</v>
      </c>
      <c r="J45" s="34"/>
      <c r="K45" s="35">
        <f t="shared" si="9"/>
        <v>-7934883.1848000064</v>
      </c>
      <c r="L45" s="35">
        <f t="shared" si="16"/>
        <v>-284272910.12835002</v>
      </c>
      <c r="M45" s="4"/>
      <c r="N45" s="35">
        <f>'Rev Rq_Benefits'!N40*$H$2*$AB$2</f>
        <v>30664978.780454822</v>
      </c>
      <c r="O45" s="41">
        <f>IF($S$23="Y",SUM('Rev Rq_Benefits'!Q40:T40)*'Results - C&amp;I and Residential'!$S$24,SUM('Rev Rq_Benefits'!Q40:S40)*'Results - C&amp;I and Residential'!$S$24)*1000000*$H$2</f>
        <v>-59535664.75540293</v>
      </c>
      <c r="R45" s="66" t="s">
        <v>78</v>
      </c>
      <c r="S45" s="13">
        <f>S41-S33</f>
        <v>95.185438790118383</v>
      </c>
      <c r="T45" s="106"/>
    </row>
    <row r="46" spans="1:26" ht="15" thickBot="1" x14ac:dyDescent="0.4">
      <c r="A46" s="38">
        <f t="shared" si="18"/>
        <v>2054</v>
      </c>
      <c r="B46" s="44">
        <f t="shared" si="18"/>
        <v>33</v>
      </c>
      <c r="C46" s="44">
        <f>'Rev Rq_Benefits'!C41</f>
        <v>0</v>
      </c>
      <c r="D46" s="91">
        <f>'Rev Rq_Benefits'!X41*1000</f>
        <v>0</v>
      </c>
      <c r="E46" s="92">
        <f t="shared" si="14"/>
        <v>0</v>
      </c>
      <c r="F46" s="44"/>
      <c r="G46" s="44"/>
      <c r="H46" s="44"/>
      <c r="I46" s="39"/>
      <c r="J46" s="39"/>
      <c r="K46" s="44"/>
      <c r="L46" s="8"/>
      <c r="M46" s="8"/>
      <c r="N46" s="8"/>
      <c r="O46" s="93"/>
      <c r="P46" s="4"/>
      <c r="R46" s="84" t="s">
        <v>76</v>
      </c>
      <c r="S46" s="13">
        <f>S42</f>
        <v>65.225109118839512</v>
      </c>
      <c r="T46" s="105">
        <f>S46/S45</f>
        <v>0.68524251133263481</v>
      </c>
    </row>
    <row r="47" spans="1:26" x14ac:dyDescent="0.35">
      <c r="R47" s="84" t="s">
        <v>77</v>
      </c>
      <c r="S47" s="13">
        <f>S45-S46</f>
        <v>29.96032967127887</v>
      </c>
      <c r="T47" s="105">
        <f>S47/S45</f>
        <v>0.31475748866736519</v>
      </c>
    </row>
    <row r="50" spans="1:18" x14ac:dyDescent="0.35">
      <c r="A50" s="66"/>
      <c r="B50" s="66"/>
      <c r="E50" s="66"/>
      <c r="F50" s="66"/>
      <c r="G50" s="66"/>
      <c r="H50" s="66"/>
      <c r="K50" s="53"/>
      <c r="R50" s="66"/>
    </row>
  </sheetData>
  <mergeCells count="4">
    <mergeCell ref="R14:S14"/>
    <mergeCell ref="V4:Y4"/>
    <mergeCell ref="R3:S3"/>
    <mergeCell ref="AB6:AG6"/>
  </mergeCells>
  <dataValidations count="1">
    <dataValidation type="list" allowBlank="1" showInputMessage="1" showErrorMessage="1" sqref="S23 S25" xr:uid="{37377464-E9D6-44CD-AC37-F66AD412B81B}">
      <formula1>"Y,N"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2AB00-7634-4A50-9E49-F663596BE3E9}">
  <dimension ref="A1:AA186"/>
  <sheetViews>
    <sheetView zoomScale="80" zoomScaleNormal="80" workbookViewId="0"/>
  </sheetViews>
  <sheetFormatPr defaultRowHeight="14.5" x14ac:dyDescent="0.35"/>
  <cols>
    <col min="1" max="1" width="8.7265625" style="68"/>
    <col min="2" max="2" width="13.1796875" style="68" customWidth="1"/>
    <col min="3" max="3" width="15.26953125" customWidth="1"/>
    <col min="4" max="4" width="24.7265625" style="68" customWidth="1"/>
    <col min="5" max="5" width="28" style="68" customWidth="1"/>
    <col min="6" max="6" width="22.81640625" style="68" customWidth="1"/>
    <col min="7" max="7" width="14.26953125" style="68" customWidth="1"/>
    <col min="8" max="8" width="14.26953125" style="88" customWidth="1"/>
    <col min="9" max="9" width="20.453125" style="88" customWidth="1"/>
    <col min="10" max="10" width="19.81640625" style="88" customWidth="1"/>
    <col min="11" max="11" width="14.26953125" style="88" customWidth="1"/>
    <col min="12" max="12" width="19.453125" style="68" hidden="1" customWidth="1"/>
    <col min="13" max="13" width="20" style="20" hidden="1" customWidth="1"/>
    <col min="14" max="14" width="16.54296875" style="68" customWidth="1"/>
    <col min="15" max="17" width="17.54296875" customWidth="1"/>
    <col min="18" max="18" width="18.453125" customWidth="1"/>
    <col min="19" max="19" width="37.1796875" style="68" customWidth="1"/>
    <col min="20" max="20" width="26.54296875" customWidth="1"/>
    <col min="21" max="21" width="16" customWidth="1"/>
    <col min="22" max="22" width="15" customWidth="1"/>
    <col min="23" max="23" width="15.26953125" customWidth="1"/>
    <col min="24" max="24" width="21.81640625" customWidth="1"/>
    <col min="25" max="25" width="20.26953125" customWidth="1"/>
    <col min="26" max="26" width="6.54296875" customWidth="1"/>
    <col min="27" max="27" width="7.26953125" style="68" customWidth="1"/>
    <col min="28" max="28" width="33.1796875" customWidth="1"/>
    <col min="30" max="30" width="14.81640625" customWidth="1"/>
    <col min="31" max="31" width="14.7265625" customWidth="1"/>
    <col min="32" max="32" width="13.81640625" customWidth="1"/>
    <col min="33" max="33" width="12.54296875" customWidth="1"/>
  </cols>
  <sheetData>
    <row r="1" spans="1:27" ht="24" thickBot="1" x14ac:dyDescent="0.6">
      <c r="A1" s="177" t="s">
        <v>110</v>
      </c>
      <c r="B1" s="133"/>
      <c r="O1" s="70"/>
      <c r="P1" s="70"/>
      <c r="Q1" s="70"/>
    </row>
    <row r="2" spans="1:27" ht="15.75" customHeight="1" thickBot="1" x14ac:dyDescent="0.5">
      <c r="A2" s="102"/>
      <c r="B2" s="178" t="s">
        <v>112</v>
      </c>
      <c r="E2" s="125" t="s">
        <v>60</v>
      </c>
      <c r="F2" s="193">
        <f>1-'Results - C&amp;I and Residential'!H2</f>
        <v>3.4749999999999948E-2</v>
      </c>
      <c r="N2" s="20"/>
      <c r="O2" s="13"/>
      <c r="P2" s="13"/>
      <c r="Q2" s="13"/>
      <c r="S2" s="6"/>
      <c r="T2" s="4"/>
    </row>
    <row r="3" spans="1:27" ht="15.75" customHeight="1" x14ac:dyDescent="0.35">
      <c r="N3" s="71"/>
      <c r="O3" s="13"/>
      <c r="Q3" s="13"/>
      <c r="S3" s="208" t="s">
        <v>106</v>
      </c>
      <c r="T3" s="209"/>
      <c r="Z3" s="4"/>
    </row>
    <row r="4" spans="1:27" x14ac:dyDescent="0.35">
      <c r="E4" s="21"/>
      <c r="F4" s="1"/>
      <c r="I4" s="21"/>
      <c r="J4" s="20"/>
      <c r="N4" s="71"/>
      <c r="O4" s="11"/>
      <c r="Q4" s="12"/>
      <c r="S4" s="77"/>
      <c r="T4" s="78"/>
      <c r="U4" s="120" t="s">
        <v>61</v>
      </c>
      <c r="Z4" s="4"/>
    </row>
    <row r="5" spans="1:27" ht="15" thickBot="1" x14ac:dyDescent="0.4">
      <c r="C5" s="20"/>
      <c r="E5" s="21"/>
      <c r="F5" s="22"/>
      <c r="I5" s="21"/>
      <c r="J5" s="20"/>
      <c r="P5" s="13"/>
      <c r="Q5" s="11"/>
      <c r="S5" s="77" t="s">
        <v>26</v>
      </c>
      <c r="T5" s="112">
        <f>'Results - C&amp;I and Residential'!S5</f>
        <v>8.35</v>
      </c>
      <c r="U5" s="121" t="s">
        <v>42</v>
      </c>
      <c r="Z5" s="45"/>
    </row>
    <row r="6" spans="1:27" ht="15" thickBot="1" x14ac:dyDescent="0.4">
      <c r="B6" s="72"/>
      <c r="E6" s="21"/>
      <c r="F6" s="22"/>
      <c r="S6" s="77" t="s">
        <v>83</v>
      </c>
      <c r="T6" s="116">
        <f>ROUND(NPV(T9,'Results - C&amp;I and Residential'!I13:I46)/NPV(T9,'Results - C&amp;I and Residential'!C13:C46)/12/1000,2)</f>
        <v>-9.0299999999999994</v>
      </c>
      <c r="U6" s="113">
        <f>'Results - C&amp;I and Residential'!S6</f>
        <v>-4.0369999999999999</v>
      </c>
      <c r="V6" s="119" t="str">
        <f>IF(ROUND(N7,2)=ROUND(T6,2),"CHECKS","ERROR")</f>
        <v>CHECKS</v>
      </c>
      <c r="Z6" s="46"/>
    </row>
    <row r="7" spans="1:27" ht="15" thickBot="1" x14ac:dyDescent="0.4">
      <c r="B7" s="72" t="s">
        <v>104</v>
      </c>
      <c r="C7" s="73">
        <f>-PMT($T$9,B45,NPV($T$9,C14:C45))</f>
        <v>23.628322727978333</v>
      </c>
      <c r="E7" s="21"/>
      <c r="F7" s="22"/>
      <c r="J7" s="53"/>
      <c r="M7" s="53">
        <f>-PMT($T$9,B45,NPV($T$9,M14:M45))</f>
        <v>-2560320.7400758103</v>
      </c>
      <c r="N7" s="172">
        <f>M7/(C7*1000*12)</f>
        <v>-9.0298437231155742</v>
      </c>
      <c r="P7" s="13"/>
      <c r="S7" s="77" t="s">
        <v>31</v>
      </c>
      <c r="T7" s="114">
        <f>'Results - C&amp;I and Residential'!S7</f>
        <v>1.4999999999999999E-2</v>
      </c>
      <c r="Z7" s="55"/>
    </row>
    <row r="8" spans="1:27" ht="15.75" customHeight="1" x14ac:dyDescent="0.45">
      <c r="A8" s="23"/>
      <c r="B8" s="3"/>
      <c r="C8" s="2"/>
      <c r="D8" s="24"/>
      <c r="E8" s="3"/>
      <c r="F8" s="25" t="s">
        <v>17</v>
      </c>
      <c r="G8" s="3"/>
      <c r="H8" s="3"/>
      <c r="I8" s="3"/>
      <c r="J8" s="3"/>
      <c r="K8" s="3"/>
      <c r="L8" s="3"/>
      <c r="M8" s="26"/>
      <c r="N8" s="3"/>
      <c r="O8" s="27"/>
      <c r="P8" s="69"/>
      <c r="Q8" s="74"/>
      <c r="R8" s="12"/>
      <c r="S8" s="77" t="s">
        <v>2</v>
      </c>
      <c r="T8" s="110">
        <f>'Results - C&amp;I and Residential'!S8</f>
        <v>353458777.38175625</v>
      </c>
      <c r="Z8" s="55"/>
    </row>
    <row r="9" spans="1:27" x14ac:dyDescent="0.35">
      <c r="A9" s="28"/>
      <c r="B9" s="6"/>
      <c r="C9" s="4"/>
      <c r="D9" s="6"/>
      <c r="E9" s="6"/>
      <c r="F9" s="6"/>
      <c r="G9" s="6"/>
      <c r="H9" s="6"/>
      <c r="I9" s="6"/>
      <c r="J9" s="6"/>
      <c r="K9" s="6"/>
      <c r="L9" s="6"/>
      <c r="M9" s="29"/>
      <c r="N9" s="6"/>
      <c r="O9" s="5"/>
      <c r="P9" s="4"/>
      <c r="Q9" s="74"/>
      <c r="S9" s="77" t="s">
        <v>32</v>
      </c>
      <c r="T9" s="109">
        <f>'Rev Rq_Benefits'!A1</f>
        <v>6.7000000000000004E-2</v>
      </c>
      <c r="Z9" s="55"/>
    </row>
    <row r="10" spans="1:27" x14ac:dyDescent="0.35">
      <c r="A10" s="30" t="s">
        <v>27</v>
      </c>
      <c r="B10" s="19" t="s">
        <v>8</v>
      </c>
      <c r="C10" s="4"/>
      <c r="D10" s="6"/>
      <c r="E10" s="6" t="s">
        <v>33</v>
      </c>
      <c r="F10" s="6" t="s">
        <v>29</v>
      </c>
      <c r="G10" s="54" t="s">
        <v>34</v>
      </c>
      <c r="H10" s="54" t="s">
        <v>34</v>
      </c>
      <c r="I10" s="54" t="s">
        <v>29</v>
      </c>
      <c r="J10" s="54" t="s">
        <v>69</v>
      </c>
      <c r="K10" s="54" t="s">
        <v>69</v>
      </c>
      <c r="L10" s="19" t="s">
        <v>34</v>
      </c>
      <c r="M10" s="31" t="s">
        <v>29</v>
      </c>
      <c r="N10" s="19" t="s">
        <v>35</v>
      </c>
      <c r="O10" s="5"/>
      <c r="P10" s="4"/>
      <c r="Q10" s="4"/>
      <c r="S10" s="82" t="s">
        <v>36</v>
      </c>
      <c r="T10" s="108">
        <f>'Results - C&amp;I and Residential'!S10</f>
        <v>0.28000000000000003</v>
      </c>
      <c r="Z10" s="55"/>
      <c r="AA10"/>
    </row>
    <row r="11" spans="1:27" x14ac:dyDescent="0.35">
      <c r="A11" s="30" t="s">
        <v>10</v>
      </c>
      <c r="B11" s="19" t="s">
        <v>10</v>
      </c>
      <c r="C11" s="19" t="s">
        <v>37</v>
      </c>
      <c r="D11" s="19" t="s">
        <v>38</v>
      </c>
      <c r="E11" s="19" t="s">
        <v>39</v>
      </c>
      <c r="F11" s="19" t="s">
        <v>40</v>
      </c>
      <c r="G11" s="19" t="s">
        <v>41</v>
      </c>
      <c r="H11" s="19" t="s">
        <v>82</v>
      </c>
      <c r="I11" s="19" t="s">
        <v>34</v>
      </c>
      <c r="J11" s="19" t="s">
        <v>29</v>
      </c>
      <c r="K11" s="19" t="s">
        <v>30</v>
      </c>
      <c r="L11" s="19" t="s">
        <v>42</v>
      </c>
      <c r="M11" s="31" t="s">
        <v>34</v>
      </c>
      <c r="N11" s="19" t="s">
        <v>43</v>
      </c>
      <c r="O11" s="32" t="s">
        <v>1</v>
      </c>
      <c r="P11" s="35" t="s">
        <v>29</v>
      </c>
      <c r="Q11" s="35" t="s">
        <v>30</v>
      </c>
      <c r="S11" s="82" t="s">
        <v>44</v>
      </c>
      <c r="T11" s="108">
        <f>'Results - C&amp;I and Residential'!S11</f>
        <v>5.0000000000000001E-3</v>
      </c>
      <c r="Z11" s="55"/>
      <c r="AA11"/>
    </row>
    <row r="12" spans="1:27" x14ac:dyDescent="0.35">
      <c r="A12" s="28">
        <v>2020</v>
      </c>
      <c r="B12" s="6"/>
      <c r="C12" s="6">
        <f>$F$2*'Results - C&amp;I and Residential'!C12/'Results - C&amp;I and Residential'!$H$2</f>
        <v>0</v>
      </c>
      <c r="D12" s="115">
        <f>'Results - C&amp;I and Residential'!D12*'Results - LMI'!$F$2/'Results - C&amp;I and Residential'!$H$2</f>
        <v>0</v>
      </c>
      <c r="E12" s="6">
        <v>0</v>
      </c>
      <c r="F12" s="33">
        <f t="shared" ref="F12:F45" si="0">C12*E12*1000*12</f>
        <v>0</v>
      </c>
      <c r="G12" s="36">
        <f>'Results - C&amp;I and Residential'!G12</f>
        <v>0</v>
      </c>
      <c r="H12" s="117">
        <f>IF(C12=0,0,$T$6)</f>
        <v>0</v>
      </c>
      <c r="I12" s="118">
        <f>H12*C12*12*1000</f>
        <v>0</v>
      </c>
      <c r="J12" s="118">
        <f>F12-I12</f>
        <v>0</v>
      </c>
      <c r="K12" s="118">
        <f>J12</f>
        <v>0</v>
      </c>
      <c r="L12" s="6">
        <v>0</v>
      </c>
      <c r="M12" s="34">
        <f>D12*L12*1000/100</f>
        <v>0</v>
      </c>
      <c r="N12" s="35">
        <v>0</v>
      </c>
      <c r="O12" s="41">
        <f>IF($T$23="Y",('Rev Rq_Benefits'!Q7*'Rev Rq_Benefits'!$Q$4+'Rev Rq_Benefits'!R7*'Rev Rq_Benefits'!$R$4+'Rev Rq_Benefits'!S7*'Rev Rq_Benefits'!$S$4+'Rev Rq_Benefits'!T7*'Rev Rq_Benefits'!$T$4)*D12,('Rev Rq_Benefits'!Q7*'Rev Rq_Benefits'!$Q$4+'Rev Rq_Benefits'!R7*'Rev Rq_Benefits'!$R$4+'Rev Rq_Benefits'!S7*'Rev Rq_Benefits'!$S$4)*D12)*$T$24</f>
        <v>0</v>
      </c>
      <c r="P12" s="35">
        <f t="shared" ref="P12:P45" si="1">F12+M12</f>
        <v>0</v>
      </c>
      <c r="Q12" s="35">
        <f>P12</f>
        <v>0</v>
      </c>
      <c r="S12" s="83" t="s">
        <v>63</v>
      </c>
      <c r="T12" s="111">
        <f>'Results - C&amp;I and Residential'!S12</f>
        <v>1.0494026999999999</v>
      </c>
      <c r="Z12" s="55"/>
      <c r="AA12"/>
    </row>
    <row r="13" spans="1:27" ht="15" thickBot="1" x14ac:dyDescent="0.4">
      <c r="A13" s="28">
        <f>A12+1</f>
        <v>2021</v>
      </c>
      <c r="B13" s="6"/>
      <c r="C13" s="6">
        <f>$F$2*'Results - C&amp;I and Residential'!C13/'Results - C&amp;I and Residential'!$H$2</f>
        <v>0</v>
      </c>
      <c r="D13" s="115">
        <f>'Results - C&amp;I and Residential'!D13*'Results - LMI'!$F$2/'Results - C&amp;I and Residential'!$H$2</f>
        <v>0</v>
      </c>
      <c r="E13" s="6">
        <v>0</v>
      </c>
      <c r="F13" s="33">
        <f t="shared" si="0"/>
        <v>0</v>
      </c>
      <c r="G13" s="36">
        <f>'Results - C&amp;I and Residential'!G13</f>
        <v>0</v>
      </c>
      <c r="H13" s="117">
        <f t="shared" ref="H13:H45" si="2">IF(C13=0,0,$T$6)</f>
        <v>0</v>
      </c>
      <c r="I13" s="118">
        <f t="shared" ref="I13:I15" si="3">H13*C13*12*1000</f>
        <v>0</v>
      </c>
      <c r="J13" s="118">
        <f t="shared" ref="J13" si="4">F13-I13</f>
        <v>0</v>
      </c>
      <c r="K13" s="118">
        <f>K12+J13</f>
        <v>0</v>
      </c>
      <c r="L13" s="6">
        <v>0</v>
      </c>
      <c r="M13" s="34">
        <f t="shared" ref="M13:M45" si="5">D13*L13*1000/100</f>
        <v>0</v>
      </c>
      <c r="N13" s="35">
        <f>'Results - C&amp;I and Residential'!N13/'Results - C&amp;I and Residential'!$H$2*'Results - LMI'!$F$2</f>
        <v>35447.74859248662</v>
      </c>
      <c r="O13" s="41">
        <f>'Results - C&amp;I and Residential'!O13/'Results - C&amp;I and Residential'!$H$2*'Results - LMI'!$F$2</f>
        <v>0</v>
      </c>
      <c r="P13" s="35">
        <f t="shared" si="1"/>
        <v>0</v>
      </c>
      <c r="Q13" s="35">
        <f t="shared" ref="Q13:Q14" si="6">Q12+P13</f>
        <v>0</v>
      </c>
      <c r="U13" s="16"/>
      <c r="Z13" s="55"/>
      <c r="AA13"/>
    </row>
    <row r="14" spans="1:27" ht="15" thickBot="1" x14ac:dyDescent="0.4">
      <c r="A14" s="28">
        <f t="shared" ref="A14:B29" si="7">A13+1</f>
        <v>2022</v>
      </c>
      <c r="B14" s="6">
        <v>1</v>
      </c>
      <c r="C14" s="6">
        <f>$F$2*'Results - C&amp;I and Residential'!C14/'Results - C&amp;I and Residential'!$H$2</f>
        <v>5.2055499999999926</v>
      </c>
      <c r="D14" s="115">
        <f>'Results - C&amp;I and Residential'!D14*'Results - LMI'!$F$2/'Results - C&amp;I and Residential'!$H$2</f>
        <v>12769.582499999982</v>
      </c>
      <c r="E14" s="42">
        <f>T5</f>
        <v>8.35</v>
      </c>
      <c r="F14" s="33">
        <f t="shared" si="0"/>
        <v>521596.10999999929</v>
      </c>
      <c r="G14" s="36">
        <f>'Results - C&amp;I and Residential'!G14</f>
        <v>0</v>
      </c>
      <c r="H14" s="117">
        <f t="shared" si="2"/>
        <v>-9.0299999999999994</v>
      </c>
      <c r="I14" s="118">
        <f>H14*C14*12*1000</f>
        <v>-564073.39799999911</v>
      </c>
      <c r="J14" s="118">
        <f>F14+I14</f>
        <v>-42477.287999999826</v>
      </c>
      <c r="K14" s="118">
        <f t="shared" ref="K14:K15" si="8">K13+J14</f>
        <v>-42477.287999999826</v>
      </c>
      <c r="L14" s="43">
        <f>U6</f>
        <v>-4.0369999999999999</v>
      </c>
      <c r="M14" s="34">
        <f t="shared" si="5"/>
        <v>-515508.04552499927</v>
      </c>
      <c r="N14" s="35">
        <f>'Results - C&amp;I and Residential'!N14/'Results - C&amp;I and Residential'!$H$2*'Results - LMI'!$F$2</f>
        <v>1094124.623229682</v>
      </c>
      <c r="O14" s="41">
        <f>'Results - C&amp;I and Residential'!O14/'Results - C&amp;I and Residential'!$H$2*'Results - LMI'!$F$2</f>
        <v>-343174.30325678462</v>
      </c>
      <c r="P14" s="35">
        <f t="shared" si="1"/>
        <v>6088.064475000021</v>
      </c>
      <c r="Q14" s="35">
        <f t="shared" si="6"/>
        <v>6088.064475000021</v>
      </c>
      <c r="S14" s="205" t="s">
        <v>122</v>
      </c>
      <c r="T14" s="206"/>
      <c r="Z14" s="55"/>
      <c r="AA14"/>
    </row>
    <row r="15" spans="1:27" x14ac:dyDescent="0.35">
      <c r="A15" s="28">
        <f t="shared" si="7"/>
        <v>2023</v>
      </c>
      <c r="B15" s="6">
        <f>B14+1</f>
        <v>2</v>
      </c>
      <c r="C15" s="6">
        <f>$F$2*'Results - C&amp;I and Residential'!C15/'Results - C&amp;I and Residential'!$H$2</f>
        <v>15.616649999999977</v>
      </c>
      <c r="D15" s="115">
        <f>'Results - C&amp;I and Residential'!D15*'Results - LMI'!$F$2/'Results - C&amp;I and Residential'!$H$2</f>
        <v>38244.459999999941</v>
      </c>
      <c r="E15" s="7">
        <f>E14</f>
        <v>8.35</v>
      </c>
      <c r="F15" s="33">
        <f t="shared" si="0"/>
        <v>1564788.3299999975</v>
      </c>
      <c r="G15" s="36">
        <f>'Results - C&amp;I and Residential'!G15</f>
        <v>0</v>
      </c>
      <c r="H15" s="117">
        <f t="shared" si="2"/>
        <v>-9.0299999999999994</v>
      </c>
      <c r="I15" s="118">
        <f t="shared" si="3"/>
        <v>-1692220.1939999973</v>
      </c>
      <c r="J15" s="118">
        <f>F15+I15</f>
        <v>-127431.86399999983</v>
      </c>
      <c r="K15" s="118">
        <f t="shared" si="8"/>
        <v>-169909.15199999965</v>
      </c>
      <c r="L15" s="37">
        <f>L14*(1+G15)</f>
        <v>-4.0369999999999999</v>
      </c>
      <c r="M15" s="34">
        <f t="shared" si="5"/>
        <v>-1543928.8501999974</v>
      </c>
      <c r="N15" s="35">
        <f>'Results - C&amp;I and Residential'!N15/'Results - C&amp;I and Residential'!$H$2*'Results - LMI'!$F$2</f>
        <v>3049462.4530845946</v>
      </c>
      <c r="O15" s="41">
        <f>'Results - C&amp;I and Residential'!O15/'Results - C&amp;I and Residential'!$H$2*'Results - LMI'!$F$2</f>
        <v>-987034.7811333728</v>
      </c>
      <c r="P15" s="35">
        <f t="shared" si="1"/>
        <v>20859.479800000088</v>
      </c>
      <c r="Q15" s="35">
        <f>Q14+P15</f>
        <v>26947.544275000109</v>
      </c>
      <c r="R15" s="13"/>
      <c r="S15" s="60" t="s">
        <v>24</v>
      </c>
      <c r="T15" s="48">
        <f>NPV($T$9,N13:N45)+N12</f>
        <v>39879916.26755029</v>
      </c>
      <c r="U15" s="13"/>
      <c r="W15" s="12"/>
      <c r="Z15" s="55"/>
      <c r="AA15"/>
    </row>
    <row r="16" spans="1:27" x14ac:dyDescent="0.35">
      <c r="A16" s="28">
        <f t="shared" si="7"/>
        <v>2024</v>
      </c>
      <c r="B16" s="6">
        <f t="shared" si="7"/>
        <v>3</v>
      </c>
      <c r="C16" s="6">
        <f>$F$2*'Results - C&amp;I and Residential'!C16/'Results - C&amp;I and Residential'!$H$2</f>
        <v>26.027749999999958</v>
      </c>
      <c r="D16" s="115">
        <f>'Results - C&amp;I and Residential'!D16*'Results - LMI'!$F$2/'Results - C&amp;I and Residential'!$H$2</f>
        <v>63742.967499999912</v>
      </c>
      <c r="E16" s="7">
        <f t="shared" ref="E16:E39" si="9">E15</f>
        <v>8.35</v>
      </c>
      <c r="F16" s="33">
        <f t="shared" si="0"/>
        <v>2607980.5499999956</v>
      </c>
      <c r="G16" s="36">
        <f>'Results - C&amp;I and Residential'!G16</f>
        <v>0</v>
      </c>
      <c r="H16" s="117">
        <f t="shared" si="2"/>
        <v>-9.0299999999999994</v>
      </c>
      <c r="I16" s="118">
        <f t="shared" ref="I16:I45" si="10">H16*C16*12*1000</f>
        <v>-2820366.9899999956</v>
      </c>
      <c r="J16" s="118">
        <f t="shared" ref="J16:J45" si="11">F16+I16</f>
        <v>-212386.43999999994</v>
      </c>
      <c r="K16" s="118">
        <f t="shared" ref="K16:K45" si="12">K15+J16</f>
        <v>-382295.5919999996</v>
      </c>
      <c r="L16" s="37">
        <f t="shared" ref="L16:L45" si="13">L15*(1+G16)</f>
        <v>-4.0369999999999999</v>
      </c>
      <c r="M16" s="34">
        <f t="shared" si="5"/>
        <v>-2573303.5979749961</v>
      </c>
      <c r="N16" s="35">
        <f>'Results - C&amp;I and Residential'!N16/'Results - C&amp;I and Residential'!$H$2*'Results - LMI'!$F$2</f>
        <v>4830117.8705396419</v>
      </c>
      <c r="O16" s="41">
        <f>'Results - C&amp;I and Residential'!O16/'Results - C&amp;I and Residential'!$H$2*'Results - LMI'!$F$2</f>
        <v>-1894605.5771306243</v>
      </c>
      <c r="P16" s="35">
        <f t="shared" si="1"/>
        <v>34676.95202499954</v>
      </c>
      <c r="Q16" s="35">
        <f t="shared" ref="Q16:Q45" si="14">Q15+P16</f>
        <v>61624.49629999965</v>
      </c>
      <c r="R16" s="13"/>
      <c r="S16" s="28" t="s">
        <v>45</v>
      </c>
      <c r="T16" s="48">
        <f>(T15-T8*F2)*T12</f>
        <v>28960601.119463004</v>
      </c>
      <c r="Z16" s="55"/>
      <c r="AA16"/>
    </row>
    <row r="17" spans="1:27" x14ac:dyDescent="0.35">
      <c r="A17" s="28">
        <f t="shared" si="7"/>
        <v>2025</v>
      </c>
      <c r="B17" s="6">
        <f t="shared" si="7"/>
        <v>4</v>
      </c>
      <c r="C17" s="6">
        <f>$F$2*'Results - C&amp;I and Residential'!C17/'Results - C&amp;I and Residential'!$H$2</f>
        <v>26.027749999999958</v>
      </c>
      <c r="D17" s="115">
        <f>'Results - C&amp;I and Residential'!D17*'Results - LMI'!$F$2/'Results - C&amp;I and Residential'!$H$2</f>
        <v>63273.842499999912</v>
      </c>
      <c r="E17" s="7">
        <f t="shared" si="9"/>
        <v>8.35</v>
      </c>
      <c r="F17" s="33">
        <f t="shared" si="0"/>
        <v>2607980.5499999956</v>
      </c>
      <c r="G17" s="36">
        <f>'Results - C&amp;I and Residential'!G17</f>
        <v>1.4999999999999999E-2</v>
      </c>
      <c r="H17" s="117">
        <f t="shared" si="2"/>
        <v>-9.0299999999999994</v>
      </c>
      <c r="I17" s="118">
        <f t="shared" si="10"/>
        <v>-2820366.9899999956</v>
      </c>
      <c r="J17" s="118">
        <f t="shared" si="11"/>
        <v>-212386.43999999994</v>
      </c>
      <c r="K17" s="118">
        <f t="shared" si="12"/>
        <v>-594682.03199999954</v>
      </c>
      <c r="L17" s="37">
        <f t="shared" si="13"/>
        <v>-4.0975549999999998</v>
      </c>
      <c r="M17" s="34">
        <f t="shared" si="5"/>
        <v>-2592680.4970508711</v>
      </c>
      <c r="N17" s="35">
        <f>'Results - C&amp;I and Residential'!N17/'Results - C&amp;I and Residential'!$H$2*'Results - LMI'!$F$2</f>
        <v>4586903.5710724322</v>
      </c>
      <c r="O17" s="41">
        <f>'Results - C&amp;I and Residential'!O17/'Results - C&amp;I and Residential'!$H$2*'Results - LMI'!$F$2</f>
        <v>-1874839.8264045548</v>
      </c>
      <c r="P17" s="35">
        <f t="shared" si="1"/>
        <v>15300.052949124482</v>
      </c>
      <c r="Q17" s="35">
        <f t="shared" si="14"/>
        <v>76924.549249124131</v>
      </c>
      <c r="R17" s="13"/>
      <c r="S17" s="28" t="s">
        <v>46</v>
      </c>
      <c r="T17" s="41">
        <f>NPV(T9,F13:F45)+F12</f>
        <v>28960602.532047927</v>
      </c>
      <c r="Z17" s="55"/>
      <c r="AA17"/>
    </row>
    <row r="18" spans="1:27" x14ac:dyDescent="0.35">
      <c r="A18" s="28">
        <f t="shared" si="7"/>
        <v>2026</v>
      </c>
      <c r="B18" s="6">
        <f t="shared" si="7"/>
        <v>5</v>
      </c>
      <c r="C18" s="6">
        <f>$F$2*'Results - C&amp;I and Residential'!C18/'Results - C&amp;I and Residential'!$H$2</f>
        <v>26.027749999999958</v>
      </c>
      <c r="D18" s="115">
        <f>'Results - C&amp;I and Residential'!D18*'Results - LMI'!$F$2/'Results - C&amp;I and Residential'!$H$2</f>
        <v>62957.964999999916</v>
      </c>
      <c r="E18" s="7">
        <f t="shared" si="9"/>
        <v>8.35</v>
      </c>
      <c r="F18" s="33">
        <f t="shared" si="0"/>
        <v>2607980.5499999956</v>
      </c>
      <c r="G18" s="36">
        <f>'Results - C&amp;I and Residential'!G18</f>
        <v>1.4999999999999999E-2</v>
      </c>
      <c r="H18" s="117">
        <f t="shared" si="2"/>
        <v>-9.0299999999999994</v>
      </c>
      <c r="I18" s="118">
        <f t="shared" si="10"/>
        <v>-2820366.9899999956</v>
      </c>
      <c r="J18" s="118">
        <f t="shared" si="11"/>
        <v>-212386.43999999994</v>
      </c>
      <c r="K18" s="118">
        <f t="shared" si="12"/>
        <v>-807068.47199999948</v>
      </c>
      <c r="L18" s="37">
        <f t="shared" si="13"/>
        <v>-4.159018324999999</v>
      </c>
      <c r="M18" s="34">
        <f t="shared" si="5"/>
        <v>-2618433.3013970824</v>
      </c>
      <c r="N18" s="35">
        <f>'Results - C&amp;I and Residential'!N18/'Results - C&amp;I and Residential'!$H$2*'Results - LMI'!$F$2</f>
        <v>4372898.1364604263</v>
      </c>
      <c r="O18" s="41">
        <f>'Results - C&amp;I and Residential'!O18/'Results - C&amp;I and Residential'!$H$2*'Results - LMI'!$F$2</f>
        <v>-1986769.2290076164</v>
      </c>
      <c r="P18" s="35">
        <f t="shared" si="1"/>
        <v>-10452.751397086773</v>
      </c>
      <c r="Q18" s="35">
        <f t="shared" si="14"/>
        <v>66471.797852037358</v>
      </c>
      <c r="S18" s="28"/>
      <c r="T18" s="49"/>
      <c r="Z18" s="55"/>
      <c r="AA18"/>
    </row>
    <row r="19" spans="1:27" x14ac:dyDescent="0.35">
      <c r="A19" s="28">
        <f t="shared" si="7"/>
        <v>2027</v>
      </c>
      <c r="B19" s="6">
        <f t="shared" si="7"/>
        <v>6</v>
      </c>
      <c r="C19" s="6">
        <f>$F$2*'Results - C&amp;I and Residential'!C19/'Results - C&amp;I and Residential'!$H$2</f>
        <v>26.027749999999958</v>
      </c>
      <c r="D19" s="115">
        <f>'Results - C&amp;I and Residential'!D19*'Results - LMI'!$F$2/'Results - C&amp;I and Residential'!$H$2</f>
        <v>62642.782499999907</v>
      </c>
      <c r="E19" s="7">
        <f t="shared" si="9"/>
        <v>8.35</v>
      </c>
      <c r="F19" s="33">
        <f t="shared" si="0"/>
        <v>2607980.5499999956</v>
      </c>
      <c r="G19" s="36">
        <f>'Results - C&amp;I and Residential'!G19</f>
        <v>1.4999999999999999E-2</v>
      </c>
      <c r="H19" s="117">
        <f t="shared" si="2"/>
        <v>-9.0299999999999994</v>
      </c>
      <c r="I19" s="118">
        <f t="shared" si="10"/>
        <v>-2820366.9899999956</v>
      </c>
      <c r="J19" s="118">
        <f t="shared" si="11"/>
        <v>-212386.43999999994</v>
      </c>
      <c r="K19" s="118">
        <f t="shared" si="12"/>
        <v>-1019454.9119999994</v>
      </c>
      <c r="L19" s="37">
        <f t="shared" si="13"/>
        <v>-4.221403599874999</v>
      </c>
      <c r="M19" s="34">
        <f t="shared" si="5"/>
        <v>-2644404.6755168624</v>
      </c>
      <c r="N19" s="35">
        <f>'Results - C&amp;I and Residential'!N19/'Results - C&amp;I and Residential'!$H$2*'Results - LMI'!$F$2</f>
        <v>3924603.2713719876</v>
      </c>
      <c r="O19" s="41">
        <f>'Results - C&amp;I and Residential'!O19/'Results - C&amp;I and Residential'!$H$2*'Results - LMI'!$F$2</f>
        <v>-2182936.7113895966</v>
      </c>
      <c r="P19" s="35">
        <f t="shared" si="1"/>
        <v>-36424.125516866799</v>
      </c>
      <c r="Q19" s="35">
        <f t="shared" si="14"/>
        <v>30047.672335170559</v>
      </c>
      <c r="S19" s="28" t="s">
        <v>25</v>
      </c>
      <c r="T19" s="50">
        <f>NPV(T9,O13:O45)+O12</f>
        <v>-31308776.748521972</v>
      </c>
      <c r="Z19" s="55"/>
      <c r="AA19"/>
    </row>
    <row r="20" spans="1:27" ht="15" thickBot="1" x14ac:dyDescent="0.4">
      <c r="A20" s="28">
        <f t="shared" si="7"/>
        <v>2028</v>
      </c>
      <c r="B20" s="6">
        <f t="shared" si="7"/>
        <v>7</v>
      </c>
      <c r="C20" s="6">
        <f>$F$2*'Results - C&amp;I and Residential'!C20/'Results - C&amp;I and Residential'!$H$2</f>
        <v>26.027749999999958</v>
      </c>
      <c r="D20" s="115">
        <f>'Results - C&amp;I and Residential'!D20*'Results - LMI'!$F$2/'Results - C&amp;I and Residential'!$H$2</f>
        <v>62477.024999999892</v>
      </c>
      <c r="E20" s="7">
        <f t="shared" si="9"/>
        <v>8.35</v>
      </c>
      <c r="F20" s="33">
        <f t="shared" si="0"/>
        <v>2607980.5499999956</v>
      </c>
      <c r="G20" s="36">
        <f>'Results - C&amp;I and Residential'!G20</f>
        <v>1.4999999999999999E-2</v>
      </c>
      <c r="H20" s="117">
        <f t="shared" si="2"/>
        <v>-9.0299999999999994</v>
      </c>
      <c r="I20" s="118">
        <f t="shared" si="10"/>
        <v>-2820366.9899999956</v>
      </c>
      <c r="J20" s="118">
        <f t="shared" si="11"/>
        <v>-212386.43999999994</v>
      </c>
      <c r="K20" s="118">
        <f t="shared" si="12"/>
        <v>-1231841.3519999995</v>
      </c>
      <c r="L20" s="37">
        <f t="shared" si="13"/>
        <v>-4.2847246538731234</v>
      </c>
      <c r="M20" s="34">
        <f t="shared" si="5"/>
        <v>-2676968.4931814699</v>
      </c>
      <c r="N20" s="35">
        <f>'Results - C&amp;I and Residential'!N20/'Results - C&amp;I and Residential'!$H$2*'Results - LMI'!$F$2</f>
        <v>3790552.4152364274</v>
      </c>
      <c r="O20" s="41">
        <f>'Results - C&amp;I and Residential'!O20/'Results - C&amp;I and Residential'!$H$2*'Results - LMI'!$F$2</f>
        <v>-2218954.9953438542</v>
      </c>
      <c r="P20" s="35">
        <f t="shared" si="1"/>
        <v>-68987.943181474227</v>
      </c>
      <c r="Q20" s="67">
        <f t="shared" si="14"/>
        <v>-38940.270846303669</v>
      </c>
      <c r="S20" s="38" t="s">
        <v>47</v>
      </c>
      <c r="T20" s="51">
        <f>NPV(T9,I13:I45)</f>
        <v>-31319070.762202717</v>
      </c>
      <c r="Z20" s="55"/>
      <c r="AA20"/>
    </row>
    <row r="21" spans="1:27" x14ac:dyDescent="0.35">
      <c r="A21" s="28">
        <f t="shared" si="7"/>
        <v>2029</v>
      </c>
      <c r="B21" s="6">
        <f t="shared" si="7"/>
        <v>8</v>
      </c>
      <c r="C21" s="6">
        <f>$F$2*'Results - C&amp;I and Residential'!C21/'Results - C&amp;I and Residential'!$H$2</f>
        <v>26.027749999999958</v>
      </c>
      <c r="D21" s="115">
        <f>'Results - C&amp;I and Residential'!D21*'Results - LMI'!$F$2/'Results - C&amp;I and Residential'!$H$2</f>
        <v>62017.62999999991</v>
      </c>
      <c r="E21" s="7">
        <f t="shared" si="9"/>
        <v>8.35</v>
      </c>
      <c r="F21" s="33">
        <f t="shared" si="0"/>
        <v>2607980.5499999956</v>
      </c>
      <c r="G21" s="36">
        <f>'Results - C&amp;I and Residential'!G21</f>
        <v>1.4999999999999999E-2</v>
      </c>
      <c r="H21" s="117">
        <f t="shared" si="2"/>
        <v>-9.0299999999999994</v>
      </c>
      <c r="I21" s="118">
        <f t="shared" si="10"/>
        <v>-2820366.9899999956</v>
      </c>
      <c r="J21" s="118">
        <f t="shared" si="11"/>
        <v>-212386.43999999994</v>
      </c>
      <c r="K21" s="118">
        <f t="shared" si="12"/>
        <v>-1444227.7919999994</v>
      </c>
      <c r="L21" s="37">
        <f t="shared" si="13"/>
        <v>-4.3489955236812197</v>
      </c>
      <c r="M21" s="34">
        <f t="shared" si="5"/>
        <v>-2697143.9525931771</v>
      </c>
      <c r="N21" s="35">
        <f>'Results - C&amp;I and Residential'!N21/'Results - C&amp;I and Residential'!$H$2*'Results - LMI'!$F$2</f>
        <v>3684722.3286994537</v>
      </c>
      <c r="O21" s="41">
        <f>'Results - C&amp;I and Residential'!O21/'Results - C&amp;I and Residential'!$H$2*'Results - LMI'!$F$2</f>
        <v>-2551055.4894211399</v>
      </c>
      <c r="P21" s="35">
        <f t="shared" si="1"/>
        <v>-89163.402593181469</v>
      </c>
      <c r="Q21" s="35">
        <f t="shared" si="14"/>
        <v>-128103.67343948514</v>
      </c>
      <c r="Z21" s="55"/>
      <c r="AA21"/>
    </row>
    <row r="22" spans="1:27" ht="15" thickBot="1" x14ac:dyDescent="0.4">
      <c r="A22" s="28">
        <f t="shared" si="7"/>
        <v>2030</v>
      </c>
      <c r="B22" s="6">
        <f t="shared" si="7"/>
        <v>9</v>
      </c>
      <c r="C22" s="6">
        <f>$F$2*'Results - C&amp;I and Residential'!C22/'Results - C&amp;I and Residential'!$H$2</f>
        <v>26.027749999999958</v>
      </c>
      <c r="D22" s="115">
        <f>'Results - C&amp;I and Residential'!D22*'Results - LMI'!$F$2/'Results - C&amp;I and Residential'!$H$2</f>
        <v>61707.659999999909</v>
      </c>
      <c r="E22" s="7">
        <f t="shared" si="9"/>
        <v>8.35</v>
      </c>
      <c r="F22" s="33">
        <f t="shared" si="0"/>
        <v>2607980.5499999956</v>
      </c>
      <c r="G22" s="36">
        <f>'Results - C&amp;I and Residential'!G22</f>
        <v>1.4999999999999999E-2</v>
      </c>
      <c r="H22" s="117">
        <f t="shared" si="2"/>
        <v>-9.0299999999999994</v>
      </c>
      <c r="I22" s="118">
        <f t="shared" si="10"/>
        <v>-2820366.9899999956</v>
      </c>
      <c r="J22" s="118">
        <f t="shared" si="11"/>
        <v>-212386.43999999994</v>
      </c>
      <c r="K22" s="118">
        <f t="shared" si="12"/>
        <v>-1656614.2319999994</v>
      </c>
      <c r="L22" s="37">
        <f t="shared" si="13"/>
        <v>-4.4142304565364379</v>
      </c>
      <c r="M22" s="34">
        <f t="shared" si="5"/>
        <v>-2723918.3217359483</v>
      </c>
      <c r="N22" s="35">
        <f>'Results - C&amp;I and Residential'!N22/'Results - C&amp;I and Residential'!$H$2*'Results - LMI'!$F$2</f>
        <v>3595429.210272484</v>
      </c>
      <c r="O22" s="41">
        <f>'Results - C&amp;I and Residential'!O22/'Results - C&amp;I and Residential'!$H$2*'Results - LMI'!$F$2</f>
        <v>-2389309.6844688812</v>
      </c>
      <c r="P22" s="35">
        <f t="shared" si="1"/>
        <v>-115937.7717359527</v>
      </c>
      <c r="Q22" s="35">
        <f t="shared" si="14"/>
        <v>-244041.44517543784</v>
      </c>
      <c r="U22" t="s">
        <v>48</v>
      </c>
      <c r="Z22" s="55"/>
      <c r="AA22"/>
    </row>
    <row r="23" spans="1:27" ht="15" thickBot="1" x14ac:dyDescent="0.4">
      <c r="A23" s="28">
        <f t="shared" si="7"/>
        <v>2031</v>
      </c>
      <c r="B23" s="6">
        <f t="shared" si="7"/>
        <v>10</v>
      </c>
      <c r="C23" s="6">
        <f>$F$2*'Results - C&amp;I and Residential'!C23/'Results - C&amp;I and Residential'!$H$2</f>
        <v>26.027749999999958</v>
      </c>
      <c r="D23" s="115">
        <f>'Results - C&amp;I and Residential'!D23*'Results - LMI'!$F$2/'Results - C&amp;I and Residential'!$H$2</f>
        <v>61399.079999999907</v>
      </c>
      <c r="E23" s="7">
        <f t="shared" si="9"/>
        <v>8.35</v>
      </c>
      <c r="F23" s="33">
        <f t="shared" si="0"/>
        <v>2607980.5499999956</v>
      </c>
      <c r="G23" s="36">
        <f>'Results - C&amp;I and Residential'!G23</f>
        <v>1.4999999999999999E-2</v>
      </c>
      <c r="H23" s="117">
        <f t="shared" si="2"/>
        <v>-9.0299999999999994</v>
      </c>
      <c r="I23" s="118">
        <f t="shared" si="10"/>
        <v>-2820366.9899999956</v>
      </c>
      <c r="J23" s="118">
        <f t="shared" si="11"/>
        <v>-212386.43999999994</v>
      </c>
      <c r="K23" s="118">
        <f t="shared" si="12"/>
        <v>-1869000.6719999993</v>
      </c>
      <c r="L23" s="37">
        <f t="shared" si="13"/>
        <v>-4.4804439133844838</v>
      </c>
      <c r="M23" s="34">
        <f t="shared" si="5"/>
        <v>-2750951.3427340658</v>
      </c>
      <c r="N23" s="35">
        <f>'Results - C&amp;I and Residential'!N23/'Results - C&amp;I and Residential'!$H$2*'Results - LMI'!$F$2</f>
        <v>3505764.1251013759</v>
      </c>
      <c r="O23" s="41">
        <f>'Results - C&amp;I and Residential'!O23/'Results - C&amp;I and Residential'!$H$2*'Results - LMI'!$F$2</f>
        <v>-2802948.6622203076</v>
      </c>
      <c r="P23" s="35">
        <f t="shared" si="1"/>
        <v>-142970.79273407022</v>
      </c>
      <c r="Q23" s="35">
        <f t="shared" si="14"/>
        <v>-387012.23790950805</v>
      </c>
      <c r="S23" s="61" t="s">
        <v>49</v>
      </c>
      <c r="T23" s="123" t="str">
        <f>'Results - C&amp;I and Residential'!S23</f>
        <v>N</v>
      </c>
      <c r="Z23" s="55"/>
      <c r="AA23"/>
    </row>
    <row r="24" spans="1:27" ht="15" thickBot="1" x14ac:dyDescent="0.4">
      <c r="A24" s="28">
        <f t="shared" si="7"/>
        <v>2032</v>
      </c>
      <c r="B24" s="6">
        <f t="shared" si="7"/>
        <v>11</v>
      </c>
      <c r="C24" s="6">
        <f>$F$2*'Results - C&amp;I and Residential'!C24/'Results - C&amp;I and Residential'!$H$2</f>
        <v>26.027749999999958</v>
      </c>
      <c r="D24" s="115">
        <f>'Results - C&amp;I and Residential'!D24*'Results - LMI'!$F$2/'Results - C&amp;I and Residential'!$H$2</f>
        <v>61236.797499999906</v>
      </c>
      <c r="E24" s="7">
        <f t="shared" si="9"/>
        <v>8.35</v>
      </c>
      <c r="F24" s="33">
        <f t="shared" si="0"/>
        <v>2607980.5499999956</v>
      </c>
      <c r="G24" s="36">
        <f>'Results - C&amp;I and Residential'!G24</f>
        <v>1.4999999999999999E-2</v>
      </c>
      <c r="H24" s="117">
        <f t="shared" si="2"/>
        <v>-9.0299999999999994</v>
      </c>
      <c r="I24" s="118">
        <f t="shared" si="10"/>
        <v>-2820366.9899999956</v>
      </c>
      <c r="J24" s="118">
        <f t="shared" si="11"/>
        <v>-212386.43999999994</v>
      </c>
      <c r="K24" s="118">
        <f t="shared" si="12"/>
        <v>-2081387.1119999993</v>
      </c>
      <c r="L24" s="37">
        <f t="shared" si="13"/>
        <v>-4.5476505720852503</v>
      </c>
      <c r="M24" s="34">
        <f t="shared" si="5"/>
        <v>-2784835.5718354322</v>
      </c>
      <c r="N24" s="35">
        <f>'Results - C&amp;I and Residential'!N24/'Results - C&amp;I and Residential'!$H$2*'Results - LMI'!$F$2</f>
        <v>3424551.1515105278</v>
      </c>
      <c r="O24" s="41">
        <f>'Results - C&amp;I and Residential'!O24/'Results - C&amp;I and Residential'!$H$2*'Results - LMI'!$F$2</f>
        <v>-2729741.9406197281</v>
      </c>
      <c r="P24" s="35">
        <f t="shared" si="1"/>
        <v>-176855.02183543658</v>
      </c>
      <c r="Q24" s="35">
        <f t="shared" si="14"/>
        <v>-563867.25974494463</v>
      </c>
      <c r="S24" s="68" t="s">
        <v>51</v>
      </c>
      <c r="T24" s="124">
        <f>'Results - C&amp;I and Residential'!S24</f>
        <v>1.0091793</v>
      </c>
      <c r="Z24" s="55"/>
      <c r="AA24"/>
    </row>
    <row r="25" spans="1:27" ht="15" thickBot="1" x14ac:dyDescent="0.4">
      <c r="A25" s="28">
        <f t="shared" si="7"/>
        <v>2033</v>
      </c>
      <c r="B25" s="6">
        <f t="shared" si="7"/>
        <v>12</v>
      </c>
      <c r="C25" s="6">
        <f>$F$2*'Results - C&amp;I and Residential'!C25/'Results - C&amp;I and Residential'!$H$2</f>
        <v>26.027749999999958</v>
      </c>
      <c r="D25" s="115">
        <f>'Results - C&amp;I and Residential'!D25*'Results - LMI'!$F$2/'Results - C&amp;I and Residential'!$H$2</f>
        <v>60786.089999999916</v>
      </c>
      <c r="E25" s="7">
        <f t="shared" si="9"/>
        <v>8.35</v>
      </c>
      <c r="F25" s="33">
        <f t="shared" si="0"/>
        <v>2607980.5499999956</v>
      </c>
      <c r="G25" s="36">
        <f>'Results - C&amp;I and Residential'!G25</f>
        <v>1.4999999999999999E-2</v>
      </c>
      <c r="H25" s="117">
        <f t="shared" si="2"/>
        <v>-9.0299999999999994</v>
      </c>
      <c r="I25" s="118">
        <f t="shared" si="10"/>
        <v>-2820366.9899999956</v>
      </c>
      <c r="J25" s="118">
        <f t="shared" si="11"/>
        <v>-212386.43999999994</v>
      </c>
      <c r="K25" s="118">
        <f t="shared" si="12"/>
        <v>-2293773.5519999992</v>
      </c>
      <c r="L25" s="37">
        <f t="shared" si="13"/>
        <v>-4.6158653306665283</v>
      </c>
      <c r="M25" s="34">
        <f t="shared" si="5"/>
        <v>-2805804.0541777499</v>
      </c>
      <c r="N25" s="35">
        <f>'Results - C&amp;I and Residential'!N25/'Results - C&amp;I and Residential'!$H$2*'Results - LMI'!$F$2</f>
        <v>3345569.4817347671</v>
      </c>
      <c r="O25" s="41">
        <f>'Results - C&amp;I and Residential'!O25/'Results - C&amp;I and Residential'!$H$2*'Results - LMI'!$F$2</f>
        <v>-2780516.2486692346</v>
      </c>
      <c r="P25" s="35">
        <f t="shared" si="1"/>
        <v>-197823.50417775428</v>
      </c>
      <c r="Q25" s="35">
        <f t="shared" si="14"/>
        <v>-761690.76392269891</v>
      </c>
      <c r="S25" s="68" t="s">
        <v>52</v>
      </c>
      <c r="T25" s="123" t="str">
        <f>'Results - C&amp;I and Residential'!S25</f>
        <v>Y</v>
      </c>
      <c r="Z25" s="55"/>
      <c r="AA25"/>
    </row>
    <row r="26" spans="1:27" x14ac:dyDescent="0.35">
      <c r="A26" s="28">
        <f t="shared" si="7"/>
        <v>2034</v>
      </c>
      <c r="B26" s="6">
        <f t="shared" si="7"/>
        <v>13</v>
      </c>
      <c r="C26" s="6">
        <f>$F$2*'Results - C&amp;I and Residential'!C26/'Results - C&amp;I and Residential'!$H$2</f>
        <v>26.027749999999958</v>
      </c>
      <c r="D26" s="115">
        <f>'Results - C&amp;I and Residential'!D26*'Results - LMI'!$F$2/'Results - C&amp;I and Residential'!$H$2</f>
        <v>60482.722499999909</v>
      </c>
      <c r="E26" s="7">
        <f t="shared" si="9"/>
        <v>8.35</v>
      </c>
      <c r="F26" s="33">
        <f t="shared" si="0"/>
        <v>2607980.5499999956</v>
      </c>
      <c r="G26" s="36">
        <f>'Results - C&amp;I and Residential'!G26</f>
        <v>1.4999999999999999E-2</v>
      </c>
      <c r="H26" s="117">
        <f t="shared" si="2"/>
        <v>-9.0299999999999994</v>
      </c>
      <c r="I26" s="118">
        <f t="shared" si="10"/>
        <v>-2820366.9899999956</v>
      </c>
      <c r="J26" s="118">
        <f t="shared" si="11"/>
        <v>-212386.43999999994</v>
      </c>
      <c r="K26" s="118">
        <f t="shared" si="12"/>
        <v>-2506159.9919999992</v>
      </c>
      <c r="L26" s="37">
        <f t="shared" si="13"/>
        <v>-4.6851033106265261</v>
      </c>
      <c r="M26" s="34">
        <f t="shared" si="5"/>
        <v>-2833678.034204551</v>
      </c>
      <c r="N26" s="35">
        <f>'Results - C&amp;I and Residential'!N26/'Results - C&amp;I and Residential'!$H$2*'Results - LMI'!$F$2</f>
        <v>3261519.6191820069</v>
      </c>
      <c r="O26" s="41">
        <f>'Results - C&amp;I and Residential'!O26/'Results - C&amp;I and Residential'!$H$2*'Results - LMI'!$F$2</f>
        <v>-3023383.3742360515</v>
      </c>
      <c r="P26" s="35">
        <f t="shared" si="1"/>
        <v>-225697.4842045554</v>
      </c>
      <c r="Q26" s="35">
        <f t="shared" si="14"/>
        <v>-987388.24812725431</v>
      </c>
      <c r="Z26" s="55"/>
      <c r="AA26"/>
    </row>
    <row r="27" spans="1:27" x14ac:dyDescent="0.35">
      <c r="A27" s="28">
        <f t="shared" si="7"/>
        <v>2035</v>
      </c>
      <c r="B27" s="6">
        <f t="shared" si="7"/>
        <v>14</v>
      </c>
      <c r="C27" s="6">
        <f>$F$2*'Results - C&amp;I and Residential'!C27/'Results - C&amp;I and Residential'!$H$2</f>
        <v>26.027749999999958</v>
      </c>
      <c r="D27" s="115">
        <f>'Results - C&amp;I and Residential'!D27*'Results - LMI'!$F$2/'Results - C&amp;I and Residential'!$H$2</f>
        <v>60180.744999999908</v>
      </c>
      <c r="E27" s="7">
        <f t="shared" si="9"/>
        <v>8.35</v>
      </c>
      <c r="F27" s="33">
        <f t="shared" si="0"/>
        <v>2607980.5499999956</v>
      </c>
      <c r="G27" s="36">
        <f>'Results - C&amp;I and Residential'!G27</f>
        <v>1.4999999999999999E-2</v>
      </c>
      <c r="H27" s="117">
        <f t="shared" si="2"/>
        <v>-9.0299999999999994</v>
      </c>
      <c r="I27" s="118">
        <f t="shared" si="10"/>
        <v>-2820366.9899999956</v>
      </c>
      <c r="J27" s="118">
        <f t="shared" si="11"/>
        <v>-212386.43999999994</v>
      </c>
      <c r="K27" s="118">
        <f t="shared" si="12"/>
        <v>-2718546.4319999991</v>
      </c>
      <c r="L27" s="37">
        <f t="shared" si="13"/>
        <v>-4.7553798602859239</v>
      </c>
      <c r="M27" s="34">
        <f t="shared" si="5"/>
        <v>-2861823.0275000241</v>
      </c>
      <c r="N27" s="35">
        <f>'Results - C&amp;I and Residential'!N27/'Results - C&amp;I and Residential'!$H$2*'Results - LMI'!$F$2</f>
        <v>3182604.3018010058</v>
      </c>
      <c r="O27" s="41">
        <f>'Results - C&amp;I and Residential'!O27/'Results - C&amp;I and Residential'!$H$2*'Results - LMI'!$F$2</f>
        <v>-2971343.1811911501</v>
      </c>
      <c r="P27" s="35">
        <f t="shared" si="1"/>
        <v>-253842.47750002844</v>
      </c>
      <c r="Q27" s="35">
        <f t="shared" si="14"/>
        <v>-1241230.7256272826</v>
      </c>
      <c r="Z27" s="55"/>
      <c r="AA27"/>
    </row>
    <row r="28" spans="1:27" x14ac:dyDescent="0.35">
      <c r="A28" s="28">
        <f t="shared" si="7"/>
        <v>2036</v>
      </c>
      <c r="B28" s="6">
        <f t="shared" si="7"/>
        <v>15</v>
      </c>
      <c r="C28" s="6">
        <f>$F$2*'Results - C&amp;I and Residential'!C28/'Results - C&amp;I and Residential'!$H$2</f>
        <v>26.027749999999958</v>
      </c>
      <c r="D28" s="115">
        <f>'Results - C&amp;I and Residential'!D28*'Results - LMI'!$F$2/'Results - C&amp;I and Residential'!$H$2</f>
        <v>60021.937499999905</v>
      </c>
      <c r="E28" s="7">
        <f t="shared" si="9"/>
        <v>8.35</v>
      </c>
      <c r="F28" s="33">
        <f t="shared" si="0"/>
        <v>2607980.5499999956</v>
      </c>
      <c r="G28" s="36">
        <f>'Results - C&amp;I and Residential'!G28</f>
        <v>1.4999999999999999E-2</v>
      </c>
      <c r="H28" s="117">
        <f t="shared" si="2"/>
        <v>-9.0299999999999994</v>
      </c>
      <c r="I28" s="118">
        <f t="shared" si="10"/>
        <v>-2820366.9899999956</v>
      </c>
      <c r="J28" s="118">
        <f t="shared" si="11"/>
        <v>-212386.43999999994</v>
      </c>
      <c r="K28" s="118">
        <f t="shared" si="12"/>
        <v>-2930932.871999999</v>
      </c>
      <c r="L28" s="37">
        <f t="shared" si="13"/>
        <v>-4.8267105581902126</v>
      </c>
      <c r="M28" s="34">
        <f t="shared" si="5"/>
        <v>-2897085.1945428257</v>
      </c>
      <c r="N28" s="35">
        <f>'Results - C&amp;I and Residential'!N28/'Results - C&amp;I and Residential'!$H$2*'Results - LMI'!$F$2</f>
        <v>3105801.9911890007</v>
      </c>
      <c r="O28" s="41">
        <f>'Results - C&amp;I and Residential'!O28/'Results - C&amp;I and Residential'!$H$2*'Results - LMI'!$F$2</f>
        <v>-2948697.7376101045</v>
      </c>
      <c r="P28" s="35">
        <f t="shared" si="1"/>
        <v>-289104.64454283006</v>
      </c>
      <c r="Q28" s="35">
        <f t="shared" si="14"/>
        <v>-1530335.3701701127</v>
      </c>
      <c r="S28" s="107" t="s">
        <v>85</v>
      </c>
      <c r="T28" s="107" t="s">
        <v>84</v>
      </c>
      <c r="U28" s="86" t="s">
        <v>79</v>
      </c>
      <c r="Z28" s="55"/>
      <c r="AA28"/>
    </row>
    <row r="29" spans="1:27" x14ac:dyDescent="0.35">
      <c r="A29" s="28">
        <f t="shared" si="7"/>
        <v>2037</v>
      </c>
      <c r="B29" s="6">
        <f t="shared" si="7"/>
        <v>16</v>
      </c>
      <c r="C29" s="6">
        <f>$F$2*'Results - C&amp;I and Residential'!C29/'Results - C&amp;I and Residential'!$H$2</f>
        <v>26.027749999999958</v>
      </c>
      <c r="D29" s="115">
        <f>'Results - C&amp;I and Residential'!D29*'Results - LMI'!$F$2/'Results - C&amp;I and Residential'!$H$2</f>
        <v>59580.612499999923</v>
      </c>
      <c r="E29" s="7">
        <f t="shared" si="9"/>
        <v>8.35</v>
      </c>
      <c r="F29" s="33">
        <f t="shared" si="0"/>
        <v>2607980.5499999956</v>
      </c>
      <c r="G29" s="36">
        <f>'Results - C&amp;I and Residential'!G29</f>
        <v>1.4999999999999999E-2</v>
      </c>
      <c r="H29" s="117">
        <f t="shared" si="2"/>
        <v>-9.0299999999999994</v>
      </c>
      <c r="I29" s="118">
        <f t="shared" si="10"/>
        <v>-2820366.9899999956</v>
      </c>
      <c r="J29" s="118">
        <f t="shared" si="11"/>
        <v>-212386.43999999994</v>
      </c>
      <c r="K29" s="118">
        <f t="shared" si="12"/>
        <v>-3143319.311999999</v>
      </c>
      <c r="L29" s="37">
        <f t="shared" si="13"/>
        <v>-4.8991112165630657</v>
      </c>
      <c r="M29" s="34">
        <f t="shared" si="5"/>
        <v>-2918920.469884472</v>
      </c>
      <c r="N29" s="35">
        <f>'Results - C&amp;I and Residential'!N29/'Results - C&amp;I and Residential'!$H$2*'Results - LMI'!$F$2</f>
        <v>3025394.6993652498</v>
      </c>
      <c r="O29" s="41">
        <f>'Results - C&amp;I and Residential'!O29/'Results - C&amp;I and Residential'!$H$2*'Results - LMI'!$F$2</f>
        <v>-3169951.4435866973</v>
      </c>
      <c r="P29" s="35">
        <f t="shared" si="1"/>
        <v>-310939.91988447635</v>
      </c>
      <c r="Q29" s="35">
        <f t="shared" si="14"/>
        <v>-1841275.290054589</v>
      </c>
      <c r="S29" s="88" t="s">
        <v>2</v>
      </c>
      <c r="T29" s="12">
        <f>T8/1000000*F2</f>
        <v>12.282692514016011</v>
      </c>
      <c r="U29" s="105">
        <f>T29/$T$34</f>
        <v>0.21034776848444894</v>
      </c>
      <c r="Z29" s="55"/>
      <c r="AA29"/>
    </row>
    <row r="30" spans="1:27" x14ac:dyDescent="0.35">
      <c r="A30" s="28">
        <f t="shared" ref="A30:B45" si="15">A29+1</f>
        <v>2038</v>
      </c>
      <c r="B30" s="6">
        <f t="shared" si="15"/>
        <v>17</v>
      </c>
      <c r="C30" s="6">
        <f>$F$2*'Results - C&amp;I and Residential'!C30/'Results - C&amp;I and Residential'!$H$2</f>
        <v>26.027749999999958</v>
      </c>
      <c r="D30" s="115">
        <f>'Results - C&amp;I and Residential'!D30*'Results - LMI'!$F$2/'Results - C&amp;I and Residential'!$H$2</f>
        <v>59282.457499999902</v>
      </c>
      <c r="E30" s="7">
        <f t="shared" si="9"/>
        <v>8.35</v>
      </c>
      <c r="F30" s="33">
        <f t="shared" si="0"/>
        <v>2607980.5499999956</v>
      </c>
      <c r="G30" s="36">
        <f>'Results - C&amp;I and Residential'!G30</f>
        <v>1.4999999999999999E-2</v>
      </c>
      <c r="H30" s="117">
        <f t="shared" si="2"/>
        <v>-9.0299999999999994</v>
      </c>
      <c r="I30" s="118">
        <f t="shared" si="10"/>
        <v>-2820366.9899999956</v>
      </c>
      <c r="J30" s="118">
        <f t="shared" si="11"/>
        <v>-212386.43999999994</v>
      </c>
      <c r="K30" s="118">
        <f t="shared" si="12"/>
        <v>-3355705.7519999989</v>
      </c>
      <c r="L30" s="37">
        <f t="shared" si="13"/>
        <v>-4.9725978848115115</v>
      </c>
      <c r="M30" s="34">
        <f t="shared" si="5"/>
        <v>-2947878.2277092785</v>
      </c>
      <c r="N30" s="35">
        <f>'Results - C&amp;I and Residential'!N30/'Results - C&amp;I and Residential'!$H$2*'Results - LMI'!$F$2</f>
        <v>3161710.5810661386</v>
      </c>
      <c r="O30" s="41">
        <f>'Results - C&amp;I and Residential'!O30/'Results - C&amp;I and Residential'!$H$2*'Results - LMI'!$F$2</f>
        <v>-3396064.3075256897</v>
      </c>
      <c r="P30" s="35">
        <f t="shared" si="1"/>
        <v>-339897.67770928284</v>
      </c>
      <c r="Q30" s="35">
        <f t="shared" si="14"/>
        <v>-2181172.9677638719</v>
      </c>
      <c r="S30" s="88" t="s">
        <v>18</v>
      </c>
      <c r="T30" s="12">
        <f>-'Rev Rq_Benefits'!Q42*F2</f>
        <v>28.733961949205927</v>
      </c>
      <c r="U30" s="105">
        <f>T30/$T$34</f>
        <v>0.49208467677876566</v>
      </c>
      <c r="Z30" s="55"/>
      <c r="AA30"/>
    </row>
    <row r="31" spans="1:27" x14ac:dyDescent="0.35">
      <c r="A31" s="28">
        <f t="shared" si="15"/>
        <v>2039</v>
      </c>
      <c r="B31" s="6">
        <f t="shared" si="15"/>
        <v>18</v>
      </c>
      <c r="C31" s="6">
        <f>$F$2*'Results - C&amp;I and Residential'!C31/'Results - C&amp;I and Residential'!$H$2</f>
        <v>26.027749999999958</v>
      </c>
      <c r="D31" s="115">
        <f>'Results - C&amp;I and Residential'!D31*'Results - LMI'!$F$2/'Results - C&amp;I and Residential'!$H$2</f>
        <v>58986.039999999914</v>
      </c>
      <c r="E31" s="7">
        <f t="shared" si="9"/>
        <v>8.35</v>
      </c>
      <c r="F31" s="33">
        <f t="shared" si="0"/>
        <v>2607980.5499999956</v>
      </c>
      <c r="G31" s="36">
        <f>'Results - C&amp;I and Residential'!G31</f>
        <v>1.4999999999999999E-2</v>
      </c>
      <c r="H31" s="117">
        <f t="shared" si="2"/>
        <v>-9.0299999999999994</v>
      </c>
      <c r="I31" s="118">
        <f t="shared" si="10"/>
        <v>-2820366.9899999956</v>
      </c>
      <c r="J31" s="118">
        <f t="shared" si="11"/>
        <v>-212386.43999999994</v>
      </c>
      <c r="K31" s="118">
        <f t="shared" si="12"/>
        <v>-3568092.1919999989</v>
      </c>
      <c r="L31" s="37">
        <f t="shared" si="13"/>
        <v>-5.0471868530836836</v>
      </c>
      <c r="M31" s="34">
        <f t="shared" si="5"/>
        <v>-2977135.6560346787</v>
      </c>
      <c r="N31" s="35">
        <f>'Results - C&amp;I and Residential'!N31/'Results - C&amp;I and Residential'!$H$2*'Results - LMI'!$F$2</f>
        <v>3066460.1239473079</v>
      </c>
      <c r="O31" s="41">
        <f>'Results - C&amp;I and Residential'!O31/'Results - C&amp;I and Residential'!$H$2*'Results - LMI'!$F$2</f>
        <v>-3573757.7805365138</v>
      </c>
      <c r="P31" s="35">
        <f t="shared" si="1"/>
        <v>-369155.10603468306</v>
      </c>
      <c r="Q31" s="35">
        <f t="shared" si="14"/>
        <v>-2550328.0737985549</v>
      </c>
      <c r="S31" s="88" t="s">
        <v>71</v>
      </c>
      <c r="T31" s="12">
        <f>-'Rev Rq_Benefits'!R42*F2</f>
        <v>2.2432006435641947</v>
      </c>
      <c r="U31" s="105">
        <f t="shared" ref="U31:U33" si="16">T31/$T$34</f>
        <v>3.8416027194214025E-2</v>
      </c>
      <c r="Z31" s="55"/>
      <c r="AA31"/>
    </row>
    <row r="32" spans="1:27" x14ac:dyDescent="0.35">
      <c r="A32" s="28">
        <f t="shared" si="15"/>
        <v>2040</v>
      </c>
      <c r="B32" s="6">
        <f t="shared" si="15"/>
        <v>19</v>
      </c>
      <c r="C32" s="6">
        <f>$F$2*'Results - C&amp;I and Residential'!C32/'Results - C&amp;I and Residential'!$H$2</f>
        <v>26.027749999999958</v>
      </c>
      <c r="D32" s="115">
        <f>'Results - C&amp;I and Residential'!D32*'Results - LMI'!$F$2/'Results - C&amp;I and Residential'!$H$2</f>
        <v>58830.707499999902</v>
      </c>
      <c r="E32" s="7">
        <f t="shared" si="9"/>
        <v>8.35</v>
      </c>
      <c r="F32" s="33">
        <f t="shared" si="0"/>
        <v>2607980.5499999956</v>
      </c>
      <c r="G32" s="36">
        <f>'Results - C&amp;I and Residential'!G32</f>
        <v>1.4999999999999999E-2</v>
      </c>
      <c r="H32" s="117">
        <f t="shared" si="2"/>
        <v>-9.0299999999999994</v>
      </c>
      <c r="I32" s="118">
        <f t="shared" si="10"/>
        <v>-2820366.9899999956</v>
      </c>
      <c r="J32" s="118">
        <f t="shared" si="11"/>
        <v>-212386.43999999994</v>
      </c>
      <c r="K32" s="118">
        <f t="shared" si="12"/>
        <v>-3780478.6319999988</v>
      </c>
      <c r="L32" s="37">
        <f t="shared" si="13"/>
        <v>-5.1228946558799384</v>
      </c>
      <c r="M32" s="34">
        <f t="shared" si="5"/>
        <v>-3013835.1705338531</v>
      </c>
      <c r="N32" s="35">
        <f>'Results - C&amp;I and Residential'!N32/'Results - C&amp;I and Residential'!$H$2*'Results - LMI'!$F$2</f>
        <v>2967299.9856410339</v>
      </c>
      <c r="O32" s="41">
        <f>'Results - C&amp;I and Residential'!O32/'Results - C&amp;I and Residential'!$H$2*'Results - LMI'!$F$2</f>
        <v>-3713358.976048361</v>
      </c>
      <c r="P32" s="35">
        <f t="shared" si="1"/>
        <v>-405854.62053385749</v>
      </c>
      <c r="Q32" s="35">
        <f t="shared" si="14"/>
        <v>-2956182.6943324124</v>
      </c>
      <c r="S32" s="88" t="s">
        <v>72</v>
      </c>
      <c r="T32" s="12">
        <f>-'Rev Rq_Benefits'!S42*F2</f>
        <v>4.6835569421629419E-2</v>
      </c>
      <c r="U32" s="105">
        <f t="shared" si="16"/>
        <v>8.0208451870762178E-4</v>
      </c>
      <c r="Z32" s="55"/>
      <c r="AA32"/>
    </row>
    <row r="33" spans="1:27" x14ac:dyDescent="0.35">
      <c r="A33" s="28">
        <f t="shared" si="15"/>
        <v>2041</v>
      </c>
      <c r="B33" s="6">
        <f t="shared" si="15"/>
        <v>20</v>
      </c>
      <c r="C33" s="6">
        <f>$F$2*'Results - C&amp;I and Residential'!C33/'Results - C&amp;I and Residential'!$H$2</f>
        <v>26.027749999999958</v>
      </c>
      <c r="D33" s="115">
        <f>'Results - C&amp;I and Residential'!D33*'Results - LMI'!$F$2/'Results - C&amp;I and Residential'!$H$2</f>
        <v>58397.374999999913</v>
      </c>
      <c r="E33" s="7">
        <f t="shared" si="9"/>
        <v>8.35</v>
      </c>
      <c r="F33" s="33">
        <f t="shared" si="0"/>
        <v>2607980.5499999956</v>
      </c>
      <c r="G33" s="36">
        <f>'Results - C&amp;I and Residential'!G33</f>
        <v>1.4999999999999999E-2</v>
      </c>
      <c r="H33" s="117">
        <f t="shared" si="2"/>
        <v>-9.0299999999999994</v>
      </c>
      <c r="I33" s="118">
        <f t="shared" si="10"/>
        <v>-2820366.9899999956</v>
      </c>
      <c r="J33" s="118">
        <f t="shared" si="11"/>
        <v>-212386.43999999994</v>
      </c>
      <c r="K33" s="118">
        <f t="shared" si="12"/>
        <v>-3992865.0719999988</v>
      </c>
      <c r="L33" s="37">
        <f t="shared" si="13"/>
        <v>-5.1997380757181366</v>
      </c>
      <c r="M33" s="34">
        <f t="shared" si="5"/>
        <v>-3036510.5430948995</v>
      </c>
      <c r="N33" s="35">
        <f>'Results - C&amp;I and Residential'!N33/'Results - C&amp;I and Residential'!$H$2*'Results - LMI'!$F$2</f>
        <v>2871106.9136400558</v>
      </c>
      <c r="O33" s="41">
        <f>'Results - C&amp;I and Residential'!O33/'Results - C&amp;I and Residential'!$H$2*'Results - LMI'!$F$2</f>
        <v>-3813574.5500538326</v>
      </c>
      <c r="P33" s="35">
        <f t="shared" si="1"/>
        <v>-428529.99309490388</v>
      </c>
      <c r="Q33" s="35">
        <f t="shared" si="14"/>
        <v>-3384712.6874273163</v>
      </c>
      <c r="S33" s="88" t="s">
        <v>21</v>
      </c>
      <c r="T33" s="12">
        <f>-'Rev Rq_Benefits'!T42*F2</f>
        <v>15.085621267543964</v>
      </c>
      <c r="U33" s="105">
        <f t="shared" si="16"/>
        <v>0.2583494430238637</v>
      </c>
      <c r="Z33" s="55"/>
      <c r="AA33"/>
    </row>
    <row r="34" spans="1:27" x14ac:dyDescent="0.35">
      <c r="A34" s="28">
        <f t="shared" si="15"/>
        <v>2042</v>
      </c>
      <c r="B34" s="6">
        <f t="shared" si="15"/>
        <v>21</v>
      </c>
      <c r="C34" s="6">
        <f>$F$2*'Results - C&amp;I and Residential'!C34/'Results - C&amp;I and Residential'!$H$2</f>
        <v>26.027749999999958</v>
      </c>
      <c r="D34" s="115">
        <f>'Results - C&amp;I and Residential'!D34*'Results - LMI'!$F$2/'Results - C&amp;I and Residential'!$H$2</f>
        <v>58105.127499999908</v>
      </c>
      <c r="E34" s="7">
        <f t="shared" si="9"/>
        <v>8.35</v>
      </c>
      <c r="F34" s="33">
        <f t="shared" si="0"/>
        <v>2607980.5499999956</v>
      </c>
      <c r="G34" s="36">
        <f>'Results - C&amp;I and Residential'!G34</f>
        <v>1.4999999999999999E-2</v>
      </c>
      <c r="H34" s="117">
        <f t="shared" si="2"/>
        <v>-9.0299999999999994</v>
      </c>
      <c r="I34" s="118">
        <f t="shared" si="10"/>
        <v>-2820366.9899999956</v>
      </c>
      <c r="J34" s="118">
        <f t="shared" si="11"/>
        <v>-212386.43999999994</v>
      </c>
      <c r="K34" s="118">
        <f t="shared" si="12"/>
        <v>-4205251.5119999982</v>
      </c>
      <c r="L34" s="37">
        <f t="shared" si="13"/>
        <v>-5.2777341468539083</v>
      </c>
      <c r="M34" s="34">
        <f t="shared" si="5"/>
        <v>-3066634.1551404959</v>
      </c>
      <c r="N34" s="35">
        <f>'Results - C&amp;I and Residential'!N34/'Results - C&amp;I and Residential'!$H$2*'Results - LMI'!$F$2</f>
        <v>2784008.4804731272</v>
      </c>
      <c r="O34" s="41">
        <f>'Results - C&amp;I and Residential'!O34/'Results - C&amp;I and Residential'!$H$2*'Results - LMI'!$F$2</f>
        <v>-3775348.3090486526</v>
      </c>
      <c r="P34" s="35">
        <f t="shared" si="1"/>
        <v>-458653.60514050024</v>
      </c>
      <c r="Q34" s="35">
        <f t="shared" si="14"/>
        <v>-3843366.2925678166</v>
      </c>
      <c r="S34" s="88" t="s">
        <v>17</v>
      </c>
      <c r="T34" s="12">
        <f>SUM(T29:T33)</f>
        <v>58.392311943751729</v>
      </c>
      <c r="U34" s="105"/>
      <c r="Z34" s="55"/>
      <c r="AA34"/>
    </row>
    <row r="35" spans="1:27" x14ac:dyDescent="0.35">
      <c r="A35" s="28">
        <f t="shared" si="15"/>
        <v>2043</v>
      </c>
      <c r="B35" s="6">
        <f t="shared" si="15"/>
        <v>22</v>
      </c>
      <c r="C35" s="6">
        <f>$F$2*'Results - C&amp;I and Residential'!C35/'Results - C&amp;I and Residential'!$H$2</f>
        <v>26.027749999999958</v>
      </c>
      <c r="D35" s="115">
        <f>'Results - C&amp;I and Residential'!D35*'Results - LMI'!$F$2/'Results - C&amp;I and Residential'!$H$2</f>
        <v>57814.617499999913</v>
      </c>
      <c r="E35" s="7">
        <f t="shared" si="9"/>
        <v>8.35</v>
      </c>
      <c r="F35" s="33">
        <f t="shared" si="0"/>
        <v>2607980.5499999956</v>
      </c>
      <c r="G35" s="36">
        <f>'Results - C&amp;I and Residential'!G35</f>
        <v>1.4999999999999999E-2</v>
      </c>
      <c r="H35" s="117">
        <f t="shared" si="2"/>
        <v>-9.0299999999999994</v>
      </c>
      <c r="I35" s="118">
        <f t="shared" si="10"/>
        <v>-2820366.9899999956</v>
      </c>
      <c r="J35" s="118">
        <f t="shared" si="11"/>
        <v>-212386.43999999994</v>
      </c>
      <c r="K35" s="118">
        <f t="shared" si="12"/>
        <v>-4417637.9519999977</v>
      </c>
      <c r="L35" s="37">
        <f t="shared" si="13"/>
        <v>-5.3569001590567167</v>
      </c>
      <c r="M35" s="34">
        <f t="shared" si="5"/>
        <v>-3097071.3368155276</v>
      </c>
      <c r="N35" s="35">
        <f>'Results - C&amp;I and Residential'!N35/'Results - C&amp;I and Residential'!$H$2*'Results - LMI'!$F$2</f>
        <v>2701465.5286361324</v>
      </c>
      <c r="O35" s="41">
        <f>'Results - C&amp;I and Residential'!O35/'Results - C&amp;I and Residential'!$H$2*'Results - LMI'!$F$2</f>
        <v>-3980076.459261803</v>
      </c>
      <c r="P35" s="35">
        <f t="shared" si="1"/>
        <v>-489090.78681553202</v>
      </c>
      <c r="Q35" s="35">
        <f t="shared" si="14"/>
        <v>-4332457.079383349</v>
      </c>
      <c r="S35" s="88"/>
      <c r="T35" s="12"/>
      <c r="U35" s="105"/>
      <c r="Z35" s="55"/>
      <c r="AA35"/>
    </row>
    <row r="36" spans="1:27" x14ac:dyDescent="0.35">
      <c r="A36" s="28">
        <f t="shared" si="15"/>
        <v>2044</v>
      </c>
      <c r="B36" s="6">
        <f t="shared" si="15"/>
        <v>23</v>
      </c>
      <c r="C36" s="6">
        <f>$F$2*'Results - C&amp;I and Residential'!C36/'Results - C&amp;I and Residential'!$H$2</f>
        <v>26.027749999999958</v>
      </c>
      <c r="D36" s="115">
        <f>'Results - C&amp;I and Residential'!D36*'Results - LMI'!$F$2/'Results - C&amp;I and Residential'!$H$2</f>
        <v>57662.759999999915</v>
      </c>
      <c r="E36" s="7">
        <f t="shared" si="9"/>
        <v>8.35</v>
      </c>
      <c r="F36" s="33">
        <f t="shared" si="0"/>
        <v>2607980.5499999956</v>
      </c>
      <c r="G36" s="36">
        <f>'Results - C&amp;I and Residential'!G36</f>
        <v>1.4999999999999999E-2</v>
      </c>
      <c r="H36" s="117">
        <f t="shared" si="2"/>
        <v>-9.0299999999999994</v>
      </c>
      <c r="I36" s="118">
        <f t="shared" si="10"/>
        <v>-2820366.9899999956</v>
      </c>
      <c r="J36" s="118">
        <f t="shared" si="11"/>
        <v>-212386.43999999994</v>
      </c>
      <c r="K36" s="118">
        <f t="shared" si="12"/>
        <v>-4630024.3919999972</v>
      </c>
      <c r="L36" s="37">
        <f t="shared" si="13"/>
        <v>-5.4372536614425666</v>
      </c>
      <c r="M36" s="34">
        <f t="shared" si="5"/>
        <v>-3135270.5293888347</v>
      </c>
      <c r="N36" s="35">
        <f>'Results - C&amp;I and Residential'!N36/'Results - C&amp;I and Residential'!$H$2*'Results - LMI'!$F$2</f>
        <v>2623065.0523591004</v>
      </c>
      <c r="O36" s="41">
        <f>'Results - C&amp;I and Residential'!O36/'Results - C&amp;I and Residential'!$H$2*'Results - LMI'!$F$2</f>
        <v>-3862098.0958546051</v>
      </c>
      <c r="P36" s="35">
        <f t="shared" si="1"/>
        <v>-527289.9793888391</v>
      </c>
      <c r="Q36" s="35">
        <f t="shared" si="14"/>
        <v>-4859747.0587721877</v>
      </c>
      <c r="S36" s="107" t="s">
        <v>86</v>
      </c>
      <c r="T36" s="12"/>
      <c r="U36" s="105"/>
      <c r="Z36" s="55"/>
      <c r="AA36"/>
    </row>
    <row r="37" spans="1:27" x14ac:dyDescent="0.35">
      <c r="A37" s="28">
        <f t="shared" si="15"/>
        <v>2045</v>
      </c>
      <c r="B37" s="6">
        <f t="shared" si="15"/>
        <v>24</v>
      </c>
      <c r="C37" s="6">
        <f>$F$2*'Results - C&amp;I and Residential'!C37/'Results - C&amp;I and Residential'!$H$2</f>
        <v>26.027749999999958</v>
      </c>
      <c r="D37" s="115">
        <f>'Results - C&amp;I and Residential'!D37*'Results - LMI'!$F$2/'Results - C&amp;I and Residential'!$H$2</f>
        <v>57238.809999999918</v>
      </c>
      <c r="E37" s="7">
        <f t="shared" si="9"/>
        <v>8.35</v>
      </c>
      <c r="F37" s="33">
        <f t="shared" si="0"/>
        <v>2607980.5499999956</v>
      </c>
      <c r="G37" s="36">
        <f>'Results - C&amp;I and Residential'!G37</f>
        <v>1.4999999999999999E-2</v>
      </c>
      <c r="H37" s="117">
        <f t="shared" si="2"/>
        <v>-9.0299999999999994</v>
      </c>
      <c r="I37" s="118">
        <f t="shared" si="10"/>
        <v>-2820366.9899999956</v>
      </c>
      <c r="J37" s="118">
        <f t="shared" si="11"/>
        <v>-212386.43999999994</v>
      </c>
      <c r="K37" s="118">
        <f t="shared" si="12"/>
        <v>-4842410.8319999967</v>
      </c>
      <c r="L37" s="37">
        <f t="shared" si="13"/>
        <v>-5.5188124663642046</v>
      </c>
      <c r="M37" s="34">
        <f t="shared" si="5"/>
        <v>-3158902.5818785159</v>
      </c>
      <c r="N37" s="35">
        <f>'Results - C&amp;I and Residential'!N37/'Results - C&amp;I and Residential'!$H$2*'Results - LMI'!$F$2</f>
        <v>2544245.4980102973</v>
      </c>
      <c r="O37" s="41">
        <f>'Results - C&amp;I and Residential'!O37/'Results - C&amp;I and Residential'!$H$2*'Results - LMI'!$F$2</f>
        <v>-4189818.4216421316</v>
      </c>
      <c r="P37" s="35">
        <f t="shared" si="1"/>
        <v>-550922.03187852027</v>
      </c>
      <c r="Q37" s="35">
        <f t="shared" si="14"/>
        <v>-5410669.0906507075</v>
      </c>
      <c r="S37" s="88" t="s">
        <v>73</v>
      </c>
      <c r="T37" s="12">
        <f>NPV('Rev Rq_Benefits'!A1,'Rev Rq_Benefits'!L8:L41)/1000000*F2</f>
        <v>39.62536538114567</v>
      </c>
      <c r="U37" s="105">
        <f>T37/T39</f>
        <v>0.99361706567544272</v>
      </c>
      <c r="Z37" s="55"/>
      <c r="AA37"/>
    </row>
    <row r="38" spans="1:27" x14ac:dyDescent="0.35">
      <c r="A38" s="28">
        <f t="shared" si="15"/>
        <v>2046</v>
      </c>
      <c r="B38" s="6">
        <f t="shared" si="15"/>
        <v>25</v>
      </c>
      <c r="C38" s="6">
        <f>$F$2*'Results - C&amp;I and Residential'!C38/'Results - C&amp;I and Residential'!$H$2</f>
        <v>26.027749999999958</v>
      </c>
      <c r="D38" s="115">
        <f>'Results - C&amp;I and Residential'!D38*'Results - LMI'!$F$2/'Results - C&amp;I and Residential'!$H$2</f>
        <v>56952.469999999907</v>
      </c>
      <c r="E38" s="7">
        <f t="shared" si="9"/>
        <v>8.35</v>
      </c>
      <c r="F38" s="33">
        <f t="shared" si="0"/>
        <v>2607980.5499999956</v>
      </c>
      <c r="G38" s="36">
        <f>'Results - C&amp;I and Residential'!G38</f>
        <v>1.4999999999999999E-2</v>
      </c>
      <c r="H38" s="117">
        <f t="shared" si="2"/>
        <v>-9.0299999999999994</v>
      </c>
      <c r="I38" s="118">
        <f t="shared" si="10"/>
        <v>-2820366.9899999956</v>
      </c>
      <c r="J38" s="118">
        <f t="shared" si="11"/>
        <v>-212386.43999999994</v>
      </c>
      <c r="K38" s="118">
        <f t="shared" si="12"/>
        <v>-5054797.2719999962</v>
      </c>
      <c r="L38" s="37">
        <f t="shared" si="13"/>
        <v>-5.6015946533596672</v>
      </c>
      <c r="M38" s="34">
        <f t="shared" si="5"/>
        <v>-3190246.514476263</v>
      </c>
      <c r="N38" s="35">
        <f>'Results - C&amp;I and Residential'!N38/'Results - C&amp;I and Residential'!$H$2*'Results - LMI'!$F$2</f>
        <v>2467421.8620025883</v>
      </c>
      <c r="O38" s="41">
        <f>'Results - C&amp;I and Residential'!O38/'Results - C&amp;I and Residential'!$H$2*'Results - LMI'!$F$2</f>
        <v>-4241101.896221986</v>
      </c>
      <c r="P38" s="35">
        <f t="shared" si="1"/>
        <v>-582265.96447626734</v>
      </c>
      <c r="Q38" s="35">
        <f t="shared" si="14"/>
        <v>-5992935.0551269744</v>
      </c>
      <c r="S38" s="88" t="s">
        <v>74</v>
      </c>
      <c r="T38" s="12">
        <f>NPV('Rev Rq_Benefits'!A1,'Rev Rq_Benefits'!M8:M41)/1000000*F2</f>
        <v>0.25455088640461621</v>
      </c>
      <c r="U38" s="105">
        <f>T38/T39</f>
        <v>6.3829343245572611E-3</v>
      </c>
      <c r="Z38" s="55"/>
      <c r="AA38"/>
    </row>
    <row r="39" spans="1:27" x14ac:dyDescent="0.35">
      <c r="A39" s="28">
        <f t="shared" si="15"/>
        <v>2047</v>
      </c>
      <c r="B39" s="6">
        <f t="shared" si="15"/>
        <v>26</v>
      </c>
      <c r="C39" s="6">
        <f>$F$2*'Results - C&amp;I and Residential'!C39/'Results - C&amp;I and Residential'!$H$2</f>
        <v>26.027749999999958</v>
      </c>
      <c r="D39" s="115">
        <f>'Results - C&amp;I and Residential'!D39*'Results - LMI'!$F$2/'Results - C&amp;I and Residential'!$H$2</f>
        <v>56667.867499999913</v>
      </c>
      <c r="E39" s="7">
        <f t="shared" si="9"/>
        <v>8.35</v>
      </c>
      <c r="F39" s="33">
        <f t="shared" si="0"/>
        <v>2607980.5499999956</v>
      </c>
      <c r="G39" s="36">
        <f>'Results - C&amp;I and Residential'!G39</f>
        <v>1.4999999999999999E-2</v>
      </c>
      <c r="H39" s="117">
        <f t="shared" si="2"/>
        <v>-9.0299999999999994</v>
      </c>
      <c r="I39" s="118">
        <f t="shared" si="10"/>
        <v>-2820366.9899999956</v>
      </c>
      <c r="J39" s="118">
        <f t="shared" si="11"/>
        <v>-212386.43999999994</v>
      </c>
      <c r="K39" s="118">
        <f t="shared" si="12"/>
        <v>-5267183.7119999956</v>
      </c>
      <c r="L39" s="37">
        <f t="shared" si="13"/>
        <v>-5.6856185731600615</v>
      </c>
      <c r="M39" s="34">
        <f t="shared" si="5"/>
        <v>-3221918.7995937294</v>
      </c>
      <c r="N39" s="35">
        <f>'Results - C&amp;I and Residential'!N39/'Results - C&amp;I and Residential'!$H$2*'Results - LMI'!$F$2</f>
        <v>2393489.7311183829</v>
      </c>
      <c r="O39" s="41">
        <f>'Results - C&amp;I and Residential'!O39/'Results - C&amp;I and Residential'!$H$2*'Results - LMI'!$F$2</f>
        <v>-4052907.7183276247</v>
      </c>
      <c r="P39" s="35">
        <f t="shared" si="1"/>
        <v>-613938.24959373381</v>
      </c>
      <c r="Q39" s="35">
        <f t="shared" si="14"/>
        <v>-6606873.3047207082</v>
      </c>
      <c r="S39" s="88" t="s">
        <v>17</v>
      </c>
      <c r="T39" s="12">
        <f>T37+T38</f>
        <v>39.879916267550286</v>
      </c>
      <c r="U39" s="105"/>
      <c r="Z39" s="55"/>
      <c r="AA39"/>
    </row>
    <row r="40" spans="1:27" x14ac:dyDescent="0.35">
      <c r="A40" s="28">
        <f t="shared" si="15"/>
        <v>2048</v>
      </c>
      <c r="B40" s="6">
        <f t="shared" si="15"/>
        <v>27</v>
      </c>
      <c r="C40" s="6">
        <f>$F$2*'Results - C&amp;I and Residential'!C40/'Results - C&amp;I and Residential'!$H$2</f>
        <v>26.027749999999958</v>
      </c>
      <c r="D40" s="115">
        <f>'Results - C&amp;I and Residential'!D40*'Results - LMI'!$F$2/'Results - C&amp;I and Residential'!$H$2</f>
        <v>56502.457499999917</v>
      </c>
      <c r="E40" s="7">
        <f>E39</f>
        <v>8.35</v>
      </c>
      <c r="F40" s="33">
        <f t="shared" si="0"/>
        <v>2607980.5499999956</v>
      </c>
      <c r="G40" s="36">
        <f>'Results - C&amp;I and Residential'!G40</f>
        <v>1.4999999999999999E-2</v>
      </c>
      <c r="H40" s="117">
        <f t="shared" si="2"/>
        <v>-9.0299999999999994</v>
      </c>
      <c r="I40" s="118">
        <f t="shared" si="10"/>
        <v>-2820366.9899999956</v>
      </c>
      <c r="J40" s="118">
        <f t="shared" si="11"/>
        <v>-212386.43999999994</v>
      </c>
      <c r="K40" s="118">
        <f t="shared" si="12"/>
        <v>-5479570.1519999951</v>
      </c>
      <c r="L40" s="37">
        <f t="shared" si="13"/>
        <v>-5.7709028517574614</v>
      </c>
      <c r="M40" s="34">
        <f t="shared" si="5"/>
        <v>-3260701.9311805433</v>
      </c>
      <c r="N40" s="35">
        <f>'Results - C&amp;I and Residential'!N40/'Results - C&amp;I and Residential'!$H$2*'Results - LMI'!$F$2</f>
        <v>2321227.6029238999</v>
      </c>
      <c r="O40" s="41">
        <f>'Results - C&amp;I and Residential'!O40/'Results - C&amp;I and Residential'!$H$2*'Results - LMI'!$F$2</f>
        <v>-4567831.5233054338</v>
      </c>
      <c r="P40" s="35">
        <f t="shared" si="1"/>
        <v>-652721.38118054764</v>
      </c>
      <c r="Q40" s="35">
        <f t="shared" si="14"/>
        <v>-7259594.6859012563</v>
      </c>
      <c r="S40" s="88"/>
      <c r="T40" s="12"/>
      <c r="U40" s="105"/>
      <c r="Z40" s="4"/>
      <c r="AA40"/>
    </row>
    <row r="41" spans="1:27" x14ac:dyDescent="0.35">
      <c r="A41" s="28">
        <f t="shared" si="15"/>
        <v>2049</v>
      </c>
      <c r="B41" s="6">
        <f t="shared" si="15"/>
        <v>28</v>
      </c>
      <c r="C41" s="6">
        <f>$F$2*'Results - C&amp;I and Residential'!C41/'Results - C&amp;I and Residential'!$H$2</f>
        <v>26.027749999999958</v>
      </c>
      <c r="D41" s="115">
        <f>'Results - C&amp;I and Residential'!D41*'Results - LMI'!$F$2/'Results - C&amp;I and Residential'!$H$2</f>
        <v>56101.44249999991</v>
      </c>
      <c r="E41" s="7">
        <f t="shared" ref="E41:E45" si="17">E40</f>
        <v>8.35</v>
      </c>
      <c r="F41" s="33">
        <f t="shared" si="0"/>
        <v>2607980.5499999956</v>
      </c>
      <c r="G41" s="36">
        <f>'Results - C&amp;I and Residential'!G41</f>
        <v>1.4999999999999999E-2</v>
      </c>
      <c r="H41" s="117">
        <f t="shared" si="2"/>
        <v>-9.0299999999999994</v>
      </c>
      <c r="I41" s="118">
        <f t="shared" si="10"/>
        <v>-2820366.9899999956</v>
      </c>
      <c r="J41" s="118">
        <f t="shared" si="11"/>
        <v>-212386.43999999994</v>
      </c>
      <c r="K41" s="118">
        <f t="shared" si="12"/>
        <v>-5691956.5919999946</v>
      </c>
      <c r="L41" s="37">
        <f t="shared" si="13"/>
        <v>-5.857466394533823</v>
      </c>
      <c r="M41" s="34">
        <f t="shared" si="5"/>
        <v>-3286123.1412862111</v>
      </c>
      <c r="N41" s="35">
        <f>'Results - C&amp;I and Residential'!N41/'Results - C&amp;I and Residential'!$H$2*'Results - LMI'!$F$2</f>
        <v>2248154.2449369584</v>
      </c>
      <c r="O41" s="41">
        <f>'Results - C&amp;I and Residential'!O41/'Results - C&amp;I and Residential'!$H$2*'Results - LMI'!$F$2</f>
        <v>-4307050.5171405971</v>
      </c>
      <c r="P41" s="35">
        <f t="shared" si="1"/>
        <v>-678142.59128621547</v>
      </c>
      <c r="Q41" s="35">
        <f t="shared" si="14"/>
        <v>-7937737.2771874722</v>
      </c>
      <c r="S41" s="88" t="s">
        <v>75</v>
      </c>
      <c r="T41" s="12">
        <f>T34-T39</f>
        <v>18.512395676201443</v>
      </c>
      <c r="U41" s="105"/>
      <c r="AA41"/>
    </row>
    <row r="42" spans="1:27" x14ac:dyDescent="0.35">
      <c r="A42" s="28">
        <f t="shared" si="15"/>
        <v>2050</v>
      </c>
      <c r="B42" s="6">
        <f t="shared" si="15"/>
        <v>29</v>
      </c>
      <c r="C42" s="6">
        <f>$F$2*'Results - C&amp;I and Residential'!C42/'Results - C&amp;I and Residential'!$H$2</f>
        <v>26.027749999999958</v>
      </c>
      <c r="D42" s="115">
        <f>'Results - C&amp;I and Residential'!D42*'Results - LMI'!$F$2/'Results - C&amp;I and Residential'!$H$2</f>
        <v>55821.704999999914</v>
      </c>
      <c r="E42" s="7">
        <f t="shared" si="17"/>
        <v>8.35</v>
      </c>
      <c r="F42" s="33">
        <f t="shared" si="0"/>
        <v>2607980.5499999956</v>
      </c>
      <c r="G42" s="36">
        <f>'Results - C&amp;I and Residential'!G42</f>
        <v>1.4999999999999999E-2</v>
      </c>
      <c r="H42" s="117">
        <f t="shared" si="2"/>
        <v>-9.0299999999999994</v>
      </c>
      <c r="I42" s="118">
        <f t="shared" si="10"/>
        <v>-2820366.9899999956</v>
      </c>
      <c r="J42" s="118">
        <f t="shared" si="11"/>
        <v>-212386.43999999994</v>
      </c>
      <c r="K42" s="118">
        <f t="shared" si="12"/>
        <v>-5904343.0319999941</v>
      </c>
      <c r="L42" s="37">
        <f t="shared" si="13"/>
        <v>-5.9453283904518299</v>
      </c>
      <c r="M42" s="34">
        <f t="shared" si="5"/>
        <v>-3318783.6753992634</v>
      </c>
      <c r="N42" s="35">
        <f>'Results - C&amp;I and Residential'!N42/'Results - C&amp;I and Residential'!$H$2*'Results - LMI'!$F$2</f>
        <v>2178451.9058136554</v>
      </c>
      <c r="O42" s="41">
        <f>'Results - C&amp;I and Residential'!O42/'Results - C&amp;I and Residential'!$H$2*'Results - LMI'!$F$2</f>
        <v>-4425384.129322052</v>
      </c>
      <c r="P42" s="35">
        <f t="shared" si="1"/>
        <v>-710803.12539926777</v>
      </c>
      <c r="Q42" s="35">
        <f t="shared" si="14"/>
        <v>-8648540.4025867395</v>
      </c>
      <c r="S42" s="88" t="s">
        <v>76</v>
      </c>
      <c r="T42" s="12">
        <f>-NPV(T9,J13:J45)/1000000</f>
        <v>2.358468230154803</v>
      </c>
      <c r="U42" s="105">
        <f>T42/T41</f>
        <v>0.12739940693827784</v>
      </c>
      <c r="AA42"/>
    </row>
    <row r="43" spans="1:27" x14ac:dyDescent="0.35">
      <c r="A43" s="28">
        <f t="shared" si="15"/>
        <v>2051</v>
      </c>
      <c r="B43" s="6">
        <f t="shared" si="15"/>
        <v>30</v>
      </c>
      <c r="C43" s="6">
        <f>$F$2*'Results - C&amp;I and Residential'!C43/'Results - C&amp;I and Residential'!$H$2</f>
        <v>26.027749999999958</v>
      </c>
      <c r="D43" s="115">
        <f>'Results - C&amp;I and Residential'!D43*'Results - LMI'!$F$2/'Results - C&amp;I and Residential'!$H$2</f>
        <v>55543.009999999922</v>
      </c>
      <c r="E43" s="7">
        <f t="shared" si="17"/>
        <v>8.35</v>
      </c>
      <c r="F43" s="33">
        <f t="shared" si="0"/>
        <v>2607980.5499999956</v>
      </c>
      <c r="G43" s="36">
        <f>'Results - C&amp;I and Residential'!G43</f>
        <v>1.4999999999999999E-2</v>
      </c>
      <c r="H43" s="117">
        <f t="shared" si="2"/>
        <v>-9.0299999999999994</v>
      </c>
      <c r="I43" s="118">
        <f t="shared" si="10"/>
        <v>-2820366.9899999956</v>
      </c>
      <c r="J43" s="118">
        <f t="shared" si="11"/>
        <v>-212386.43999999994</v>
      </c>
      <c r="K43" s="118">
        <f t="shared" si="12"/>
        <v>-6116729.4719999935</v>
      </c>
      <c r="L43" s="37">
        <f t="shared" si="13"/>
        <v>-6.0345083163086066</v>
      </c>
      <c r="M43" s="34">
        <f t="shared" si="5"/>
        <v>-3351747.5575781167</v>
      </c>
      <c r="N43" s="35">
        <f>'Results - C&amp;I and Residential'!N43/'Results - C&amp;I and Residential'!$H$2*'Results - LMI'!$F$2</f>
        <v>2238183.4469714896</v>
      </c>
      <c r="O43" s="41">
        <f>'Results - C&amp;I and Residential'!O43/'Results - C&amp;I and Residential'!$H$2*'Results - LMI'!$F$2</f>
        <v>-4286029.468744345</v>
      </c>
      <c r="P43" s="35">
        <f t="shared" si="1"/>
        <v>-743767.00757812103</v>
      </c>
      <c r="Q43" s="35">
        <f t="shared" si="14"/>
        <v>-9392307.410164861</v>
      </c>
      <c r="S43" s="88" t="s">
        <v>77</v>
      </c>
      <c r="T43" s="12">
        <f>T41-T42</f>
        <v>16.153927446046641</v>
      </c>
      <c r="U43" s="105">
        <f>T43/T41</f>
        <v>0.87260059306172222</v>
      </c>
      <c r="AA43"/>
    </row>
    <row r="44" spans="1:27" x14ac:dyDescent="0.35">
      <c r="A44" s="28">
        <f t="shared" si="15"/>
        <v>2052</v>
      </c>
      <c r="B44" s="6">
        <f t="shared" si="15"/>
        <v>31</v>
      </c>
      <c r="C44" s="6">
        <f>$F$2*'Results - C&amp;I and Residential'!C44/'Results - C&amp;I and Residential'!$H$2</f>
        <v>20.82219999999997</v>
      </c>
      <c r="D44" s="115">
        <f>'Results - C&amp;I and Residential'!D44*'Results - LMI'!$F$2/'Results - C&amp;I and Residential'!$H$2</f>
        <v>44368.452499999934</v>
      </c>
      <c r="E44" s="7">
        <f t="shared" si="17"/>
        <v>8.35</v>
      </c>
      <c r="F44" s="33">
        <f t="shared" si="0"/>
        <v>2086384.4399999972</v>
      </c>
      <c r="G44" s="36">
        <f>'Results - C&amp;I and Residential'!G44</f>
        <v>0</v>
      </c>
      <c r="H44" s="117">
        <f t="shared" si="2"/>
        <v>-9.0299999999999994</v>
      </c>
      <c r="I44" s="118">
        <f t="shared" si="10"/>
        <v>-2256293.5919999965</v>
      </c>
      <c r="J44" s="118">
        <f t="shared" si="11"/>
        <v>-169909.1519999993</v>
      </c>
      <c r="K44" s="118">
        <f t="shared" si="12"/>
        <v>-6286638.6239999924</v>
      </c>
      <c r="L44" s="37">
        <f t="shared" si="13"/>
        <v>-6.0345083163086066</v>
      </c>
      <c r="M44" s="34">
        <f t="shared" si="5"/>
        <v>-2677417.9559299294</v>
      </c>
      <c r="N44" s="35">
        <f>'Results - C&amp;I and Residential'!N44/'Results - C&amp;I and Residential'!$H$2*'Results - LMI'!$F$2</f>
        <v>1907237.0541833977</v>
      </c>
      <c r="O44" s="41">
        <f>'Results - C&amp;I and Residential'!O44/'Results - C&amp;I and Residential'!$H$2*'Results - LMI'!$F$2</f>
        <v>-4016573.4488298832</v>
      </c>
      <c r="P44" s="35">
        <f t="shared" si="1"/>
        <v>-591033.51592993224</v>
      </c>
      <c r="Q44" s="35">
        <f t="shared" si="14"/>
        <v>-9983340.9260947928</v>
      </c>
      <c r="S44" s="88"/>
      <c r="T44" s="12"/>
      <c r="U44" s="105"/>
      <c r="AA44"/>
    </row>
    <row r="45" spans="1:27" x14ac:dyDescent="0.35">
      <c r="A45" s="28">
        <f t="shared" si="15"/>
        <v>2053</v>
      </c>
      <c r="B45" s="6">
        <f t="shared" si="15"/>
        <v>32</v>
      </c>
      <c r="C45" s="6">
        <f>$F$2*'Results - C&amp;I and Residential'!C45/'Results - C&amp;I and Residential'!$H$2</f>
        <v>10.411099999999985</v>
      </c>
      <c r="D45" s="115">
        <f>'Results - C&amp;I and Residential'!D45*'Results - LMI'!$F$2/'Results - C&amp;I and Residential'!$H$2</f>
        <v>22030.109999999968</v>
      </c>
      <c r="E45" s="7">
        <f t="shared" si="17"/>
        <v>8.35</v>
      </c>
      <c r="F45" s="33">
        <f t="shared" si="0"/>
        <v>1043192.2199999986</v>
      </c>
      <c r="G45" s="36">
        <f>'Results - C&amp;I and Residential'!G45</f>
        <v>0</v>
      </c>
      <c r="H45" s="117">
        <f t="shared" si="2"/>
        <v>-9.0299999999999994</v>
      </c>
      <c r="I45" s="118">
        <f t="shared" si="10"/>
        <v>-1128146.7959999982</v>
      </c>
      <c r="J45" s="118">
        <f t="shared" si="11"/>
        <v>-84954.575999999652</v>
      </c>
      <c r="K45" s="118">
        <f t="shared" si="12"/>
        <v>-6371593.1999999918</v>
      </c>
      <c r="L45" s="37">
        <f t="shared" si="13"/>
        <v>-6.0345083163086066</v>
      </c>
      <c r="M45" s="34">
        <f t="shared" si="5"/>
        <v>-1329408.8200419319</v>
      </c>
      <c r="N45" s="35">
        <f>'Results - C&amp;I and Residential'!N45/'Results - C&amp;I and Residential'!$H$2*'Results - LMI'!$F$2</f>
        <v>1103971.0050461574</v>
      </c>
      <c r="O45" s="41">
        <f>'Results - C&amp;I and Residential'!O45/'Results - C&amp;I and Residential'!$H$2*'Results - LMI'!$F$2</f>
        <v>-2143345.6102048676</v>
      </c>
      <c r="P45" s="35">
        <f t="shared" si="1"/>
        <v>-286216.60004193336</v>
      </c>
      <c r="Q45" s="35">
        <f t="shared" si="14"/>
        <v>-10269557.526136726</v>
      </c>
      <c r="S45" s="88" t="s">
        <v>78</v>
      </c>
      <c r="T45" s="12">
        <f>T41-T33</f>
        <v>3.4267744086574794</v>
      </c>
      <c r="U45" s="106"/>
      <c r="AA45"/>
    </row>
    <row r="46" spans="1:27" ht="15" thickBot="1" x14ac:dyDescent="0.4">
      <c r="A46" s="38"/>
      <c r="B46" s="44"/>
      <c r="C46" s="8"/>
      <c r="D46" s="44"/>
      <c r="E46" s="44"/>
      <c r="F46" s="44"/>
      <c r="G46" s="44"/>
      <c r="H46" s="44"/>
      <c r="I46" s="44"/>
      <c r="J46" s="44"/>
      <c r="K46" s="44"/>
      <c r="L46" s="44"/>
      <c r="M46" s="39"/>
      <c r="N46" s="44"/>
      <c r="O46" s="40"/>
      <c r="P46" s="4"/>
      <c r="Q46" s="4"/>
      <c r="S46" s="88" t="s">
        <v>76</v>
      </c>
      <c r="T46" s="12">
        <f>T42</f>
        <v>2.358468230154803</v>
      </c>
      <c r="U46" s="105">
        <f>T46/T45</f>
        <v>0.6882472987414392</v>
      </c>
    </row>
    <row r="47" spans="1:27" x14ac:dyDescent="0.35">
      <c r="S47" s="88" t="s">
        <v>77</v>
      </c>
      <c r="T47" s="12">
        <f>T45-T46</f>
        <v>1.0683061785026764</v>
      </c>
      <c r="U47" s="105">
        <f>T47/T45</f>
        <v>0.31175270125856075</v>
      </c>
    </row>
    <row r="48" spans="1:27" x14ac:dyDescent="0.35">
      <c r="A48"/>
      <c r="B48"/>
      <c r="D48"/>
      <c r="E48"/>
      <c r="F48"/>
      <c r="G48"/>
      <c r="H48"/>
      <c r="I48"/>
      <c r="J48"/>
      <c r="K48"/>
      <c r="L48"/>
      <c r="M48"/>
      <c r="N48"/>
      <c r="S48"/>
      <c r="AA48"/>
    </row>
    <row r="49" spans="1:27" x14ac:dyDescent="0.35">
      <c r="A49"/>
      <c r="B49"/>
      <c r="D49"/>
      <c r="E49"/>
      <c r="F49"/>
      <c r="G49"/>
      <c r="H49"/>
      <c r="I49"/>
      <c r="J49"/>
      <c r="K49"/>
      <c r="L49"/>
      <c r="M49"/>
      <c r="N49"/>
      <c r="S49"/>
      <c r="AA49"/>
    </row>
    <row r="50" spans="1:27" x14ac:dyDescent="0.35">
      <c r="A50"/>
      <c r="B50"/>
      <c r="D50"/>
      <c r="E50"/>
      <c r="F50"/>
      <c r="G50"/>
      <c r="H50"/>
      <c r="I50"/>
      <c r="J50"/>
      <c r="K50"/>
      <c r="L50"/>
      <c r="M50"/>
      <c r="N50"/>
      <c r="S50"/>
      <c r="AA50"/>
    </row>
    <row r="51" spans="1:27" x14ac:dyDescent="0.35">
      <c r="A51"/>
      <c r="B51"/>
      <c r="D51"/>
      <c r="E51"/>
      <c r="F51"/>
      <c r="G51"/>
      <c r="H51"/>
      <c r="I51"/>
      <c r="J51"/>
      <c r="K51"/>
      <c r="L51"/>
      <c r="M51"/>
      <c r="N51"/>
      <c r="S51"/>
      <c r="AA51"/>
    </row>
    <row r="52" spans="1:27" x14ac:dyDescent="0.35">
      <c r="A52"/>
      <c r="B52"/>
      <c r="D52"/>
      <c r="E52"/>
      <c r="F52"/>
      <c r="G52"/>
      <c r="H52"/>
      <c r="I52"/>
      <c r="J52"/>
      <c r="K52"/>
      <c r="L52"/>
      <c r="M52"/>
      <c r="N52"/>
      <c r="S52"/>
      <c r="AA52"/>
    </row>
    <row r="53" spans="1:27" x14ac:dyDescent="0.35">
      <c r="A53"/>
      <c r="B53"/>
      <c r="D53"/>
      <c r="E53"/>
      <c r="F53"/>
      <c r="G53"/>
      <c r="H53"/>
      <c r="I53"/>
      <c r="J53"/>
      <c r="K53"/>
      <c r="L53"/>
      <c r="M53"/>
      <c r="N53"/>
      <c r="S53"/>
      <c r="AA53"/>
    </row>
    <row r="54" spans="1:27" x14ac:dyDescent="0.35">
      <c r="A54"/>
      <c r="B54"/>
      <c r="D54"/>
      <c r="E54"/>
      <c r="F54"/>
      <c r="G54"/>
      <c r="H54"/>
      <c r="I54"/>
      <c r="J54"/>
      <c r="K54"/>
      <c r="L54"/>
      <c r="M54"/>
      <c r="N54"/>
      <c r="S54"/>
      <c r="AA54"/>
    </row>
    <row r="55" spans="1:27" x14ac:dyDescent="0.35">
      <c r="A55"/>
      <c r="B55"/>
      <c r="D55"/>
      <c r="E55"/>
      <c r="F55"/>
      <c r="G55"/>
      <c r="H55"/>
      <c r="I55"/>
      <c r="J55"/>
      <c r="K55"/>
      <c r="L55"/>
      <c r="M55"/>
      <c r="N55"/>
      <c r="S55"/>
      <c r="AA55"/>
    </row>
    <row r="56" spans="1:27" x14ac:dyDescent="0.35">
      <c r="A56"/>
      <c r="B56"/>
      <c r="D56"/>
      <c r="E56"/>
      <c r="F56"/>
      <c r="G56"/>
      <c r="H56"/>
      <c r="I56"/>
      <c r="J56"/>
      <c r="K56"/>
      <c r="L56"/>
      <c r="M56"/>
      <c r="N56"/>
      <c r="S56"/>
      <c r="AA56"/>
    </row>
    <row r="57" spans="1:27" x14ac:dyDescent="0.35">
      <c r="A57"/>
      <c r="B57"/>
      <c r="D57"/>
      <c r="E57"/>
      <c r="F57"/>
      <c r="G57"/>
      <c r="H57"/>
      <c r="I57"/>
      <c r="J57"/>
      <c r="K57"/>
      <c r="L57"/>
      <c r="M57"/>
      <c r="N57"/>
      <c r="S57"/>
      <c r="AA57"/>
    </row>
    <row r="58" spans="1:27" x14ac:dyDescent="0.35">
      <c r="A58"/>
      <c r="B58"/>
      <c r="D58"/>
      <c r="E58"/>
      <c r="F58"/>
      <c r="G58"/>
      <c r="H58"/>
      <c r="I58"/>
      <c r="J58"/>
      <c r="K58"/>
      <c r="L58"/>
      <c r="M58"/>
      <c r="N58"/>
      <c r="S58"/>
      <c r="AA58"/>
    </row>
    <row r="59" spans="1:27" x14ac:dyDescent="0.35">
      <c r="A59"/>
      <c r="B59"/>
      <c r="D59"/>
      <c r="E59"/>
      <c r="F59"/>
      <c r="G59"/>
      <c r="H59"/>
      <c r="I59"/>
      <c r="J59"/>
      <c r="K59"/>
      <c r="L59"/>
      <c r="M59"/>
      <c r="N59"/>
      <c r="S59"/>
      <c r="AA59"/>
    </row>
    <row r="60" spans="1:27" x14ac:dyDescent="0.35">
      <c r="A60"/>
      <c r="B60"/>
      <c r="D60"/>
      <c r="E60"/>
      <c r="F60"/>
      <c r="G60"/>
      <c r="H60"/>
      <c r="I60"/>
      <c r="J60"/>
      <c r="K60"/>
      <c r="L60"/>
      <c r="M60"/>
      <c r="N60"/>
      <c r="S60"/>
      <c r="AA60"/>
    </row>
    <row r="61" spans="1:27" x14ac:dyDescent="0.35">
      <c r="A61"/>
      <c r="B61"/>
      <c r="D61"/>
      <c r="E61"/>
      <c r="F61"/>
      <c r="G61"/>
      <c r="H61"/>
      <c r="I61"/>
      <c r="J61"/>
      <c r="K61"/>
      <c r="L61"/>
      <c r="M61"/>
      <c r="N61"/>
      <c r="S61"/>
      <c r="AA61"/>
    </row>
    <row r="62" spans="1:27" x14ac:dyDescent="0.35">
      <c r="A62"/>
      <c r="B62"/>
      <c r="D62"/>
      <c r="E62"/>
      <c r="F62"/>
      <c r="G62"/>
      <c r="H62"/>
      <c r="I62"/>
      <c r="J62"/>
      <c r="K62"/>
      <c r="L62"/>
      <c r="M62"/>
      <c r="N62"/>
      <c r="S62"/>
      <c r="AA62"/>
    </row>
    <row r="63" spans="1:27" x14ac:dyDescent="0.35">
      <c r="A63"/>
      <c r="B63"/>
      <c r="D63"/>
      <c r="E63"/>
      <c r="F63"/>
      <c r="G63"/>
      <c r="H63"/>
      <c r="I63"/>
      <c r="J63"/>
      <c r="K63"/>
      <c r="L63"/>
      <c r="M63"/>
      <c r="N63"/>
      <c r="S63"/>
      <c r="AA63"/>
    </row>
    <row r="64" spans="1:27" x14ac:dyDescent="0.35">
      <c r="A64"/>
      <c r="B64"/>
      <c r="D64"/>
      <c r="E64"/>
      <c r="F64"/>
      <c r="G64"/>
      <c r="H64"/>
      <c r="I64"/>
      <c r="J64"/>
      <c r="K64"/>
      <c r="L64"/>
      <c r="M64"/>
      <c r="N64"/>
      <c r="S64"/>
      <c r="AA64"/>
    </row>
    <row r="65" spans="1:27" x14ac:dyDescent="0.35">
      <c r="A65"/>
      <c r="B65"/>
      <c r="D65"/>
      <c r="E65"/>
      <c r="F65"/>
      <c r="G65"/>
      <c r="H65"/>
      <c r="I65"/>
      <c r="J65"/>
      <c r="K65"/>
      <c r="L65"/>
      <c r="M65"/>
      <c r="N65"/>
      <c r="S65"/>
      <c r="AA65"/>
    </row>
    <row r="66" spans="1:27" x14ac:dyDescent="0.35">
      <c r="A66"/>
      <c r="B66"/>
      <c r="D66"/>
      <c r="E66"/>
      <c r="F66"/>
      <c r="G66"/>
      <c r="H66"/>
      <c r="I66"/>
      <c r="J66"/>
      <c r="K66"/>
      <c r="L66"/>
      <c r="M66"/>
      <c r="N66"/>
      <c r="S66"/>
      <c r="AA66"/>
    </row>
    <row r="67" spans="1:27" x14ac:dyDescent="0.35">
      <c r="A67"/>
      <c r="B67"/>
      <c r="D67"/>
      <c r="E67"/>
      <c r="F67"/>
      <c r="G67"/>
      <c r="H67"/>
      <c r="I67"/>
      <c r="J67"/>
      <c r="K67"/>
      <c r="L67"/>
      <c r="M67"/>
      <c r="N67"/>
      <c r="S67"/>
      <c r="AA67"/>
    </row>
    <row r="68" spans="1:27" x14ac:dyDescent="0.35">
      <c r="A68"/>
      <c r="B68"/>
      <c r="D68"/>
      <c r="E68"/>
      <c r="F68"/>
      <c r="G68"/>
      <c r="H68"/>
      <c r="I68"/>
      <c r="J68"/>
      <c r="K68"/>
      <c r="L68"/>
      <c r="M68"/>
      <c r="N68"/>
      <c r="S68"/>
      <c r="AA68"/>
    </row>
    <row r="69" spans="1:27" x14ac:dyDescent="0.35">
      <c r="A69"/>
      <c r="B69"/>
      <c r="D69"/>
      <c r="E69"/>
      <c r="F69"/>
      <c r="G69"/>
      <c r="H69"/>
      <c r="I69"/>
      <c r="J69"/>
      <c r="K69"/>
      <c r="L69"/>
      <c r="M69"/>
      <c r="N69"/>
      <c r="S69"/>
      <c r="AA69"/>
    </row>
    <row r="70" spans="1:27" x14ac:dyDescent="0.35">
      <c r="A70"/>
      <c r="B70"/>
      <c r="D70"/>
      <c r="E70"/>
      <c r="F70"/>
      <c r="G70"/>
      <c r="H70"/>
      <c r="I70"/>
      <c r="J70"/>
      <c r="K70"/>
      <c r="L70"/>
      <c r="M70"/>
      <c r="N70"/>
      <c r="S70"/>
      <c r="AA70"/>
    </row>
    <row r="71" spans="1:27" x14ac:dyDescent="0.35">
      <c r="A71"/>
      <c r="B71"/>
      <c r="D71"/>
      <c r="E71"/>
      <c r="F71"/>
      <c r="G71"/>
      <c r="H71"/>
      <c r="I71"/>
      <c r="J71"/>
      <c r="K71"/>
      <c r="L71"/>
      <c r="M71"/>
      <c r="N71"/>
      <c r="S71"/>
      <c r="AA71"/>
    </row>
    <row r="72" spans="1:27" x14ac:dyDescent="0.35">
      <c r="A72"/>
      <c r="B72"/>
      <c r="D72"/>
      <c r="E72"/>
      <c r="F72"/>
      <c r="G72"/>
      <c r="H72"/>
      <c r="I72"/>
      <c r="J72"/>
      <c r="K72"/>
      <c r="L72"/>
      <c r="M72"/>
      <c r="N72"/>
      <c r="S72"/>
      <c r="AA72"/>
    </row>
    <row r="73" spans="1:27" x14ac:dyDescent="0.35">
      <c r="A73"/>
      <c r="B73"/>
      <c r="D73"/>
      <c r="E73"/>
      <c r="F73"/>
      <c r="G73"/>
      <c r="H73"/>
      <c r="I73"/>
      <c r="J73"/>
      <c r="K73"/>
      <c r="L73"/>
      <c r="M73"/>
      <c r="N73"/>
      <c r="S73"/>
      <c r="AA73"/>
    </row>
    <row r="74" spans="1:27" x14ac:dyDescent="0.35">
      <c r="A74"/>
      <c r="B74"/>
      <c r="D74"/>
      <c r="E74"/>
      <c r="F74"/>
      <c r="G74"/>
      <c r="H74"/>
      <c r="I74"/>
      <c r="J74"/>
      <c r="K74"/>
      <c r="L74"/>
      <c r="M74"/>
      <c r="N74"/>
      <c r="S74"/>
      <c r="AA74"/>
    </row>
    <row r="75" spans="1:27" x14ac:dyDescent="0.35">
      <c r="A75"/>
      <c r="B75"/>
      <c r="D75"/>
      <c r="E75"/>
      <c r="F75"/>
      <c r="G75"/>
      <c r="H75"/>
      <c r="I75"/>
      <c r="J75"/>
      <c r="K75"/>
      <c r="L75"/>
      <c r="M75"/>
      <c r="N75"/>
      <c r="S75"/>
      <c r="AA75"/>
    </row>
    <row r="76" spans="1:27" x14ac:dyDescent="0.35">
      <c r="A76"/>
      <c r="B76"/>
      <c r="D76"/>
      <c r="E76"/>
      <c r="F76"/>
      <c r="G76"/>
      <c r="H76"/>
      <c r="I76"/>
      <c r="J76"/>
      <c r="K76"/>
      <c r="L76"/>
      <c r="M76"/>
      <c r="N76"/>
      <c r="S76"/>
      <c r="AA76"/>
    </row>
    <row r="77" spans="1:27" x14ac:dyDescent="0.35">
      <c r="A77"/>
      <c r="B77"/>
      <c r="D77"/>
      <c r="E77"/>
      <c r="F77"/>
      <c r="G77"/>
      <c r="H77"/>
      <c r="I77"/>
      <c r="J77"/>
      <c r="K77"/>
      <c r="L77"/>
      <c r="M77"/>
      <c r="N77"/>
      <c r="S77"/>
      <c r="AA77"/>
    </row>
    <row r="78" spans="1:27" x14ac:dyDescent="0.35">
      <c r="A78"/>
      <c r="B78"/>
      <c r="D78"/>
      <c r="E78"/>
      <c r="F78"/>
      <c r="G78"/>
      <c r="H78"/>
      <c r="I78"/>
      <c r="J78"/>
      <c r="K78"/>
      <c r="L78"/>
      <c r="M78"/>
      <c r="N78"/>
      <c r="S78"/>
      <c r="AA78"/>
    </row>
    <row r="79" spans="1:27" x14ac:dyDescent="0.35">
      <c r="A79"/>
      <c r="B79"/>
      <c r="D79"/>
      <c r="E79"/>
      <c r="F79"/>
      <c r="G79"/>
      <c r="H79"/>
      <c r="I79"/>
      <c r="J79"/>
      <c r="K79"/>
      <c r="L79"/>
      <c r="M79"/>
      <c r="N79"/>
      <c r="S79"/>
      <c r="AA79"/>
    </row>
    <row r="80" spans="1:27" x14ac:dyDescent="0.35">
      <c r="A80"/>
      <c r="B80"/>
      <c r="D80"/>
      <c r="E80"/>
      <c r="F80"/>
      <c r="G80"/>
      <c r="H80"/>
      <c r="I80"/>
      <c r="J80"/>
      <c r="K80"/>
      <c r="L80"/>
      <c r="M80"/>
      <c r="N80"/>
      <c r="S80"/>
      <c r="AA80"/>
    </row>
    <row r="81" spans="1:27" x14ac:dyDescent="0.35">
      <c r="A81"/>
      <c r="B81"/>
      <c r="D81"/>
      <c r="E81"/>
      <c r="F81"/>
      <c r="G81"/>
      <c r="H81"/>
      <c r="I81"/>
      <c r="J81"/>
      <c r="K81"/>
      <c r="L81"/>
      <c r="M81"/>
      <c r="N81"/>
      <c r="S81"/>
      <c r="AA81"/>
    </row>
    <row r="82" spans="1:27" x14ac:dyDescent="0.35">
      <c r="A82"/>
      <c r="B82"/>
      <c r="D82"/>
      <c r="E82"/>
      <c r="F82"/>
      <c r="G82"/>
      <c r="H82"/>
      <c r="I82"/>
      <c r="J82"/>
      <c r="K82"/>
      <c r="L82"/>
      <c r="M82"/>
      <c r="N82"/>
      <c r="S82"/>
      <c r="AA82"/>
    </row>
    <row r="83" spans="1:27" x14ac:dyDescent="0.35">
      <c r="A83"/>
      <c r="B83"/>
      <c r="D83"/>
      <c r="E83"/>
      <c r="F83"/>
      <c r="G83"/>
      <c r="H83"/>
      <c r="I83"/>
      <c r="J83"/>
      <c r="K83"/>
      <c r="L83"/>
      <c r="M83"/>
      <c r="N83"/>
      <c r="S83"/>
      <c r="AA83"/>
    </row>
    <row r="84" spans="1:27" x14ac:dyDescent="0.35">
      <c r="A84"/>
      <c r="B84"/>
      <c r="D84"/>
      <c r="E84"/>
      <c r="F84"/>
      <c r="G84"/>
      <c r="H84"/>
      <c r="I84"/>
      <c r="J84"/>
      <c r="K84"/>
      <c r="L84"/>
      <c r="M84"/>
      <c r="N84"/>
      <c r="S84"/>
      <c r="AA84"/>
    </row>
    <row r="85" spans="1:27" x14ac:dyDescent="0.35">
      <c r="A85"/>
      <c r="B85"/>
      <c r="D85"/>
      <c r="E85"/>
      <c r="F85"/>
      <c r="G85"/>
      <c r="H85"/>
      <c r="I85"/>
      <c r="J85"/>
      <c r="K85"/>
      <c r="L85"/>
      <c r="M85"/>
      <c r="N85"/>
      <c r="S85"/>
      <c r="AA85"/>
    </row>
    <row r="86" spans="1:27" x14ac:dyDescent="0.35">
      <c r="A86"/>
      <c r="B86"/>
      <c r="D86"/>
      <c r="E86"/>
      <c r="F86"/>
      <c r="G86"/>
      <c r="H86"/>
      <c r="I86"/>
      <c r="J86"/>
      <c r="K86"/>
      <c r="L86"/>
      <c r="M86"/>
      <c r="N86"/>
      <c r="S86"/>
      <c r="AA86"/>
    </row>
    <row r="87" spans="1:27" x14ac:dyDescent="0.35">
      <c r="A87"/>
      <c r="B87"/>
      <c r="D87"/>
      <c r="E87"/>
      <c r="F87"/>
      <c r="G87"/>
      <c r="H87"/>
      <c r="I87"/>
      <c r="J87"/>
      <c r="K87"/>
      <c r="L87"/>
      <c r="M87"/>
      <c r="N87"/>
      <c r="S87"/>
      <c r="AA87"/>
    </row>
    <row r="88" spans="1:27" x14ac:dyDescent="0.35">
      <c r="A88"/>
      <c r="B88"/>
      <c r="D88"/>
      <c r="E88"/>
      <c r="F88"/>
      <c r="G88"/>
      <c r="H88"/>
      <c r="I88"/>
      <c r="J88"/>
      <c r="K88"/>
      <c r="L88"/>
      <c r="M88"/>
      <c r="N88"/>
      <c r="S88"/>
      <c r="AA88"/>
    </row>
    <row r="89" spans="1:27" x14ac:dyDescent="0.35">
      <c r="A89"/>
      <c r="B89"/>
      <c r="D89"/>
      <c r="E89"/>
      <c r="F89"/>
      <c r="G89"/>
      <c r="H89"/>
      <c r="I89"/>
      <c r="J89"/>
      <c r="K89"/>
      <c r="L89"/>
      <c r="M89"/>
      <c r="N89"/>
      <c r="S89"/>
      <c r="AA89"/>
    </row>
    <row r="90" spans="1:27" x14ac:dyDescent="0.35">
      <c r="A90"/>
      <c r="B90"/>
      <c r="D90"/>
      <c r="E90"/>
      <c r="F90"/>
      <c r="G90"/>
      <c r="H90"/>
      <c r="I90"/>
      <c r="J90"/>
      <c r="K90"/>
      <c r="L90"/>
      <c r="M90"/>
      <c r="N90"/>
      <c r="S90"/>
      <c r="AA90"/>
    </row>
    <row r="91" spans="1:27" x14ac:dyDescent="0.35">
      <c r="A91"/>
      <c r="B91"/>
      <c r="D91"/>
      <c r="E91"/>
      <c r="F91"/>
      <c r="G91"/>
      <c r="H91"/>
      <c r="I91"/>
      <c r="J91"/>
      <c r="K91"/>
      <c r="L91"/>
      <c r="M91"/>
      <c r="N91"/>
      <c r="S91"/>
      <c r="AA91"/>
    </row>
    <row r="92" spans="1:27" x14ac:dyDescent="0.35">
      <c r="A92"/>
      <c r="B92"/>
      <c r="D92"/>
      <c r="E92"/>
      <c r="F92"/>
      <c r="G92"/>
      <c r="H92"/>
      <c r="I92"/>
      <c r="J92"/>
      <c r="K92"/>
      <c r="L92"/>
      <c r="M92"/>
      <c r="N92"/>
      <c r="S92"/>
      <c r="AA92"/>
    </row>
    <row r="93" spans="1:27" x14ac:dyDescent="0.35">
      <c r="A93"/>
      <c r="B93"/>
      <c r="D93"/>
      <c r="E93"/>
      <c r="F93"/>
      <c r="G93"/>
      <c r="H93"/>
      <c r="I93"/>
      <c r="J93"/>
      <c r="K93"/>
      <c r="L93"/>
      <c r="M93"/>
      <c r="N93"/>
      <c r="S93"/>
      <c r="AA93"/>
    </row>
    <row r="94" spans="1:27" x14ac:dyDescent="0.35">
      <c r="A94"/>
      <c r="B94"/>
      <c r="D94"/>
      <c r="E94"/>
      <c r="F94"/>
      <c r="G94"/>
      <c r="H94"/>
      <c r="I94"/>
      <c r="J94"/>
      <c r="K94"/>
      <c r="L94"/>
      <c r="M94"/>
      <c r="N94"/>
      <c r="S94"/>
      <c r="AA94"/>
    </row>
    <row r="95" spans="1:27" x14ac:dyDescent="0.35">
      <c r="A95"/>
      <c r="B95"/>
      <c r="D95"/>
      <c r="E95"/>
      <c r="F95"/>
      <c r="G95"/>
      <c r="H95"/>
      <c r="I95"/>
      <c r="J95"/>
      <c r="K95"/>
      <c r="L95"/>
      <c r="M95"/>
      <c r="N95"/>
      <c r="S95"/>
      <c r="AA95"/>
    </row>
    <row r="96" spans="1:27" x14ac:dyDescent="0.35">
      <c r="A96"/>
      <c r="B96"/>
      <c r="D96"/>
      <c r="E96"/>
      <c r="F96"/>
      <c r="G96"/>
      <c r="H96"/>
      <c r="I96"/>
      <c r="J96"/>
      <c r="K96"/>
      <c r="L96"/>
      <c r="M96"/>
      <c r="N96"/>
      <c r="S96"/>
      <c r="AA96"/>
    </row>
    <row r="97" spans="1:27" x14ac:dyDescent="0.35">
      <c r="A97"/>
      <c r="B97"/>
      <c r="D97"/>
      <c r="E97"/>
      <c r="F97"/>
      <c r="G97"/>
      <c r="H97"/>
      <c r="I97"/>
      <c r="J97"/>
      <c r="K97"/>
      <c r="L97"/>
      <c r="M97"/>
      <c r="N97"/>
      <c r="S97"/>
      <c r="AA97"/>
    </row>
    <row r="98" spans="1:27" x14ac:dyDescent="0.35">
      <c r="A98"/>
      <c r="B98"/>
      <c r="D98"/>
      <c r="E98"/>
      <c r="F98"/>
      <c r="G98"/>
      <c r="H98"/>
      <c r="I98"/>
      <c r="J98"/>
      <c r="K98"/>
      <c r="L98"/>
      <c r="M98"/>
      <c r="N98"/>
      <c r="S98"/>
      <c r="AA98"/>
    </row>
    <row r="99" spans="1:27" x14ac:dyDescent="0.35">
      <c r="A99"/>
      <c r="B99"/>
      <c r="D99"/>
      <c r="E99"/>
      <c r="F99"/>
      <c r="G99"/>
      <c r="H99"/>
      <c r="I99"/>
      <c r="J99"/>
      <c r="K99"/>
      <c r="L99"/>
      <c r="M99"/>
      <c r="N99"/>
      <c r="S99"/>
      <c r="AA99"/>
    </row>
    <row r="100" spans="1:27" x14ac:dyDescent="0.35">
      <c r="A100"/>
      <c r="B100"/>
      <c r="D100"/>
      <c r="E100"/>
      <c r="F100"/>
      <c r="G100"/>
      <c r="H100"/>
      <c r="I100"/>
      <c r="J100"/>
      <c r="K100"/>
      <c r="L100"/>
      <c r="M100"/>
      <c r="N100"/>
      <c r="S100"/>
      <c r="AA100"/>
    </row>
    <row r="101" spans="1:27" x14ac:dyDescent="0.35">
      <c r="A101"/>
      <c r="B101"/>
      <c r="D101"/>
      <c r="E101"/>
      <c r="F101"/>
      <c r="G101"/>
      <c r="H101"/>
      <c r="I101"/>
      <c r="J101"/>
      <c r="K101"/>
      <c r="L101"/>
      <c r="M101"/>
      <c r="N101"/>
      <c r="S101"/>
      <c r="AA101"/>
    </row>
    <row r="102" spans="1:27" x14ac:dyDescent="0.35">
      <c r="A102"/>
      <c r="B102"/>
      <c r="D102"/>
      <c r="E102"/>
      <c r="F102"/>
      <c r="G102"/>
      <c r="H102"/>
      <c r="I102"/>
      <c r="J102"/>
      <c r="K102"/>
      <c r="L102"/>
      <c r="M102"/>
      <c r="N102"/>
      <c r="S102"/>
      <c r="AA102"/>
    </row>
    <row r="103" spans="1:27" x14ac:dyDescent="0.35">
      <c r="A103"/>
      <c r="B103"/>
      <c r="D103"/>
      <c r="E103"/>
      <c r="F103"/>
      <c r="G103"/>
      <c r="H103"/>
      <c r="I103"/>
      <c r="J103"/>
      <c r="K103"/>
      <c r="L103"/>
      <c r="M103"/>
      <c r="N103"/>
      <c r="S103"/>
      <c r="AA103"/>
    </row>
    <row r="104" spans="1:27" x14ac:dyDescent="0.35">
      <c r="A104"/>
      <c r="B104"/>
      <c r="D104"/>
      <c r="E104"/>
      <c r="F104"/>
      <c r="G104"/>
      <c r="H104"/>
      <c r="I104"/>
      <c r="J104"/>
      <c r="K104"/>
      <c r="L104"/>
      <c r="M104"/>
      <c r="N104"/>
      <c r="S104"/>
      <c r="AA104"/>
    </row>
    <row r="105" spans="1:27" x14ac:dyDescent="0.35">
      <c r="A105"/>
      <c r="B105"/>
      <c r="D105"/>
      <c r="E105"/>
      <c r="F105"/>
      <c r="G105"/>
      <c r="H105"/>
      <c r="I105"/>
      <c r="J105"/>
      <c r="K105"/>
      <c r="L105"/>
      <c r="M105"/>
      <c r="N105"/>
      <c r="S105"/>
      <c r="AA105"/>
    </row>
    <row r="106" spans="1:27" x14ac:dyDescent="0.35">
      <c r="A106"/>
      <c r="B106"/>
      <c r="D106"/>
      <c r="E106"/>
      <c r="F106"/>
      <c r="G106"/>
      <c r="H106"/>
      <c r="I106"/>
      <c r="J106"/>
      <c r="K106"/>
      <c r="L106"/>
      <c r="M106"/>
      <c r="N106"/>
      <c r="S106"/>
      <c r="AA106"/>
    </row>
    <row r="107" spans="1:27" x14ac:dyDescent="0.35">
      <c r="A107"/>
      <c r="B107"/>
      <c r="D107"/>
      <c r="E107"/>
      <c r="F107"/>
      <c r="G107"/>
      <c r="H107"/>
      <c r="I107"/>
      <c r="J107"/>
      <c r="K107"/>
      <c r="L107"/>
      <c r="M107"/>
      <c r="N107"/>
      <c r="S107"/>
      <c r="AA107"/>
    </row>
    <row r="108" spans="1:27" x14ac:dyDescent="0.35">
      <c r="A108"/>
      <c r="B108"/>
      <c r="D108"/>
      <c r="E108"/>
      <c r="F108"/>
      <c r="G108"/>
      <c r="H108"/>
      <c r="I108"/>
      <c r="J108"/>
      <c r="K108"/>
      <c r="L108"/>
      <c r="M108"/>
      <c r="N108"/>
      <c r="S108"/>
      <c r="AA108"/>
    </row>
    <row r="109" spans="1:27" x14ac:dyDescent="0.35">
      <c r="A109"/>
      <c r="B109"/>
      <c r="D109"/>
      <c r="E109"/>
      <c r="F109"/>
      <c r="G109"/>
      <c r="H109"/>
      <c r="I109"/>
      <c r="J109"/>
      <c r="K109"/>
      <c r="L109"/>
      <c r="M109"/>
      <c r="N109"/>
      <c r="S109"/>
      <c r="AA109"/>
    </row>
    <row r="110" spans="1:27" x14ac:dyDescent="0.35">
      <c r="A110"/>
      <c r="B110"/>
      <c r="D110"/>
      <c r="E110"/>
      <c r="F110"/>
      <c r="G110"/>
      <c r="H110"/>
      <c r="I110"/>
      <c r="J110"/>
      <c r="K110"/>
      <c r="L110"/>
      <c r="M110"/>
      <c r="N110"/>
      <c r="S110"/>
      <c r="AA110"/>
    </row>
    <row r="111" spans="1:27" x14ac:dyDescent="0.35">
      <c r="A111"/>
      <c r="B111"/>
      <c r="D111"/>
      <c r="E111"/>
      <c r="F111"/>
      <c r="G111"/>
      <c r="H111"/>
      <c r="I111"/>
      <c r="J111"/>
      <c r="K111"/>
      <c r="L111"/>
      <c r="M111"/>
      <c r="N111"/>
      <c r="S111"/>
      <c r="AA111"/>
    </row>
    <row r="112" spans="1:27" x14ac:dyDescent="0.35">
      <c r="A112"/>
      <c r="B112"/>
      <c r="D112"/>
      <c r="E112"/>
      <c r="F112"/>
      <c r="G112"/>
      <c r="H112"/>
      <c r="I112"/>
      <c r="J112"/>
      <c r="K112"/>
      <c r="L112"/>
      <c r="M112"/>
      <c r="N112"/>
      <c r="S112"/>
      <c r="AA112"/>
    </row>
    <row r="113" spans="1:27" x14ac:dyDescent="0.35">
      <c r="A113"/>
      <c r="B113"/>
      <c r="D113"/>
      <c r="E113"/>
      <c r="F113"/>
      <c r="G113"/>
      <c r="H113"/>
      <c r="I113"/>
      <c r="J113"/>
      <c r="K113"/>
      <c r="L113"/>
      <c r="M113"/>
      <c r="N113"/>
      <c r="S113"/>
      <c r="AA113"/>
    </row>
    <row r="114" spans="1:27" x14ac:dyDescent="0.35">
      <c r="A114"/>
      <c r="B114"/>
      <c r="D114"/>
      <c r="E114"/>
      <c r="F114"/>
      <c r="G114"/>
      <c r="H114"/>
      <c r="I114"/>
      <c r="J114"/>
      <c r="K114"/>
      <c r="L114"/>
      <c r="M114"/>
      <c r="N114"/>
      <c r="S114"/>
      <c r="AA114"/>
    </row>
    <row r="115" spans="1:27" x14ac:dyDescent="0.35">
      <c r="A115"/>
      <c r="B115"/>
      <c r="D115"/>
      <c r="E115"/>
      <c r="F115"/>
      <c r="G115"/>
      <c r="H115"/>
      <c r="I115"/>
      <c r="J115"/>
      <c r="K115"/>
      <c r="L115"/>
      <c r="M115"/>
      <c r="N115"/>
      <c r="S115"/>
      <c r="AA115"/>
    </row>
    <row r="116" spans="1:27" x14ac:dyDescent="0.35">
      <c r="A116"/>
      <c r="B116"/>
      <c r="D116"/>
      <c r="E116"/>
      <c r="F116"/>
      <c r="G116"/>
      <c r="H116"/>
      <c r="I116"/>
      <c r="J116"/>
      <c r="K116"/>
      <c r="L116"/>
      <c r="M116"/>
      <c r="N116"/>
      <c r="S116"/>
      <c r="AA116"/>
    </row>
    <row r="117" spans="1:27" x14ac:dyDescent="0.35">
      <c r="A117"/>
      <c r="B117"/>
      <c r="D117"/>
      <c r="E117"/>
      <c r="F117"/>
      <c r="G117"/>
      <c r="H117"/>
      <c r="I117"/>
      <c r="J117"/>
      <c r="K117"/>
      <c r="L117"/>
      <c r="M117"/>
      <c r="N117"/>
      <c r="S117"/>
      <c r="AA117"/>
    </row>
    <row r="118" spans="1:27" x14ac:dyDescent="0.35">
      <c r="A118"/>
      <c r="B118"/>
      <c r="D118"/>
      <c r="E118"/>
      <c r="F118"/>
      <c r="G118"/>
      <c r="H118"/>
      <c r="I118"/>
      <c r="J118"/>
      <c r="K118"/>
      <c r="L118"/>
      <c r="M118"/>
      <c r="N118"/>
      <c r="S118"/>
      <c r="AA118"/>
    </row>
    <row r="119" spans="1:27" x14ac:dyDescent="0.35">
      <c r="A119"/>
      <c r="B119"/>
      <c r="D119"/>
      <c r="E119"/>
      <c r="F119"/>
      <c r="G119"/>
      <c r="H119"/>
      <c r="I119"/>
      <c r="J119"/>
      <c r="K119"/>
      <c r="L119"/>
      <c r="M119"/>
      <c r="N119"/>
      <c r="S119"/>
      <c r="AA119"/>
    </row>
    <row r="120" spans="1:27" x14ac:dyDescent="0.35">
      <c r="A120"/>
      <c r="B120"/>
      <c r="D120"/>
      <c r="E120"/>
      <c r="F120"/>
      <c r="G120"/>
      <c r="H120"/>
      <c r="I120"/>
      <c r="J120"/>
      <c r="K120"/>
      <c r="L120"/>
      <c r="M120"/>
      <c r="N120"/>
      <c r="S120"/>
      <c r="AA120"/>
    </row>
    <row r="121" spans="1:27" x14ac:dyDescent="0.35">
      <c r="A121"/>
      <c r="B121"/>
      <c r="D121"/>
      <c r="E121"/>
      <c r="F121"/>
      <c r="G121"/>
      <c r="H121"/>
      <c r="I121"/>
      <c r="J121"/>
      <c r="K121"/>
      <c r="L121"/>
      <c r="M121"/>
      <c r="N121"/>
      <c r="S121"/>
      <c r="AA121"/>
    </row>
    <row r="122" spans="1:27" x14ac:dyDescent="0.35">
      <c r="A122"/>
      <c r="B122"/>
      <c r="D122"/>
      <c r="E122"/>
      <c r="F122"/>
      <c r="G122"/>
      <c r="H122"/>
      <c r="I122"/>
      <c r="J122"/>
      <c r="K122"/>
      <c r="L122"/>
      <c r="M122"/>
      <c r="N122"/>
      <c r="S122"/>
      <c r="AA122"/>
    </row>
    <row r="123" spans="1:27" x14ac:dyDescent="0.35">
      <c r="A123"/>
      <c r="B123"/>
      <c r="D123"/>
      <c r="E123"/>
      <c r="F123"/>
      <c r="G123"/>
      <c r="H123"/>
      <c r="I123"/>
      <c r="J123"/>
      <c r="K123"/>
      <c r="L123"/>
      <c r="M123"/>
      <c r="N123"/>
      <c r="S123"/>
      <c r="AA123"/>
    </row>
    <row r="124" spans="1:27" x14ac:dyDescent="0.35">
      <c r="A124"/>
      <c r="B124"/>
      <c r="D124"/>
      <c r="E124"/>
      <c r="F124"/>
      <c r="G124"/>
      <c r="H124"/>
      <c r="I124"/>
      <c r="J124"/>
      <c r="K124"/>
      <c r="L124"/>
      <c r="M124"/>
      <c r="N124"/>
      <c r="S124"/>
      <c r="AA124"/>
    </row>
    <row r="125" spans="1:27" x14ac:dyDescent="0.35">
      <c r="A125"/>
      <c r="B125"/>
      <c r="D125"/>
      <c r="E125"/>
      <c r="F125"/>
      <c r="G125"/>
      <c r="H125"/>
      <c r="I125"/>
      <c r="J125"/>
      <c r="K125"/>
      <c r="L125"/>
      <c r="M125"/>
      <c r="N125"/>
      <c r="S125"/>
      <c r="AA125"/>
    </row>
    <row r="126" spans="1:27" x14ac:dyDescent="0.35">
      <c r="A126"/>
      <c r="B126"/>
      <c r="D126"/>
      <c r="E126"/>
      <c r="F126"/>
      <c r="G126"/>
      <c r="H126"/>
      <c r="I126"/>
      <c r="J126"/>
      <c r="K126"/>
      <c r="L126"/>
      <c r="M126"/>
      <c r="N126"/>
      <c r="S126"/>
      <c r="AA126"/>
    </row>
    <row r="127" spans="1:27" x14ac:dyDescent="0.35">
      <c r="A127"/>
      <c r="B127"/>
      <c r="D127"/>
      <c r="E127"/>
      <c r="F127"/>
      <c r="G127"/>
      <c r="H127"/>
      <c r="I127"/>
      <c r="J127"/>
      <c r="K127"/>
      <c r="L127"/>
      <c r="M127"/>
      <c r="N127"/>
      <c r="S127"/>
      <c r="AA127"/>
    </row>
    <row r="128" spans="1:27" x14ac:dyDescent="0.35">
      <c r="A128"/>
      <c r="B128"/>
      <c r="D128"/>
      <c r="E128"/>
      <c r="F128"/>
      <c r="G128"/>
      <c r="H128"/>
      <c r="I128"/>
      <c r="J128"/>
      <c r="K128"/>
      <c r="L128"/>
      <c r="M128"/>
      <c r="N128"/>
      <c r="S128"/>
      <c r="AA128"/>
    </row>
    <row r="129" spans="1:27" x14ac:dyDescent="0.35">
      <c r="A129"/>
      <c r="B129"/>
      <c r="D129"/>
      <c r="E129"/>
      <c r="F129"/>
      <c r="G129"/>
      <c r="H129"/>
      <c r="I129"/>
      <c r="J129"/>
      <c r="K129"/>
      <c r="L129"/>
      <c r="M129"/>
      <c r="N129"/>
      <c r="S129"/>
      <c r="AA129"/>
    </row>
    <row r="130" spans="1:27" x14ac:dyDescent="0.35">
      <c r="A130"/>
      <c r="B130"/>
      <c r="D130"/>
      <c r="E130"/>
      <c r="F130"/>
      <c r="G130"/>
      <c r="H130"/>
      <c r="I130"/>
      <c r="J130"/>
      <c r="K130"/>
      <c r="L130"/>
      <c r="M130"/>
      <c r="N130"/>
      <c r="S130"/>
      <c r="AA130"/>
    </row>
    <row r="131" spans="1:27" x14ac:dyDescent="0.35">
      <c r="A131"/>
      <c r="B131"/>
      <c r="D131"/>
      <c r="E131"/>
      <c r="F131"/>
      <c r="G131"/>
      <c r="H131"/>
      <c r="I131"/>
      <c r="J131"/>
      <c r="K131"/>
      <c r="L131"/>
      <c r="M131"/>
      <c r="N131"/>
      <c r="S131"/>
      <c r="AA131"/>
    </row>
    <row r="132" spans="1:27" x14ac:dyDescent="0.35">
      <c r="A132"/>
      <c r="B132"/>
      <c r="D132"/>
      <c r="E132"/>
      <c r="F132"/>
      <c r="G132"/>
      <c r="H132"/>
      <c r="I132"/>
      <c r="J132"/>
      <c r="K132"/>
      <c r="L132"/>
      <c r="M132"/>
      <c r="N132"/>
      <c r="S132"/>
      <c r="AA132"/>
    </row>
    <row r="133" spans="1:27" x14ac:dyDescent="0.35">
      <c r="A133"/>
      <c r="B133"/>
      <c r="D133"/>
      <c r="E133"/>
      <c r="F133"/>
      <c r="G133"/>
      <c r="H133"/>
      <c r="I133"/>
      <c r="J133"/>
      <c r="K133"/>
      <c r="L133"/>
      <c r="M133"/>
      <c r="N133"/>
      <c r="S133"/>
      <c r="AA133"/>
    </row>
    <row r="134" spans="1:27" x14ac:dyDescent="0.35">
      <c r="A134"/>
      <c r="B134"/>
      <c r="D134"/>
      <c r="E134"/>
      <c r="F134"/>
      <c r="G134"/>
      <c r="H134"/>
      <c r="I134"/>
      <c r="J134"/>
      <c r="K134"/>
      <c r="L134"/>
      <c r="M134"/>
      <c r="N134"/>
      <c r="S134"/>
      <c r="AA134"/>
    </row>
    <row r="135" spans="1:27" x14ac:dyDescent="0.35">
      <c r="A135"/>
      <c r="B135"/>
      <c r="D135"/>
      <c r="E135"/>
      <c r="F135"/>
      <c r="G135"/>
      <c r="H135"/>
      <c r="I135"/>
      <c r="J135"/>
      <c r="K135"/>
      <c r="L135"/>
      <c r="M135"/>
      <c r="N135"/>
      <c r="S135"/>
      <c r="AA135"/>
    </row>
    <row r="136" spans="1:27" x14ac:dyDescent="0.35">
      <c r="A136"/>
      <c r="B136"/>
      <c r="D136"/>
      <c r="E136"/>
      <c r="F136"/>
      <c r="G136"/>
      <c r="H136"/>
      <c r="I136"/>
      <c r="J136"/>
      <c r="K136"/>
      <c r="L136"/>
      <c r="M136"/>
      <c r="N136"/>
      <c r="S136"/>
      <c r="AA136"/>
    </row>
    <row r="137" spans="1:27" x14ac:dyDescent="0.35">
      <c r="A137"/>
      <c r="B137"/>
      <c r="D137"/>
      <c r="E137"/>
      <c r="F137"/>
      <c r="G137"/>
      <c r="H137"/>
      <c r="I137"/>
      <c r="J137"/>
      <c r="K137"/>
      <c r="L137"/>
      <c r="M137"/>
      <c r="N137"/>
      <c r="S137"/>
      <c r="AA137"/>
    </row>
    <row r="138" spans="1:27" x14ac:dyDescent="0.35">
      <c r="A138"/>
      <c r="B138"/>
      <c r="D138"/>
      <c r="E138"/>
      <c r="F138"/>
      <c r="G138"/>
      <c r="H138"/>
      <c r="I138"/>
      <c r="J138"/>
      <c r="K138"/>
      <c r="L138"/>
      <c r="M138"/>
      <c r="N138"/>
      <c r="S138"/>
      <c r="AA138"/>
    </row>
    <row r="139" spans="1:27" x14ac:dyDescent="0.35">
      <c r="A139"/>
      <c r="B139"/>
      <c r="D139"/>
      <c r="E139"/>
      <c r="F139"/>
      <c r="G139"/>
      <c r="H139"/>
      <c r="I139"/>
      <c r="J139"/>
      <c r="K139"/>
      <c r="L139"/>
      <c r="M139"/>
      <c r="N139"/>
      <c r="S139"/>
      <c r="AA139"/>
    </row>
    <row r="140" spans="1:27" x14ac:dyDescent="0.35">
      <c r="A140"/>
      <c r="B140"/>
      <c r="D140"/>
      <c r="E140"/>
      <c r="F140"/>
      <c r="G140"/>
      <c r="H140"/>
      <c r="I140"/>
      <c r="J140"/>
      <c r="K140"/>
      <c r="L140"/>
      <c r="M140"/>
      <c r="N140"/>
      <c r="S140"/>
      <c r="AA140"/>
    </row>
    <row r="141" spans="1:27" x14ac:dyDescent="0.35">
      <c r="A141"/>
      <c r="B141"/>
      <c r="D141"/>
      <c r="E141"/>
      <c r="F141"/>
      <c r="G141"/>
      <c r="H141"/>
      <c r="I141"/>
      <c r="J141"/>
      <c r="K141"/>
      <c r="L141"/>
      <c r="M141"/>
      <c r="N141"/>
      <c r="S141"/>
      <c r="AA141"/>
    </row>
    <row r="142" spans="1:27" x14ac:dyDescent="0.35">
      <c r="A142"/>
      <c r="B142"/>
      <c r="D142"/>
      <c r="E142"/>
      <c r="F142"/>
      <c r="G142"/>
      <c r="H142"/>
      <c r="I142"/>
      <c r="J142"/>
      <c r="K142"/>
      <c r="L142"/>
      <c r="M142"/>
      <c r="N142"/>
      <c r="S142"/>
      <c r="AA142"/>
    </row>
    <row r="143" spans="1:27" x14ac:dyDescent="0.35">
      <c r="A143"/>
      <c r="B143"/>
      <c r="D143"/>
      <c r="E143"/>
      <c r="F143"/>
      <c r="G143"/>
      <c r="H143"/>
      <c r="I143"/>
      <c r="J143"/>
      <c r="K143"/>
      <c r="L143"/>
      <c r="M143"/>
      <c r="N143"/>
      <c r="S143"/>
      <c r="AA143"/>
    </row>
    <row r="144" spans="1:27" x14ac:dyDescent="0.35">
      <c r="A144"/>
      <c r="B144"/>
      <c r="D144"/>
      <c r="E144"/>
      <c r="F144"/>
      <c r="G144"/>
      <c r="H144"/>
      <c r="I144"/>
      <c r="J144"/>
      <c r="K144"/>
      <c r="L144"/>
      <c r="M144"/>
      <c r="N144"/>
      <c r="S144"/>
      <c r="AA144"/>
    </row>
    <row r="145" spans="1:27" x14ac:dyDescent="0.35">
      <c r="A145"/>
      <c r="B145"/>
      <c r="D145"/>
      <c r="E145"/>
      <c r="F145"/>
      <c r="G145"/>
      <c r="H145"/>
      <c r="I145"/>
      <c r="J145"/>
      <c r="K145"/>
      <c r="L145"/>
      <c r="M145"/>
      <c r="N145"/>
      <c r="S145"/>
      <c r="AA145"/>
    </row>
    <row r="146" spans="1:27" x14ac:dyDescent="0.35">
      <c r="A146"/>
      <c r="B146"/>
      <c r="D146"/>
      <c r="E146"/>
      <c r="F146"/>
      <c r="G146"/>
      <c r="H146"/>
      <c r="I146"/>
      <c r="J146"/>
      <c r="K146"/>
      <c r="L146"/>
      <c r="M146"/>
      <c r="N146"/>
      <c r="S146"/>
      <c r="AA146"/>
    </row>
    <row r="147" spans="1:27" x14ac:dyDescent="0.35">
      <c r="A147"/>
      <c r="B147"/>
      <c r="D147"/>
      <c r="E147"/>
      <c r="F147"/>
      <c r="G147"/>
      <c r="H147"/>
      <c r="I147"/>
      <c r="J147"/>
      <c r="K147"/>
      <c r="L147"/>
      <c r="M147"/>
      <c r="N147"/>
      <c r="S147"/>
      <c r="AA147"/>
    </row>
    <row r="148" spans="1:27" x14ac:dyDescent="0.35">
      <c r="A148"/>
      <c r="B148"/>
      <c r="D148"/>
      <c r="E148"/>
      <c r="F148"/>
      <c r="G148"/>
      <c r="H148"/>
      <c r="I148"/>
      <c r="J148"/>
      <c r="K148"/>
      <c r="L148"/>
      <c r="M148"/>
      <c r="N148"/>
      <c r="S148"/>
      <c r="AA148"/>
    </row>
    <row r="149" spans="1:27" x14ac:dyDescent="0.35">
      <c r="A149"/>
      <c r="B149"/>
      <c r="D149"/>
      <c r="E149"/>
      <c r="F149"/>
      <c r="G149"/>
      <c r="H149"/>
      <c r="I149"/>
      <c r="J149"/>
      <c r="K149"/>
      <c r="L149"/>
      <c r="M149"/>
      <c r="N149"/>
      <c r="S149"/>
      <c r="AA149"/>
    </row>
    <row r="150" spans="1:27" x14ac:dyDescent="0.35">
      <c r="A150"/>
      <c r="B150"/>
      <c r="D150"/>
      <c r="E150"/>
      <c r="F150"/>
      <c r="G150"/>
      <c r="H150"/>
      <c r="I150"/>
      <c r="J150"/>
      <c r="K150"/>
      <c r="L150"/>
      <c r="M150"/>
      <c r="N150"/>
      <c r="S150"/>
      <c r="AA150"/>
    </row>
    <row r="151" spans="1:27" x14ac:dyDescent="0.35">
      <c r="A151"/>
      <c r="B151"/>
      <c r="D151"/>
      <c r="E151"/>
      <c r="F151"/>
      <c r="G151"/>
      <c r="H151"/>
      <c r="I151"/>
      <c r="J151"/>
      <c r="K151"/>
      <c r="L151"/>
      <c r="M151"/>
      <c r="N151"/>
      <c r="S151"/>
      <c r="AA151"/>
    </row>
    <row r="152" spans="1:27" x14ac:dyDescent="0.35">
      <c r="A152"/>
      <c r="B152"/>
      <c r="D152"/>
      <c r="E152"/>
      <c r="F152"/>
      <c r="G152"/>
      <c r="H152"/>
      <c r="I152"/>
      <c r="J152"/>
      <c r="K152"/>
      <c r="L152"/>
      <c r="M152"/>
      <c r="N152"/>
      <c r="S152"/>
      <c r="AA152"/>
    </row>
    <row r="153" spans="1:27" x14ac:dyDescent="0.35">
      <c r="A153"/>
      <c r="B153"/>
      <c r="D153"/>
      <c r="E153"/>
      <c r="F153"/>
      <c r="G153"/>
      <c r="H153"/>
      <c r="I153"/>
      <c r="J153"/>
      <c r="K153"/>
      <c r="L153"/>
      <c r="M153"/>
      <c r="N153"/>
      <c r="S153"/>
      <c r="AA153"/>
    </row>
    <row r="154" spans="1:27" x14ac:dyDescent="0.35">
      <c r="A154"/>
      <c r="B154"/>
      <c r="D154"/>
      <c r="E154"/>
      <c r="F154"/>
      <c r="G154"/>
      <c r="H154"/>
      <c r="I154"/>
      <c r="J154"/>
      <c r="K154"/>
      <c r="L154"/>
      <c r="M154"/>
      <c r="N154"/>
      <c r="S154"/>
      <c r="AA154"/>
    </row>
    <row r="155" spans="1:27" x14ac:dyDescent="0.35">
      <c r="A155"/>
      <c r="B155"/>
      <c r="D155"/>
      <c r="E155"/>
      <c r="F155"/>
      <c r="G155"/>
      <c r="H155"/>
      <c r="I155"/>
      <c r="J155"/>
      <c r="K155"/>
      <c r="L155"/>
      <c r="M155"/>
      <c r="N155"/>
      <c r="S155"/>
      <c r="AA155"/>
    </row>
    <row r="156" spans="1:27" x14ac:dyDescent="0.35">
      <c r="A156"/>
      <c r="B156"/>
      <c r="D156"/>
      <c r="E156"/>
      <c r="F156"/>
      <c r="G156"/>
      <c r="H156"/>
      <c r="I156"/>
      <c r="J156"/>
      <c r="K156"/>
      <c r="L156"/>
      <c r="M156"/>
      <c r="N156"/>
      <c r="S156"/>
      <c r="AA156"/>
    </row>
    <row r="157" spans="1:27" x14ac:dyDescent="0.35">
      <c r="A157"/>
      <c r="B157"/>
      <c r="D157"/>
      <c r="E157"/>
      <c r="F157"/>
      <c r="G157"/>
      <c r="H157"/>
      <c r="I157"/>
      <c r="J157"/>
      <c r="K157"/>
      <c r="L157"/>
      <c r="M157"/>
      <c r="N157"/>
      <c r="S157"/>
      <c r="AA157"/>
    </row>
    <row r="158" spans="1:27" x14ac:dyDescent="0.35">
      <c r="A158"/>
      <c r="B158"/>
      <c r="D158"/>
      <c r="E158"/>
      <c r="F158"/>
      <c r="G158"/>
      <c r="H158"/>
      <c r="I158"/>
      <c r="J158"/>
      <c r="K158"/>
      <c r="L158"/>
      <c r="M158"/>
      <c r="N158"/>
      <c r="S158"/>
      <c r="AA158"/>
    </row>
    <row r="159" spans="1:27" x14ac:dyDescent="0.35">
      <c r="A159"/>
      <c r="B159"/>
      <c r="D159"/>
      <c r="E159"/>
      <c r="F159"/>
      <c r="G159"/>
      <c r="H159"/>
      <c r="I159"/>
      <c r="J159"/>
      <c r="K159"/>
      <c r="L159"/>
      <c r="M159"/>
      <c r="N159"/>
      <c r="S159"/>
      <c r="AA159"/>
    </row>
    <row r="160" spans="1:27" x14ac:dyDescent="0.35">
      <c r="A160"/>
      <c r="B160"/>
      <c r="D160"/>
      <c r="E160"/>
      <c r="F160"/>
      <c r="G160"/>
      <c r="H160"/>
      <c r="I160"/>
      <c r="J160"/>
      <c r="K160"/>
      <c r="L160"/>
      <c r="M160"/>
      <c r="N160"/>
      <c r="S160"/>
      <c r="AA160"/>
    </row>
    <row r="161" spans="1:27" x14ac:dyDescent="0.35">
      <c r="A161"/>
      <c r="B161"/>
      <c r="D161"/>
      <c r="E161"/>
      <c r="F161"/>
      <c r="G161"/>
      <c r="H161"/>
      <c r="I161"/>
      <c r="J161"/>
      <c r="K161"/>
      <c r="L161"/>
      <c r="M161"/>
      <c r="N161"/>
      <c r="S161"/>
      <c r="AA161"/>
    </row>
    <row r="162" spans="1:27" x14ac:dyDescent="0.35">
      <c r="A162"/>
      <c r="B162"/>
      <c r="D162"/>
      <c r="E162"/>
      <c r="F162"/>
      <c r="G162"/>
      <c r="H162"/>
      <c r="I162"/>
      <c r="J162"/>
      <c r="K162"/>
      <c r="L162"/>
      <c r="M162"/>
      <c r="N162"/>
      <c r="S162"/>
      <c r="AA162"/>
    </row>
    <row r="163" spans="1:27" x14ac:dyDescent="0.35">
      <c r="A163"/>
      <c r="B163"/>
      <c r="D163"/>
      <c r="E163"/>
      <c r="F163"/>
      <c r="G163"/>
      <c r="H163"/>
      <c r="I163"/>
      <c r="J163"/>
      <c r="K163"/>
      <c r="L163"/>
      <c r="M163"/>
      <c r="N163"/>
      <c r="S163"/>
      <c r="AA163"/>
    </row>
    <row r="164" spans="1:27" x14ac:dyDescent="0.35">
      <c r="A164"/>
      <c r="B164"/>
      <c r="D164"/>
      <c r="E164"/>
      <c r="F164"/>
      <c r="G164"/>
      <c r="H164"/>
      <c r="I164"/>
      <c r="J164"/>
      <c r="K164"/>
      <c r="L164"/>
      <c r="M164"/>
      <c r="N164"/>
      <c r="S164"/>
      <c r="AA164"/>
    </row>
    <row r="165" spans="1:27" x14ac:dyDescent="0.35">
      <c r="A165"/>
      <c r="B165"/>
      <c r="D165"/>
      <c r="E165"/>
      <c r="F165"/>
      <c r="G165"/>
      <c r="H165"/>
      <c r="I165"/>
      <c r="J165"/>
      <c r="K165"/>
      <c r="L165"/>
      <c r="M165"/>
      <c r="N165"/>
      <c r="S165"/>
      <c r="AA165"/>
    </row>
    <row r="166" spans="1:27" x14ac:dyDescent="0.35">
      <c r="A166"/>
      <c r="B166"/>
      <c r="D166"/>
      <c r="E166"/>
      <c r="F166"/>
      <c r="G166"/>
      <c r="H166"/>
      <c r="I166"/>
      <c r="J166"/>
      <c r="K166"/>
      <c r="L166"/>
      <c r="M166"/>
      <c r="N166"/>
      <c r="S166"/>
      <c r="AA166"/>
    </row>
    <row r="167" spans="1:27" x14ac:dyDescent="0.35">
      <c r="A167"/>
      <c r="B167"/>
      <c r="D167"/>
      <c r="E167"/>
      <c r="F167"/>
      <c r="G167"/>
      <c r="H167"/>
      <c r="I167"/>
      <c r="J167"/>
      <c r="K167"/>
      <c r="L167"/>
      <c r="M167"/>
      <c r="N167"/>
      <c r="S167"/>
      <c r="AA167"/>
    </row>
    <row r="168" spans="1:27" x14ac:dyDescent="0.35">
      <c r="A168"/>
      <c r="B168"/>
      <c r="D168"/>
      <c r="E168"/>
      <c r="F168"/>
      <c r="G168"/>
      <c r="H168"/>
      <c r="I168"/>
      <c r="J168"/>
      <c r="K168"/>
      <c r="L168"/>
      <c r="M168"/>
      <c r="N168"/>
      <c r="S168"/>
      <c r="AA168"/>
    </row>
    <row r="169" spans="1:27" x14ac:dyDescent="0.35">
      <c r="A169"/>
      <c r="B169"/>
      <c r="D169"/>
      <c r="E169"/>
      <c r="F169"/>
      <c r="G169"/>
      <c r="H169"/>
      <c r="I169"/>
      <c r="J169"/>
      <c r="K169"/>
      <c r="L169"/>
      <c r="M169"/>
      <c r="N169"/>
      <c r="S169"/>
      <c r="AA169"/>
    </row>
    <row r="170" spans="1:27" x14ac:dyDescent="0.35">
      <c r="A170"/>
      <c r="B170"/>
      <c r="D170"/>
      <c r="E170"/>
      <c r="F170"/>
      <c r="G170"/>
      <c r="H170"/>
      <c r="I170"/>
      <c r="J170"/>
      <c r="K170"/>
      <c r="L170"/>
      <c r="M170"/>
      <c r="N170"/>
      <c r="S170"/>
      <c r="AA170"/>
    </row>
    <row r="171" spans="1:27" x14ac:dyDescent="0.35">
      <c r="A171"/>
      <c r="B171"/>
      <c r="D171"/>
      <c r="E171"/>
      <c r="F171"/>
      <c r="G171"/>
      <c r="H171"/>
      <c r="I171"/>
      <c r="J171"/>
      <c r="K171"/>
      <c r="L171"/>
      <c r="M171"/>
      <c r="N171"/>
      <c r="S171"/>
      <c r="AA171"/>
    </row>
    <row r="172" spans="1:27" x14ac:dyDescent="0.35">
      <c r="A172"/>
      <c r="B172"/>
      <c r="D172"/>
      <c r="E172"/>
      <c r="F172"/>
      <c r="G172"/>
      <c r="H172"/>
      <c r="I172"/>
      <c r="J172"/>
      <c r="K172"/>
      <c r="L172"/>
      <c r="M172"/>
      <c r="N172"/>
      <c r="S172"/>
      <c r="AA172"/>
    </row>
    <row r="173" spans="1:27" x14ac:dyDescent="0.35">
      <c r="A173"/>
      <c r="B173"/>
      <c r="D173"/>
      <c r="E173"/>
      <c r="F173"/>
      <c r="G173"/>
      <c r="H173"/>
      <c r="I173"/>
      <c r="J173"/>
      <c r="K173"/>
      <c r="L173"/>
      <c r="M173"/>
      <c r="N173"/>
      <c r="S173"/>
      <c r="AA173"/>
    </row>
    <row r="174" spans="1:27" x14ac:dyDescent="0.35">
      <c r="A174"/>
      <c r="B174"/>
      <c r="D174"/>
      <c r="E174"/>
      <c r="F174"/>
      <c r="G174"/>
      <c r="H174"/>
      <c r="I174"/>
      <c r="J174"/>
      <c r="K174"/>
      <c r="L174"/>
      <c r="M174"/>
      <c r="N174"/>
      <c r="S174"/>
      <c r="AA174"/>
    </row>
    <row r="175" spans="1:27" x14ac:dyDescent="0.35">
      <c r="A175"/>
      <c r="B175"/>
      <c r="D175"/>
      <c r="E175"/>
      <c r="F175"/>
      <c r="G175"/>
      <c r="H175"/>
      <c r="I175"/>
      <c r="J175"/>
      <c r="K175"/>
      <c r="L175"/>
      <c r="M175"/>
      <c r="N175"/>
      <c r="S175"/>
      <c r="AA175"/>
    </row>
    <row r="176" spans="1:27" x14ac:dyDescent="0.35">
      <c r="A176"/>
      <c r="B176"/>
      <c r="D176"/>
      <c r="E176"/>
      <c r="F176"/>
      <c r="G176"/>
      <c r="H176"/>
      <c r="I176"/>
      <c r="J176"/>
      <c r="K176"/>
      <c r="L176"/>
      <c r="M176"/>
      <c r="N176"/>
      <c r="S176"/>
      <c r="AA176"/>
    </row>
    <row r="177" spans="1:27" x14ac:dyDescent="0.35">
      <c r="A177"/>
      <c r="B177"/>
      <c r="D177"/>
      <c r="E177"/>
      <c r="F177"/>
      <c r="G177"/>
      <c r="H177"/>
      <c r="I177"/>
      <c r="J177"/>
      <c r="K177"/>
      <c r="L177"/>
      <c r="M177"/>
      <c r="N177"/>
      <c r="S177"/>
      <c r="AA177"/>
    </row>
    <row r="178" spans="1:27" x14ac:dyDescent="0.35">
      <c r="A178"/>
      <c r="B178"/>
      <c r="D178"/>
      <c r="E178"/>
      <c r="F178"/>
      <c r="G178"/>
      <c r="H178"/>
      <c r="I178"/>
      <c r="J178"/>
      <c r="K178"/>
      <c r="L178"/>
      <c r="M178"/>
      <c r="N178"/>
      <c r="S178"/>
      <c r="AA178"/>
    </row>
    <row r="179" spans="1:27" x14ac:dyDescent="0.35">
      <c r="A179"/>
      <c r="B179"/>
      <c r="D179"/>
      <c r="E179"/>
      <c r="F179"/>
      <c r="G179"/>
      <c r="H179"/>
      <c r="I179"/>
      <c r="J179"/>
      <c r="K179"/>
      <c r="L179"/>
      <c r="M179"/>
      <c r="N179"/>
      <c r="S179"/>
      <c r="AA179"/>
    </row>
    <row r="180" spans="1:27" x14ac:dyDescent="0.35">
      <c r="A180"/>
      <c r="B180"/>
      <c r="D180"/>
      <c r="E180"/>
      <c r="F180"/>
      <c r="G180"/>
      <c r="H180"/>
      <c r="I180"/>
      <c r="J180"/>
      <c r="K180"/>
      <c r="L180"/>
      <c r="M180"/>
      <c r="N180"/>
      <c r="S180"/>
      <c r="AA180"/>
    </row>
    <row r="181" spans="1:27" x14ac:dyDescent="0.35">
      <c r="A181"/>
      <c r="B181"/>
      <c r="D181"/>
      <c r="E181"/>
      <c r="F181"/>
      <c r="G181"/>
      <c r="H181"/>
      <c r="I181"/>
      <c r="J181"/>
      <c r="K181"/>
      <c r="L181"/>
      <c r="M181"/>
      <c r="N181"/>
      <c r="S181"/>
      <c r="AA181"/>
    </row>
    <row r="182" spans="1:27" x14ac:dyDescent="0.35">
      <c r="A182"/>
      <c r="B182"/>
      <c r="D182"/>
      <c r="E182"/>
      <c r="F182"/>
      <c r="G182"/>
      <c r="H182"/>
      <c r="I182"/>
      <c r="J182"/>
      <c r="K182"/>
      <c r="L182"/>
      <c r="M182"/>
      <c r="N182"/>
      <c r="S182"/>
      <c r="AA182"/>
    </row>
    <row r="183" spans="1:27" x14ac:dyDescent="0.35">
      <c r="A183"/>
      <c r="B183"/>
      <c r="D183"/>
      <c r="E183"/>
      <c r="F183"/>
      <c r="G183"/>
      <c r="H183"/>
      <c r="I183"/>
      <c r="J183"/>
      <c r="K183"/>
      <c r="L183"/>
      <c r="M183"/>
      <c r="N183"/>
      <c r="S183"/>
      <c r="AA183"/>
    </row>
    <row r="184" spans="1:27" x14ac:dyDescent="0.35">
      <c r="A184"/>
      <c r="B184"/>
      <c r="D184"/>
      <c r="E184"/>
      <c r="F184"/>
      <c r="G184"/>
      <c r="H184"/>
      <c r="I184"/>
      <c r="J184"/>
      <c r="K184"/>
      <c r="L184"/>
      <c r="M184"/>
      <c r="N184"/>
      <c r="S184"/>
      <c r="AA184"/>
    </row>
    <row r="185" spans="1:27" x14ac:dyDescent="0.35">
      <c r="A185"/>
      <c r="B185"/>
      <c r="D185"/>
      <c r="E185"/>
      <c r="F185"/>
      <c r="G185"/>
      <c r="H185"/>
      <c r="I185"/>
      <c r="J185"/>
      <c r="K185"/>
      <c r="L185"/>
      <c r="M185"/>
      <c r="N185"/>
      <c r="S185"/>
      <c r="AA185"/>
    </row>
    <row r="186" spans="1:27" x14ac:dyDescent="0.35">
      <c r="A186"/>
      <c r="B186"/>
      <c r="D186"/>
      <c r="E186"/>
      <c r="F186"/>
      <c r="G186"/>
      <c r="H186"/>
      <c r="I186"/>
      <c r="J186"/>
      <c r="K186"/>
      <c r="L186"/>
      <c r="M186"/>
      <c r="N186"/>
      <c r="S186"/>
      <c r="AA186"/>
    </row>
  </sheetData>
  <mergeCells count="2">
    <mergeCell ref="S14:T14"/>
    <mergeCell ref="S3:T3"/>
  </mergeCells>
  <dataValidations disablePrompts="1" count="1">
    <dataValidation type="list" allowBlank="1" showInputMessage="1" showErrorMessage="1" sqref="T23 T25" xr:uid="{2A3C625E-42B1-45BB-9B15-962D2D019809}">
      <formula1>"Y,N"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97D7-72B3-42B4-AA17-621115550ABE}">
  <dimension ref="A1:AH50"/>
  <sheetViews>
    <sheetView zoomScale="70" zoomScaleNormal="70" workbookViewId="0"/>
  </sheetViews>
  <sheetFormatPr defaultRowHeight="14.5" x14ac:dyDescent="0.35"/>
  <cols>
    <col min="1" max="1" width="9.1796875" style="194"/>
    <col min="2" max="2" width="13.1796875" style="194" customWidth="1"/>
    <col min="3" max="3" width="15.26953125" customWidth="1"/>
    <col min="4" max="4" width="22" style="194" customWidth="1"/>
    <col min="5" max="5" width="23.1796875" style="194" customWidth="1"/>
    <col min="6" max="6" width="21.26953125" style="194" customWidth="1"/>
    <col min="7" max="7" width="14.26953125" style="194" customWidth="1"/>
    <col min="8" max="8" width="19.453125" style="194" customWidth="1"/>
    <col min="9" max="9" width="20" style="20" customWidth="1"/>
    <col min="10" max="10" width="6.54296875" style="20" customWidth="1"/>
    <col min="11" max="11" width="16.54296875" style="194" customWidth="1"/>
    <col min="12" max="12" width="17.54296875" customWidth="1"/>
    <col min="13" max="13" width="5.7265625" customWidth="1"/>
    <col min="14" max="16" width="17.54296875" customWidth="1"/>
    <col min="17" max="17" width="18.453125" customWidth="1"/>
    <col min="18" max="18" width="36.26953125" style="194" bestFit="1" customWidth="1"/>
    <col min="19" max="19" width="17.26953125" customWidth="1"/>
    <col min="20" max="20" width="8.81640625" customWidth="1"/>
    <col min="22" max="22" width="14.81640625" customWidth="1"/>
    <col min="23" max="23" width="14.7265625" customWidth="1"/>
    <col min="24" max="24" width="13.81640625" customWidth="1"/>
    <col min="25" max="26" width="12.54296875" customWidth="1"/>
  </cols>
  <sheetData>
    <row r="1" spans="1:34" ht="23.5" x14ac:dyDescent="0.55000000000000004">
      <c r="A1" s="177" t="s">
        <v>110</v>
      </c>
    </row>
    <row r="2" spans="1:34" s="102" customFormat="1" ht="19.5" customHeight="1" x14ac:dyDescent="0.35">
      <c r="B2" s="178" t="s">
        <v>123</v>
      </c>
      <c r="F2"/>
      <c r="G2"/>
      <c r="H2"/>
      <c r="I2" s="20"/>
      <c r="J2" s="20"/>
      <c r="K2" s="98"/>
      <c r="P2" s="127"/>
      <c r="R2" s="103"/>
      <c r="S2" s="104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.75" customHeight="1" x14ac:dyDescent="0.35">
      <c r="M3" s="4"/>
      <c r="N3" s="4"/>
      <c r="O3" s="4"/>
      <c r="P3" s="128"/>
      <c r="R3" s="208" t="s">
        <v>124</v>
      </c>
      <c r="S3" s="209"/>
    </row>
    <row r="4" spans="1:34" x14ac:dyDescent="0.35">
      <c r="E4" s="21"/>
      <c r="F4" s="1"/>
      <c r="L4" s="11"/>
      <c r="M4" s="17"/>
      <c r="N4" s="20"/>
      <c r="O4" s="4"/>
      <c r="P4" s="4"/>
      <c r="R4" s="77"/>
      <c r="S4" s="78"/>
      <c r="T4" s="18"/>
    </row>
    <row r="5" spans="1:34" x14ac:dyDescent="0.35">
      <c r="F5" s="22"/>
      <c r="M5" s="17"/>
      <c r="O5" s="4"/>
      <c r="P5" s="4"/>
      <c r="R5" s="77" t="s">
        <v>26</v>
      </c>
      <c r="S5" s="79">
        <v>8.35</v>
      </c>
    </row>
    <row r="6" spans="1:34" x14ac:dyDescent="0.35">
      <c r="E6" s="21"/>
      <c r="F6" s="1"/>
      <c r="M6" s="17"/>
      <c r="R6" s="77" t="s">
        <v>28</v>
      </c>
      <c r="S6" s="80">
        <v>-4.0369999999999999</v>
      </c>
    </row>
    <row r="7" spans="1:34" ht="15" thickBot="1" x14ac:dyDescent="0.4">
      <c r="E7" s="21"/>
      <c r="F7" s="22"/>
      <c r="R7" s="77" t="s">
        <v>31</v>
      </c>
      <c r="S7" s="81">
        <v>1.4999999999999999E-2</v>
      </c>
    </row>
    <row r="8" spans="1:34" ht="15.75" customHeight="1" x14ac:dyDescent="0.45">
      <c r="A8" s="23"/>
      <c r="B8" s="3"/>
      <c r="C8" s="2"/>
      <c r="D8" s="3"/>
      <c r="E8" s="3"/>
      <c r="F8" s="25" t="s">
        <v>100</v>
      </c>
      <c r="G8" s="3"/>
      <c r="H8" s="3"/>
      <c r="I8" s="26"/>
      <c r="J8" s="26"/>
      <c r="K8" s="3"/>
      <c r="L8" s="2"/>
      <c r="M8" s="2"/>
      <c r="N8" s="2"/>
      <c r="O8" s="27"/>
      <c r="P8" s="4"/>
      <c r="Q8" s="97"/>
      <c r="R8" s="82" t="s">
        <v>2</v>
      </c>
      <c r="S8" s="135">
        <f>-'Rev Rq_Benefits'!V42*1000000</f>
        <v>353458777.38175625</v>
      </c>
    </row>
    <row r="9" spans="1:34" x14ac:dyDescent="0.35">
      <c r="A9" s="28"/>
      <c r="B9" s="6"/>
      <c r="C9" s="4"/>
      <c r="D9" s="6"/>
      <c r="E9" s="6"/>
      <c r="F9" s="6"/>
      <c r="G9" s="6"/>
      <c r="H9" s="6"/>
      <c r="I9" s="29"/>
      <c r="J9" s="29"/>
      <c r="K9" s="6"/>
      <c r="L9" s="4"/>
      <c r="M9" s="4"/>
      <c r="N9" s="4"/>
      <c r="O9" s="5"/>
      <c r="R9" s="77" t="s">
        <v>32</v>
      </c>
      <c r="S9" s="94">
        <f>'Rev Rq_Benefits'!A1</f>
        <v>6.7000000000000004E-2</v>
      </c>
    </row>
    <row r="10" spans="1:34" x14ac:dyDescent="0.35">
      <c r="A10" s="30" t="s">
        <v>27</v>
      </c>
      <c r="B10" s="19" t="s">
        <v>8</v>
      </c>
      <c r="C10" s="4"/>
      <c r="D10" s="6"/>
      <c r="E10" s="6" t="s">
        <v>33</v>
      </c>
      <c r="F10" s="6" t="s">
        <v>29</v>
      </c>
      <c r="G10" s="54" t="s">
        <v>34</v>
      </c>
      <c r="H10" s="54" t="s">
        <v>34</v>
      </c>
      <c r="I10" s="95" t="s">
        <v>29</v>
      </c>
      <c r="J10" s="95"/>
      <c r="K10" s="6" t="s">
        <v>69</v>
      </c>
      <c r="L10" s="6" t="s">
        <v>69</v>
      </c>
      <c r="M10" s="4"/>
      <c r="N10" s="54" t="s">
        <v>35</v>
      </c>
      <c r="O10" s="49" t="s">
        <v>67</v>
      </c>
      <c r="R10" s="82" t="s">
        <v>36</v>
      </c>
      <c r="S10" s="108">
        <f>0.28</f>
        <v>0.28000000000000003</v>
      </c>
    </row>
    <row r="11" spans="1:34" x14ac:dyDescent="0.35">
      <c r="A11" s="30" t="s">
        <v>10</v>
      </c>
      <c r="B11" s="19" t="s">
        <v>10</v>
      </c>
      <c r="C11" s="19" t="s">
        <v>37</v>
      </c>
      <c r="D11" s="19" t="s">
        <v>38</v>
      </c>
      <c r="E11" s="19" t="s">
        <v>39</v>
      </c>
      <c r="F11" s="19" t="s">
        <v>0</v>
      </c>
      <c r="G11" s="19" t="s">
        <v>41</v>
      </c>
      <c r="H11" s="19" t="s">
        <v>42</v>
      </c>
      <c r="I11" s="31" t="s">
        <v>34</v>
      </c>
      <c r="J11" s="31"/>
      <c r="K11" s="59" t="s">
        <v>29</v>
      </c>
      <c r="L11" s="59" t="s">
        <v>30</v>
      </c>
      <c r="M11" s="4"/>
      <c r="N11" s="19" t="s">
        <v>43</v>
      </c>
      <c r="O11" s="32" t="s">
        <v>1</v>
      </c>
      <c r="R11" s="82" t="s">
        <v>44</v>
      </c>
      <c r="S11" s="108">
        <v>5.0000000000000001E-3</v>
      </c>
    </row>
    <row r="12" spans="1:34" x14ac:dyDescent="0.35">
      <c r="A12" s="28">
        <v>2020</v>
      </c>
      <c r="B12" s="6"/>
      <c r="C12" s="6">
        <f>'Results - C&amp;I and Residential'!C12+'Results - LMI'!C12</f>
        <v>0</v>
      </c>
      <c r="D12" s="6">
        <f>'Results - C&amp;I and Residential'!D12+'Results - LMI'!D12</f>
        <v>0</v>
      </c>
      <c r="E12" s="89"/>
      <c r="F12" s="33">
        <f>'Results - C&amp;I and Residential'!F12+'Results - LMI'!F12</f>
        <v>0</v>
      </c>
      <c r="G12" s="6"/>
      <c r="H12" s="6"/>
      <c r="I12" s="34">
        <f>'Results - C&amp;I and Residential'!I12+'Results - LMI'!I12</f>
        <v>0</v>
      </c>
      <c r="J12" s="34"/>
      <c r="K12" s="35">
        <f t="shared" ref="K12" si="0">F12+I12</f>
        <v>0</v>
      </c>
      <c r="L12" s="35">
        <f>K12</f>
        <v>0</v>
      </c>
      <c r="M12" s="4"/>
      <c r="N12" s="35">
        <f>'Results - C&amp;I and Residential'!N12+'Results - LMI'!N12</f>
        <v>0</v>
      </c>
      <c r="O12" s="41">
        <f>'Results - C&amp;I and Residential'!O12+'Results - LMI'!O12</f>
        <v>0</v>
      </c>
      <c r="Q12" s="12">
        <f>(S8*H2)-(S15-S16)</f>
        <v>-314224896.3478359</v>
      </c>
      <c r="R12" s="83" t="s">
        <v>63</v>
      </c>
      <c r="S12" s="129">
        <v>1.0494049999999999</v>
      </c>
    </row>
    <row r="13" spans="1:34" ht="15" thickBot="1" x14ac:dyDescent="0.4">
      <c r="A13" s="28">
        <f>A12+1</f>
        <v>2021</v>
      </c>
      <c r="B13" s="6"/>
      <c r="C13" s="6">
        <f>'Results - C&amp;I and Residential'!C13+'Results - LMI'!C13</f>
        <v>0</v>
      </c>
      <c r="D13" s="6">
        <f>'Results - C&amp;I and Residential'!D13+'Results - LMI'!D13</f>
        <v>0</v>
      </c>
      <c r="E13" s="89"/>
      <c r="F13" s="33">
        <f>'Results - C&amp;I and Residential'!F13+'Results - LMI'!F13</f>
        <v>0</v>
      </c>
      <c r="G13" s="6"/>
      <c r="H13" s="6"/>
      <c r="I13" s="34">
        <f>'Results - C&amp;I and Residential'!I13+'Results - LMI'!I13</f>
        <v>0</v>
      </c>
      <c r="J13" s="34"/>
      <c r="K13" s="35">
        <f t="shared" ref="K13:K45" si="1">F13+I13</f>
        <v>0</v>
      </c>
      <c r="L13" s="35">
        <f>L12+K13</f>
        <v>0</v>
      </c>
      <c r="M13" s="4"/>
      <c r="N13" s="35">
        <f>'Results - C&amp;I and Residential'!N13+'Results - LMI'!N13</f>
        <v>1020079.0961866667</v>
      </c>
      <c r="O13" s="41">
        <f>'Results - C&amp;I and Residential'!O13+'Results - LMI'!O13</f>
        <v>0</v>
      </c>
      <c r="R13" s="1"/>
      <c r="T13" s="16"/>
    </row>
    <row r="14" spans="1:34" x14ac:dyDescent="0.35">
      <c r="A14" s="28">
        <f t="shared" ref="A14:B29" si="2">A13+1</f>
        <v>2022</v>
      </c>
      <c r="B14" s="6">
        <v>1</v>
      </c>
      <c r="C14" s="6">
        <f>'Results - C&amp;I and Residential'!C14+'Results - LMI'!C14</f>
        <v>149.80000000000001</v>
      </c>
      <c r="D14" s="6">
        <f>'Results - C&amp;I and Residential'!D14+'Results - LMI'!D14</f>
        <v>367470</v>
      </c>
      <c r="E14" s="89"/>
      <c r="F14" s="33">
        <f>'Results - C&amp;I and Residential'!F14+'Results - LMI'!F14</f>
        <v>15009960</v>
      </c>
      <c r="G14" s="6"/>
      <c r="H14" s="6"/>
      <c r="I14" s="34">
        <f>'Results - C&amp;I and Residential'!I14+'Results - LMI'!I14</f>
        <v>-14883329.252475001</v>
      </c>
      <c r="J14" s="34"/>
      <c r="K14" s="35">
        <f t="shared" si="1"/>
        <v>126630.74752499908</v>
      </c>
      <c r="L14" s="35">
        <f t="shared" ref="L14:L45" si="3">L13+K14</f>
        <v>126630.74752499908</v>
      </c>
      <c r="M14" s="4"/>
      <c r="N14" s="35">
        <f>'Results - C&amp;I and Residential'!N14+'Results - LMI'!N14</f>
        <v>31485600.668480106</v>
      </c>
      <c r="O14" s="41">
        <f>'Results - C&amp;I and Residential'!O14+'Results - LMI'!O14</f>
        <v>-9875519.5181808677</v>
      </c>
      <c r="R14" s="205" t="s">
        <v>121</v>
      </c>
      <c r="S14" s="206"/>
    </row>
    <row r="15" spans="1:34" x14ac:dyDescent="0.35">
      <c r="A15" s="28">
        <f t="shared" si="2"/>
        <v>2023</v>
      </c>
      <c r="B15" s="6">
        <f>B14+1</f>
        <v>2</v>
      </c>
      <c r="C15" s="6">
        <f>'Results - C&amp;I and Residential'!C15+'Results - LMI'!C15</f>
        <v>449.40000000000003</v>
      </c>
      <c r="D15" s="6">
        <f>'Results - C&amp;I and Residential'!D15+'Results - LMI'!D15</f>
        <v>1100560</v>
      </c>
      <c r="E15" s="89"/>
      <c r="F15" s="33">
        <f>'Results - C&amp;I and Residential'!F15+'Results - LMI'!F15</f>
        <v>45029880</v>
      </c>
      <c r="G15" s="6"/>
      <c r="H15" s="6"/>
      <c r="I15" s="34">
        <f>'Results - C&amp;I and Residential'!I15+'Results - LMI'!I15</f>
        <v>-44577898.543799996</v>
      </c>
      <c r="J15" s="34"/>
      <c r="K15" s="35">
        <f t="shared" si="1"/>
        <v>451981.45620000362</v>
      </c>
      <c r="L15" s="35">
        <f t="shared" si="3"/>
        <v>578612.20372500271</v>
      </c>
      <c r="M15" s="4"/>
      <c r="N15" s="35">
        <f>'Results - C&amp;I and Residential'!N15+'Results - LMI'!N15</f>
        <v>87754315.196679115</v>
      </c>
      <c r="O15" s="41">
        <f>'Results - C&amp;I and Residential'!O15+'Results - LMI'!O15</f>
        <v>-28403878.593766168</v>
      </c>
      <c r="Q15" s="13"/>
      <c r="R15" s="60" t="s">
        <v>24</v>
      </c>
      <c r="S15" s="48">
        <f>'Results - C&amp;I and Residential'!S15+'Results - LMI'!T15</f>
        <v>1147623489.7136798</v>
      </c>
    </row>
    <row r="16" spans="1:34" x14ac:dyDescent="0.35">
      <c r="A16" s="28">
        <f t="shared" si="2"/>
        <v>2024</v>
      </c>
      <c r="B16" s="6">
        <f t="shared" si="2"/>
        <v>3</v>
      </c>
      <c r="C16" s="6">
        <f>'Results - C&amp;I and Residential'!C16+'Results - LMI'!C16</f>
        <v>749</v>
      </c>
      <c r="D16" s="6">
        <f>'Results - C&amp;I and Residential'!D16+'Results - LMI'!D16</f>
        <v>1834330</v>
      </c>
      <c r="E16" s="89"/>
      <c r="F16" s="33">
        <f>'Results - C&amp;I and Residential'!F16+'Results - LMI'!F16</f>
        <v>75049800</v>
      </c>
      <c r="G16" s="6"/>
      <c r="H16" s="6"/>
      <c r="I16" s="34">
        <f>'Results - C&amp;I and Residential'!I16+'Results - LMI'!I16</f>
        <v>-74298965.492025003</v>
      </c>
      <c r="J16" s="34"/>
      <c r="K16" s="35">
        <f t="shared" si="1"/>
        <v>750834.50797499716</v>
      </c>
      <c r="L16" s="35">
        <f t="shared" si="3"/>
        <v>1329446.7116999999</v>
      </c>
      <c r="M16" s="4"/>
      <c r="N16" s="35">
        <f>'Results - C&amp;I and Residential'!N16+'Results - LMI'!N16</f>
        <v>138996197.71337119</v>
      </c>
      <c r="O16" s="41">
        <f>'Results - C&amp;I and Residential'!O16+'Results - LMI'!O16</f>
        <v>-54521023.802320205</v>
      </c>
      <c r="Q16" s="13"/>
      <c r="R16" s="28" t="s">
        <v>45</v>
      </c>
      <c r="S16" s="48">
        <f>'Results - C&amp;I and Residential'!S16+'Results - LMI'!T16</f>
        <v>833398593.36584389</v>
      </c>
    </row>
    <row r="17" spans="1:20" x14ac:dyDescent="0.35">
      <c r="A17" s="28">
        <f t="shared" si="2"/>
        <v>2025</v>
      </c>
      <c r="B17" s="6">
        <f t="shared" si="2"/>
        <v>4</v>
      </c>
      <c r="C17" s="6">
        <f>'Results - C&amp;I and Residential'!C17+'Results - LMI'!C17</f>
        <v>749</v>
      </c>
      <c r="D17" s="6">
        <f>'Results - C&amp;I and Residential'!D17+'Results - LMI'!D17</f>
        <v>1820830</v>
      </c>
      <c r="E17" s="89"/>
      <c r="F17" s="33">
        <f>'Results - C&amp;I and Residential'!F17+'Results - LMI'!F17</f>
        <v>75049800</v>
      </c>
      <c r="G17" s="6"/>
      <c r="H17" s="6"/>
      <c r="I17" s="34">
        <f>'Results - C&amp;I and Residential'!I17+'Results - LMI'!I17</f>
        <v>-74845018.324349999</v>
      </c>
      <c r="J17" s="34"/>
      <c r="K17" s="35">
        <f t="shared" si="1"/>
        <v>204781.67565000057</v>
      </c>
      <c r="L17" s="35">
        <f t="shared" si="3"/>
        <v>1534228.3873500004</v>
      </c>
      <c r="M17" s="4"/>
      <c r="N17" s="35">
        <f>'Results - C&amp;I and Residential'!N17+'Results - LMI'!N17</f>
        <v>131997225.06683278</v>
      </c>
      <c r="O17" s="41">
        <f>'Results - C&amp;I and Residential'!O17+'Results - LMI'!O17</f>
        <v>-53952225.220275037</v>
      </c>
      <c r="Q17" s="13"/>
      <c r="R17" s="28" t="s">
        <v>46</v>
      </c>
      <c r="S17" s="48">
        <f>'Results - C&amp;I and Residential'!S17+'Results - LMI'!T17</f>
        <v>833398634.015769</v>
      </c>
    </row>
    <row r="18" spans="1:20" x14ac:dyDescent="0.35">
      <c r="A18" s="28">
        <f t="shared" si="2"/>
        <v>2026</v>
      </c>
      <c r="B18" s="6">
        <f t="shared" si="2"/>
        <v>5</v>
      </c>
      <c r="C18" s="6">
        <f>'Results - C&amp;I and Residential'!C18+'Results - LMI'!C18</f>
        <v>749</v>
      </c>
      <c r="D18" s="6">
        <f>'Results - C&amp;I and Residential'!D18+'Results - LMI'!D18</f>
        <v>1811740.0000000002</v>
      </c>
      <c r="E18" s="89"/>
      <c r="F18" s="33">
        <f>'Results - C&amp;I and Residential'!F18+'Results - LMI'!F18</f>
        <v>75049800</v>
      </c>
      <c r="G18" s="6"/>
      <c r="H18" s="6"/>
      <c r="I18" s="34">
        <f>'Results - C&amp;I and Residential'!I18+'Results - LMI'!I18</f>
        <v>-75552211.825650007</v>
      </c>
      <c r="J18" s="34"/>
      <c r="K18" s="35">
        <f t="shared" si="1"/>
        <v>-502411.82565000653</v>
      </c>
      <c r="L18" s="35">
        <f t="shared" si="3"/>
        <v>1031816.5616999939</v>
      </c>
      <c r="M18" s="4"/>
      <c r="N18" s="35">
        <f>'Results - C&amp;I and Residential'!N18+'Results - LMI'!N18</f>
        <v>125838795.29382542</v>
      </c>
      <c r="O18" s="41">
        <f>'Results - C&amp;I and Residential'!O18+'Results - LMI'!O18</f>
        <v>-57173215.223240845</v>
      </c>
      <c r="R18" s="28"/>
      <c r="S18" s="49"/>
    </row>
    <row r="19" spans="1:20" x14ac:dyDescent="0.35">
      <c r="A19" s="28">
        <f t="shared" si="2"/>
        <v>2027</v>
      </c>
      <c r="B19" s="6">
        <f t="shared" si="2"/>
        <v>6</v>
      </c>
      <c r="C19" s="6">
        <f>'Results - C&amp;I and Residential'!C19+'Results - LMI'!C19</f>
        <v>749</v>
      </c>
      <c r="D19" s="6">
        <f>'Results - C&amp;I and Residential'!D19+'Results - LMI'!D19</f>
        <v>1802670</v>
      </c>
      <c r="E19" s="89"/>
      <c r="F19" s="33">
        <f>'Results - C&amp;I and Residential'!F19+'Results - LMI'!F19</f>
        <v>75049800</v>
      </c>
      <c r="G19" s="6"/>
      <c r="H19" s="6"/>
      <c r="I19" s="34">
        <f>'Results - C&amp;I and Residential'!I19+'Results - LMI'!I19</f>
        <v>-76266915.840674996</v>
      </c>
      <c r="J19" s="34"/>
      <c r="K19" s="35">
        <f t="shared" si="1"/>
        <v>-1217115.8406749964</v>
      </c>
      <c r="L19" s="35">
        <f t="shared" si="3"/>
        <v>-185299.27897500247</v>
      </c>
      <c r="M19" s="4"/>
      <c r="N19" s="35">
        <f>'Results - C&amp;I and Residential'!N19+'Results - LMI'!N19</f>
        <v>112938223.63660413</v>
      </c>
      <c r="O19" s="41">
        <f>'Results - C&amp;I and Residential'!O19+'Results - LMI'!O19</f>
        <v>-62818322.629916541</v>
      </c>
      <c r="R19" s="28" t="s">
        <v>25</v>
      </c>
      <c r="S19" s="50">
        <f>'Results - C&amp;I and Residential'!S19+'Results - LMI'!T19</f>
        <v>-900971992.76322341</v>
      </c>
    </row>
    <row r="20" spans="1:20" ht="15" thickBot="1" x14ac:dyDescent="0.4">
      <c r="A20" s="28">
        <f t="shared" si="2"/>
        <v>2028</v>
      </c>
      <c r="B20" s="6">
        <f t="shared" si="2"/>
        <v>7</v>
      </c>
      <c r="C20" s="6">
        <f>'Results - C&amp;I and Residential'!C20+'Results - LMI'!C20</f>
        <v>749</v>
      </c>
      <c r="D20" s="6">
        <f>'Results - C&amp;I and Residential'!D20+'Results - LMI'!D20</f>
        <v>1797899.9999999998</v>
      </c>
      <c r="E20" s="89"/>
      <c r="F20" s="33">
        <f>'Results - C&amp;I and Residential'!F20+'Results - LMI'!F20</f>
        <v>75049800</v>
      </c>
      <c r="G20" s="6"/>
      <c r="H20" s="6"/>
      <c r="I20" s="34">
        <f>'Results - C&amp;I and Residential'!I20+'Results - LMI'!I20</f>
        <v>-77165887.238999978</v>
      </c>
      <c r="J20" s="34"/>
      <c r="K20" s="35">
        <f t="shared" si="1"/>
        <v>-2116087.2389999777</v>
      </c>
      <c r="L20" s="35">
        <f t="shared" si="3"/>
        <v>-2301386.5179749802</v>
      </c>
      <c r="M20" s="4"/>
      <c r="N20" s="35">
        <f>'Results - C&amp;I and Residential'!N20+'Results - LMI'!N20</f>
        <v>109080645.04277505</v>
      </c>
      <c r="O20" s="41">
        <f>'Results - C&amp;I and Residential'!O20+'Results - LMI'!O20</f>
        <v>-63854820.009895183</v>
      </c>
      <c r="R20" s="38" t="s">
        <v>47</v>
      </c>
      <c r="S20" s="51">
        <f>'Results - C&amp;I and Residential'!S20+'Results - LMI'!T20</f>
        <v>-900982211.36476314</v>
      </c>
    </row>
    <row r="21" spans="1:20" x14ac:dyDescent="0.35">
      <c r="A21" s="28">
        <f t="shared" si="2"/>
        <v>2029</v>
      </c>
      <c r="B21" s="6">
        <f t="shared" si="2"/>
        <v>8</v>
      </c>
      <c r="C21" s="6">
        <f>'Results - C&amp;I and Residential'!C21+'Results - LMI'!C21</f>
        <v>749</v>
      </c>
      <c r="D21" s="6">
        <f>'Results - C&amp;I and Residential'!D21+'Results - LMI'!D21</f>
        <v>1784680</v>
      </c>
      <c r="E21" s="89"/>
      <c r="F21" s="33">
        <f>'Results - C&amp;I and Residential'!F21+'Results - LMI'!F21</f>
        <v>75049800</v>
      </c>
      <c r="G21" s="6"/>
      <c r="H21" s="6"/>
      <c r="I21" s="34">
        <f>'Results - C&amp;I and Residential'!I21+'Results - LMI'!I21</f>
        <v>-77721726.837599993</v>
      </c>
      <c r="J21" s="34"/>
      <c r="K21" s="35">
        <f t="shared" si="1"/>
        <v>-2671926.8375999928</v>
      </c>
      <c r="L21" s="35">
        <f t="shared" si="3"/>
        <v>-4973313.3555749729</v>
      </c>
      <c r="M21" s="4"/>
      <c r="N21" s="35">
        <f>'Results - C&amp;I and Residential'!N21+'Results - LMI'!N21</f>
        <v>106035174.92660314</v>
      </c>
      <c r="O21" s="41">
        <f>'Results - C&amp;I and Residential'!O21+'Results - LMI'!O21</f>
        <v>-73411668.760320678</v>
      </c>
    </row>
    <row r="22" spans="1:20" ht="15" thickBot="1" x14ac:dyDescent="0.4">
      <c r="A22" s="28">
        <f t="shared" si="2"/>
        <v>2030</v>
      </c>
      <c r="B22" s="6">
        <f t="shared" si="2"/>
        <v>9</v>
      </c>
      <c r="C22" s="6">
        <f>'Results - C&amp;I and Residential'!C22+'Results - LMI'!C22</f>
        <v>749</v>
      </c>
      <c r="D22" s="6">
        <f>'Results - C&amp;I and Residential'!D22+'Results - LMI'!D22</f>
        <v>1775760.0000000002</v>
      </c>
      <c r="E22" s="89"/>
      <c r="F22" s="33">
        <f>'Results - C&amp;I and Residential'!F22+'Results - LMI'!F22</f>
        <v>75049800</v>
      </c>
      <c r="G22" s="6"/>
      <c r="H22" s="6"/>
      <c r="I22" s="34">
        <f>'Results - C&amp;I and Residential'!I22+'Results - LMI'!I22</f>
        <v>-78461496.754200011</v>
      </c>
      <c r="J22" s="34"/>
      <c r="K22" s="35">
        <f t="shared" si="1"/>
        <v>-3411696.7542000115</v>
      </c>
      <c r="L22" s="35">
        <f t="shared" si="3"/>
        <v>-8385010.1097749844</v>
      </c>
      <c r="M22" s="4"/>
      <c r="N22" s="35">
        <f>'Results - C&amp;I and Residential'!N22+'Results - LMI'!N22</f>
        <v>103465588.78481984</v>
      </c>
      <c r="O22" s="41">
        <f>'Results - C&amp;I and Residential'!O22+'Results - LMI'!O22</f>
        <v>-68757113.222126186</v>
      </c>
      <c r="R22" s="1"/>
      <c r="T22" t="s">
        <v>48</v>
      </c>
    </row>
    <row r="23" spans="1:20" ht="15" thickBot="1" x14ac:dyDescent="0.4">
      <c r="A23" s="28">
        <f t="shared" si="2"/>
        <v>2031</v>
      </c>
      <c r="B23" s="6">
        <f t="shared" si="2"/>
        <v>10</v>
      </c>
      <c r="C23" s="6">
        <f>'Results - C&amp;I and Residential'!C23+'Results - LMI'!C23</f>
        <v>749</v>
      </c>
      <c r="D23" s="6">
        <f>'Results - C&amp;I and Residential'!D23+'Results - LMI'!D23</f>
        <v>1766880</v>
      </c>
      <c r="E23" s="89"/>
      <c r="F23" s="33">
        <f>'Results - C&amp;I and Residential'!F23+'Results - LMI'!F23</f>
        <v>75049800</v>
      </c>
      <c r="G23" s="6"/>
      <c r="H23" s="6"/>
      <c r="I23" s="34">
        <f>'Results - C&amp;I and Residential'!I23+'Results - LMI'!I23</f>
        <v>-79208857.396799996</v>
      </c>
      <c r="J23" s="34"/>
      <c r="K23" s="35">
        <f t="shared" si="1"/>
        <v>-4159057.3967999965</v>
      </c>
      <c r="L23" s="35">
        <f t="shared" si="3"/>
        <v>-12544067.506574981</v>
      </c>
      <c r="M23" s="4"/>
      <c r="N23" s="35">
        <f>'Results - C&amp;I and Residential'!N23+'Results - LMI'!N23</f>
        <v>100885298.56406853</v>
      </c>
      <c r="O23" s="41">
        <f>'Results - C&amp;I and Residential'!O23+'Results - LMI'!O23</f>
        <v>-80660393.157419041</v>
      </c>
      <c r="R23" s="61" t="s">
        <v>49</v>
      </c>
      <c r="S23" s="57" t="s">
        <v>50</v>
      </c>
    </row>
    <row r="24" spans="1:20" ht="15" thickBot="1" x14ac:dyDescent="0.4">
      <c r="A24" s="28">
        <f t="shared" si="2"/>
        <v>2032</v>
      </c>
      <c r="B24" s="6">
        <f t="shared" si="2"/>
        <v>11</v>
      </c>
      <c r="C24" s="6">
        <f>'Results - C&amp;I and Residential'!C24+'Results - LMI'!C24</f>
        <v>749</v>
      </c>
      <c r="D24" s="6">
        <f>'Results - C&amp;I and Residential'!D24+'Results - LMI'!D24</f>
        <v>1762210</v>
      </c>
      <c r="E24" s="89"/>
      <c r="F24" s="33">
        <f>'Results - C&amp;I and Residential'!F24+'Results - LMI'!F24</f>
        <v>75049800</v>
      </c>
      <c r="G24" s="6"/>
      <c r="H24" s="6"/>
      <c r="I24" s="34">
        <f>'Results - C&amp;I and Residential'!I24+'Results - LMI'!I24</f>
        <v>-80146608.77565001</v>
      </c>
      <c r="J24" s="34"/>
      <c r="K24" s="35">
        <f t="shared" si="1"/>
        <v>-5096808.7756500095</v>
      </c>
      <c r="L24" s="35">
        <f t="shared" si="3"/>
        <v>-17640876.28222499</v>
      </c>
      <c r="M24" s="4"/>
      <c r="N24" s="35">
        <f>'Results - C&amp;I and Residential'!N24+'Results - LMI'!N24</f>
        <v>98548234.575842679</v>
      </c>
      <c r="O24" s="41">
        <f>'Results - C&amp;I and Residential'!O24+'Results - LMI'!O24</f>
        <v>-78553724.90992035</v>
      </c>
      <c r="R24" s="194" t="s">
        <v>68</v>
      </c>
      <c r="S24" s="122">
        <v>1.009166</v>
      </c>
    </row>
    <row r="25" spans="1:20" ht="15" thickBot="1" x14ac:dyDescent="0.4">
      <c r="A25" s="28">
        <f t="shared" si="2"/>
        <v>2033</v>
      </c>
      <c r="B25" s="6">
        <f t="shared" si="2"/>
        <v>12</v>
      </c>
      <c r="C25" s="6">
        <f>'Results - C&amp;I and Residential'!C25+'Results - LMI'!C25</f>
        <v>749</v>
      </c>
      <c r="D25" s="6">
        <f>'Results - C&amp;I and Residential'!D25+'Results - LMI'!D25</f>
        <v>1749240</v>
      </c>
      <c r="E25" s="89"/>
      <c r="F25" s="33">
        <f>'Results - C&amp;I and Residential'!F25+'Results - LMI'!F25</f>
        <v>75049800</v>
      </c>
      <c r="G25" s="6"/>
      <c r="H25" s="6"/>
      <c r="I25" s="34">
        <f>'Results - C&amp;I and Residential'!I25+'Results - LMI'!I25</f>
        <v>-80725630.397400007</v>
      </c>
      <c r="J25" s="34"/>
      <c r="K25" s="35">
        <f t="shared" si="1"/>
        <v>-5675830.3974000067</v>
      </c>
      <c r="L25" s="35">
        <f t="shared" si="3"/>
        <v>-23316706.679624997</v>
      </c>
      <c r="M25" s="4"/>
      <c r="N25" s="35">
        <f>'Results - C&amp;I and Residential'!N25+'Results - LMI'!N25</f>
        <v>96275380.769345954</v>
      </c>
      <c r="O25" s="41">
        <f>'Results - C&amp;I and Residential'!O25+'Results - LMI'!O25</f>
        <v>-80014856.076812625</v>
      </c>
      <c r="Q25" s="97" t="s">
        <v>70</v>
      </c>
      <c r="R25" s="87" t="s">
        <v>52</v>
      </c>
      <c r="S25" s="96" t="s">
        <v>53</v>
      </c>
    </row>
    <row r="26" spans="1:20" x14ac:dyDescent="0.35">
      <c r="A26" s="28">
        <f t="shared" si="2"/>
        <v>2034</v>
      </c>
      <c r="B26" s="6">
        <f t="shared" si="2"/>
        <v>13</v>
      </c>
      <c r="C26" s="6">
        <f>'Results - C&amp;I and Residential'!C26+'Results - LMI'!C26</f>
        <v>749</v>
      </c>
      <c r="D26" s="6">
        <f>'Results - C&amp;I and Residential'!D26+'Results - LMI'!D26</f>
        <v>1740510</v>
      </c>
      <c r="E26" s="89"/>
      <c r="F26" s="33">
        <f>'Results - C&amp;I and Residential'!F26+'Results - LMI'!F26</f>
        <v>75049800</v>
      </c>
      <c r="G26" s="6"/>
      <c r="H26" s="6"/>
      <c r="I26" s="34">
        <f>'Results - C&amp;I and Residential'!I26+'Results - LMI'!I26</f>
        <v>-81496044.39532499</v>
      </c>
      <c r="J26" s="34"/>
      <c r="K26" s="35">
        <f t="shared" si="1"/>
        <v>-6446244.3953249902</v>
      </c>
      <c r="L26" s="35">
        <f t="shared" si="3"/>
        <v>-29762951.074949987</v>
      </c>
      <c r="M26" s="4"/>
      <c r="N26" s="35">
        <f>'Results - C&amp;I and Residential'!N26+'Results - LMI'!N26</f>
        <v>93856679.68869099</v>
      </c>
      <c r="O26" s="41">
        <f>'Results - C&amp;I and Residential'!O26+'Results - LMI'!O26</f>
        <v>-87003838.1075124</v>
      </c>
    </row>
    <row r="27" spans="1:20" x14ac:dyDescent="0.35">
      <c r="A27" s="28">
        <f t="shared" si="2"/>
        <v>2035</v>
      </c>
      <c r="B27" s="6">
        <f t="shared" si="2"/>
        <v>14</v>
      </c>
      <c r="C27" s="6">
        <f>'Results - C&amp;I and Residential'!C27+'Results - LMI'!C27</f>
        <v>749</v>
      </c>
      <c r="D27" s="6">
        <f>'Results - C&amp;I and Residential'!D27+'Results - LMI'!D27</f>
        <v>1731820</v>
      </c>
      <c r="E27" s="89"/>
      <c r="F27" s="33">
        <f>'Results - C&amp;I and Residential'!F27+'Results - LMI'!F27</f>
        <v>75049800</v>
      </c>
      <c r="G27" s="6"/>
      <c r="H27" s="6"/>
      <c r="I27" s="34">
        <f>'Results - C&amp;I and Residential'!I27+'Results - LMI'!I27</f>
        <v>-82273380.780149996</v>
      </c>
      <c r="J27" s="34"/>
      <c r="K27" s="35">
        <f t="shared" si="1"/>
        <v>-7223580.7801499963</v>
      </c>
      <c r="L27" s="35">
        <f t="shared" si="3"/>
        <v>-36986531.855099984</v>
      </c>
      <c r="M27" s="4"/>
      <c r="N27" s="35">
        <f>'Results - C&amp;I and Residential'!N27+'Results - LMI'!N27</f>
        <v>91585735.303626209</v>
      </c>
      <c r="O27" s="41">
        <f>'Results - C&amp;I and Residential'!O27+'Results - LMI'!O27</f>
        <v>-85506278.595428914</v>
      </c>
    </row>
    <row r="28" spans="1:20" x14ac:dyDescent="0.35">
      <c r="A28" s="28">
        <f t="shared" si="2"/>
        <v>2036</v>
      </c>
      <c r="B28" s="6">
        <f t="shared" si="2"/>
        <v>15</v>
      </c>
      <c r="C28" s="6">
        <f>'Results - C&amp;I and Residential'!C28+'Results - LMI'!C28</f>
        <v>749</v>
      </c>
      <c r="D28" s="6">
        <f>'Results - C&amp;I and Residential'!D28+'Results - LMI'!D28</f>
        <v>1727250</v>
      </c>
      <c r="E28" s="89"/>
      <c r="F28" s="33">
        <f>'Results - C&amp;I and Residential'!F28+'Results - LMI'!F28</f>
        <v>75049800</v>
      </c>
      <c r="G28" s="6"/>
      <c r="H28" s="6"/>
      <c r="I28" s="34">
        <f>'Results - C&amp;I and Residential'!I28+'Results - LMI'!I28</f>
        <v>-83247448.724999994</v>
      </c>
      <c r="J28" s="34"/>
      <c r="K28" s="35">
        <f t="shared" si="1"/>
        <v>-8197648.724999994</v>
      </c>
      <c r="L28" s="35">
        <f t="shared" si="3"/>
        <v>-45184180.580099978</v>
      </c>
      <c r="M28" s="4"/>
      <c r="N28" s="35">
        <f>'Results - C&amp;I and Residential'!N28+'Results - LMI'!N28</f>
        <v>89375596.868748352</v>
      </c>
      <c r="O28" s="41">
        <f>'Results - C&amp;I and Residential'!O28+'Results - LMI'!O28</f>
        <v>-84854611.154247746</v>
      </c>
      <c r="R28" s="107" t="s">
        <v>125</v>
      </c>
      <c r="S28" s="107" t="s">
        <v>84</v>
      </c>
      <c r="T28" s="86" t="s">
        <v>79</v>
      </c>
    </row>
    <row r="29" spans="1:20" x14ac:dyDescent="0.35">
      <c r="A29" s="28">
        <f t="shared" si="2"/>
        <v>2037</v>
      </c>
      <c r="B29" s="6">
        <f t="shared" si="2"/>
        <v>16</v>
      </c>
      <c r="C29" s="6">
        <f>'Results - C&amp;I and Residential'!C29+'Results - LMI'!C29</f>
        <v>749</v>
      </c>
      <c r="D29" s="6">
        <f>'Results - C&amp;I and Residential'!D29+'Results - LMI'!D29</f>
        <v>1714550.0000000002</v>
      </c>
      <c r="E29" s="89"/>
      <c r="F29" s="33">
        <f>'Results - C&amp;I and Residential'!F29+'Results - LMI'!F29</f>
        <v>75049800</v>
      </c>
      <c r="G29" s="6"/>
      <c r="H29" s="6"/>
      <c r="I29" s="34">
        <f>'Results - C&amp;I and Residential'!I29+'Results - LMI'!I29</f>
        <v>-83847668.202000007</v>
      </c>
      <c r="J29" s="34"/>
      <c r="K29" s="35">
        <f t="shared" si="1"/>
        <v>-8797868.202000007</v>
      </c>
      <c r="L29" s="35">
        <f t="shared" si="3"/>
        <v>-53982048.782099985</v>
      </c>
      <c r="M29" s="4"/>
      <c r="N29" s="35">
        <f>'Results - C&amp;I and Residential'!N29+'Results - LMI'!N29</f>
        <v>87061717.967345446</v>
      </c>
      <c r="O29" s="41">
        <f>'Results - C&amp;I and Residential'!O29+'Results - LMI'!O29</f>
        <v>-91221624.275876313</v>
      </c>
      <c r="R29" s="194" t="s">
        <v>2</v>
      </c>
      <c r="S29" s="12">
        <f>'Results - C&amp;I and Residential'!S29+'Results - LMI'!T29</f>
        <v>353.45877738175625</v>
      </c>
      <c r="T29" s="105">
        <f>S29/$S$34</f>
        <v>0.21034776848444897</v>
      </c>
    </row>
    <row r="30" spans="1:20" x14ac:dyDescent="0.35">
      <c r="A30" s="28">
        <f t="shared" ref="A30:B45" si="4">A29+1</f>
        <v>2038</v>
      </c>
      <c r="B30" s="6">
        <f t="shared" si="4"/>
        <v>17</v>
      </c>
      <c r="C30" s="6">
        <f>'Results - C&amp;I and Residential'!C30+'Results - LMI'!C30</f>
        <v>749</v>
      </c>
      <c r="D30" s="6">
        <f>'Results - C&amp;I and Residential'!D30+'Results - LMI'!D30</f>
        <v>1705970</v>
      </c>
      <c r="E30" s="89"/>
      <c r="F30" s="33">
        <f>'Results - C&amp;I and Residential'!F30+'Results - LMI'!F30</f>
        <v>75049800</v>
      </c>
      <c r="G30" s="6"/>
      <c r="H30" s="6"/>
      <c r="I30" s="34">
        <f>'Results - C&amp;I and Residential'!I30+'Results - LMI'!I30</f>
        <v>-84644270.976824999</v>
      </c>
      <c r="J30" s="34"/>
      <c r="K30" s="35">
        <f t="shared" si="1"/>
        <v>-9594470.9768249989</v>
      </c>
      <c r="L30" s="35">
        <f t="shared" si="3"/>
        <v>-63576519.758924983</v>
      </c>
      <c r="M30" s="4"/>
      <c r="N30" s="35">
        <f>'Results - C&amp;I and Residential'!N30+'Results - LMI'!N30</f>
        <v>90984477.152982548</v>
      </c>
      <c r="O30" s="41">
        <f>'Results - C&amp;I and Residential'!O30+'Results - LMI'!O30</f>
        <v>-97728469.281314954</v>
      </c>
      <c r="R30" s="194" t="s">
        <v>18</v>
      </c>
      <c r="S30" s="12">
        <f>'Results - C&amp;I and Residential'!S30+'Results - LMI'!T30</f>
        <v>826.8766028548481</v>
      </c>
      <c r="T30" s="105">
        <f t="shared" ref="T30:T33" si="5">S30/$S$34</f>
        <v>0.49208467677876572</v>
      </c>
    </row>
    <row r="31" spans="1:20" x14ac:dyDescent="0.35">
      <c r="A31" s="28">
        <f t="shared" si="4"/>
        <v>2039</v>
      </c>
      <c r="B31" s="6">
        <f t="shared" si="4"/>
        <v>18</v>
      </c>
      <c r="C31" s="6">
        <f>'Results - C&amp;I and Residential'!C31+'Results - LMI'!C31</f>
        <v>749</v>
      </c>
      <c r="D31" s="6">
        <f>'Results - C&amp;I and Residential'!D31+'Results - LMI'!D31</f>
        <v>1697440</v>
      </c>
      <c r="E31" s="89"/>
      <c r="F31" s="33">
        <f>'Results - C&amp;I and Residential'!F31+'Results - LMI'!F31</f>
        <v>75049800</v>
      </c>
      <c r="G31" s="6"/>
      <c r="H31" s="6"/>
      <c r="I31" s="34">
        <f>'Results - C&amp;I and Residential'!I31+'Results - LMI'!I31</f>
        <v>-85463984.732399985</v>
      </c>
      <c r="J31" s="34"/>
      <c r="K31" s="35">
        <f t="shared" si="1"/>
        <v>-10414184.732399985</v>
      </c>
      <c r="L31" s="35">
        <f t="shared" si="3"/>
        <v>-73990704.491324961</v>
      </c>
      <c r="M31" s="4"/>
      <c r="N31" s="35">
        <f>'Results - C&amp;I and Residential'!N31+'Results - LMI'!N31</f>
        <v>88243456.804239213</v>
      </c>
      <c r="O31" s="41">
        <f>'Results - C&amp;I and Residential'!O31+'Results - LMI'!O31</f>
        <v>-102841950.51903652</v>
      </c>
      <c r="R31" s="194" t="s">
        <v>71</v>
      </c>
      <c r="S31" s="12">
        <f>'Results - C&amp;I and Residential'!S31+'Results - LMI'!T31</f>
        <v>64.55253650544455</v>
      </c>
      <c r="T31" s="105">
        <f t="shared" si="5"/>
        <v>3.8416027194214025E-2</v>
      </c>
    </row>
    <row r="32" spans="1:20" x14ac:dyDescent="0.35">
      <c r="A32" s="28">
        <f t="shared" si="4"/>
        <v>2040</v>
      </c>
      <c r="B32" s="6">
        <f t="shared" si="4"/>
        <v>19</v>
      </c>
      <c r="C32" s="6">
        <f>'Results - C&amp;I and Residential'!C32+'Results - LMI'!C32</f>
        <v>749</v>
      </c>
      <c r="D32" s="6">
        <f>'Results - C&amp;I and Residential'!D32+'Results - LMI'!D32</f>
        <v>1692969.9999999995</v>
      </c>
      <c r="E32" s="89"/>
      <c r="F32" s="33">
        <f>'Results - C&amp;I and Residential'!F32+'Results - LMI'!F32</f>
        <v>75049800</v>
      </c>
      <c r="G32" s="6"/>
      <c r="H32" s="6"/>
      <c r="I32" s="34">
        <f>'Results - C&amp;I and Residential'!I32+'Results - LMI'!I32</f>
        <v>-86488298.765999988</v>
      </c>
      <c r="J32" s="34"/>
      <c r="K32" s="35">
        <f t="shared" si="1"/>
        <v>-11438498.765999988</v>
      </c>
      <c r="L32" s="35">
        <f t="shared" si="3"/>
        <v>-85429203.257324949</v>
      </c>
      <c r="M32" s="4"/>
      <c r="N32" s="35">
        <f>'Results - C&amp;I and Residential'!N32+'Results - LMI'!N32</f>
        <v>85389927.644346431</v>
      </c>
      <c r="O32" s="41">
        <f>'Results - C&amp;I and Residential'!O32+'Results - LMI'!O32</f>
        <v>-106859251.10930552</v>
      </c>
      <c r="R32" s="194" t="s">
        <v>72</v>
      </c>
      <c r="S32" s="12">
        <f>'Results - C&amp;I and Residential'!S32+'Results - LMI'!T32</f>
        <v>1.3477861704066041</v>
      </c>
      <c r="T32" s="105">
        <f t="shared" si="5"/>
        <v>8.0208451870762189E-4</v>
      </c>
    </row>
    <row r="33" spans="1:20" x14ac:dyDescent="0.35">
      <c r="A33" s="28">
        <f t="shared" si="4"/>
        <v>2041</v>
      </c>
      <c r="B33" s="6">
        <f t="shared" si="4"/>
        <v>20</v>
      </c>
      <c r="C33" s="6">
        <f>'Results - C&amp;I and Residential'!C33+'Results - LMI'!C33</f>
        <v>749</v>
      </c>
      <c r="D33" s="6">
        <f>'Results - C&amp;I and Residential'!D33+'Results - LMI'!D33</f>
        <v>1680500</v>
      </c>
      <c r="E33" s="89"/>
      <c r="F33" s="33">
        <f>'Results - C&amp;I and Residential'!F33+'Results - LMI'!F33</f>
        <v>75049800</v>
      </c>
      <c r="G33" s="6"/>
      <c r="H33" s="6"/>
      <c r="I33" s="34">
        <f>'Results - C&amp;I and Residential'!I33+'Results - LMI'!I33</f>
        <v>-87121040.411249995</v>
      </c>
      <c r="J33" s="34"/>
      <c r="K33" s="35">
        <f t="shared" si="1"/>
        <v>-12071240.411249995</v>
      </c>
      <c r="L33" s="35">
        <f t="shared" si="3"/>
        <v>-97500443.668574944</v>
      </c>
      <c r="M33" s="4"/>
      <c r="N33" s="35">
        <f>'Results - C&amp;I and Residential'!N33+'Results - LMI'!N33</f>
        <v>82621781.687483743</v>
      </c>
      <c r="O33" s="41">
        <f>'Results - C&amp;I and Residential'!O33+'Results - LMI'!O33</f>
        <v>-109743152.51953492</v>
      </c>
      <c r="R33" s="194" t="s">
        <v>21</v>
      </c>
      <c r="S33" s="12">
        <f>'Results - C&amp;I and Residential'!S33+'Results - LMI'!T33</f>
        <v>434.11859762716506</v>
      </c>
      <c r="T33" s="105">
        <f t="shared" si="5"/>
        <v>0.2583494430238637</v>
      </c>
    </row>
    <row r="34" spans="1:20" x14ac:dyDescent="0.35">
      <c r="A34" s="28">
        <f t="shared" si="4"/>
        <v>2042</v>
      </c>
      <c r="B34" s="6">
        <f t="shared" si="4"/>
        <v>21</v>
      </c>
      <c r="C34" s="6">
        <f>'Results - C&amp;I and Residential'!C34+'Results - LMI'!C34</f>
        <v>749</v>
      </c>
      <c r="D34" s="6">
        <f>'Results - C&amp;I and Residential'!D34+'Results - LMI'!D34</f>
        <v>1672090</v>
      </c>
      <c r="E34" s="89"/>
      <c r="F34" s="33">
        <f>'Results - C&amp;I and Residential'!F34+'Results - LMI'!F34</f>
        <v>75049800</v>
      </c>
      <c r="G34" s="6"/>
      <c r="H34" s="6"/>
      <c r="I34" s="34">
        <f>'Results - C&amp;I and Residential'!I34+'Results - LMI'!I34</f>
        <v>-87958069.014375001</v>
      </c>
      <c r="J34" s="34"/>
      <c r="K34" s="35">
        <f t="shared" si="1"/>
        <v>-12908269.014375001</v>
      </c>
      <c r="L34" s="35">
        <f t="shared" si="3"/>
        <v>-110408712.68294995</v>
      </c>
      <c r="M34" s="4"/>
      <c r="N34" s="35">
        <f>'Results - C&amp;I and Residential'!N34+'Results - LMI'!N34</f>
        <v>80115351.956061333</v>
      </c>
      <c r="O34" s="41">
        <f>'Results - C&amp;I and Residential'!O34+'Results - LMI'!O34</f>
        <v>-108643116.80715564</v>
      </c>
      <c r="R34" s="194" t="s">
        <v>17</v>
      </c>
      <c r="S34" s="12">
        <f>SUM(S29:S33)</f>
        <v>1680.3543005396205</v>
      </c>
      <c r="T34" s="105"/>
    </row>
    <row r="35" spans="1:20" x14ac:dyDescent="0.35">
      <c r="A35" s="28">
        <f t="shared" si="4"/>
        <v>2043</v>
      </c>
      <c r="B35" s="6">
        <f t="shared" si="4"/>
        <v>22</v>
      </c>
      <c r="C35" s="6">
        <f>'Results - C&amp;I and Residential'!C35+'Results - LMI'!C35</f>
        <v>749</v>
      </c>
      <c r="D35" s="6">
        <f>'Results - C&amp;I and Residential'!D35+'Results - LMI'!D35</f>
        <v>1663730</v>
      </c>
      <c r="E35" s="89"/>
      <c r="F35" s="33">
        <f>'Results - C&amp;I and Residential'!F35+'Results - LMI'!F35</f>
        <v>75049800</v>
      </c>
      <c r="G35" s="6"/>
      <c r="H35" s="6"/>
      <c r="I35" s="34">
        <f>'Results - C&amp;I and Residential'!I35+'Results - LMI'!I35</f>
        <v>-88801076.569049999</v>
      </c>
      <c r="J35" s="34"/>
      <c r="K35" s="35">
        <f t="shared" si="1"/>
        <v>-13751276.569049999</v>
      </c>
      <c r="L35" s="35">
        <f t="shared" si="3"/>
        <v>-124159989.25199994</v>
      </c>
      <c r="M35" s="4"/>
      <c r="N35" s="35">
        <f>'Results - C&amp;I and Residential'!N35+'Results - LMI'!N35</f>
        <v>77740015.212550685</v>
      </c>
      <c r="O35" s="41">
        <f>'Results - C&amp;I and Residential'!O35+'Results - LMI'!O35</f>
        <v>-114534574.3672463</v>
      </c>
      <c r="T35" s="105"/>
    </row>
    <row r="36" spans="1:20" x14ac:dyDescent="0.35">
      <c r="A36" s="28">
        <f t="shared" si="4"/>
        <v>2044</v>
      </c>
      <c r="B36" s="6">
        <f t="shared" si="4"/>
        <v>23</v>
      </c>
      <c r="C36" s="6">
        <f>'Results - C&amp;I and Residential'!C36+'Results - LMI'!C36</f>
        <v>749</v>
      </c>
      <c r="D36" s="6">
        <f>'Results - C&amp;I and Residential'!D36+'Results - LMI'!D36</f>
        <v>1659360.0000000002</v>
      </c>
      <c r="E36" s="89"/>
      <c r="F36" s="33">
        <f>'Results - C&amp;I and Residential'!F36+'Results - LMI'!F36</f>
        <v>75049800</v>
      </c>
      <c r="G36" s="6"/>
      <c r="H36" s="6"/>
      <c r="I36" s="34">
        <f>'Results - C&amp;I and Residential'!I36+'Results - LMI'!I36</f>
        <v>-89856595.011600018</v>
      </c>
      <c r="J36" s="34"/>
      <c r="K36" s="35">
        <f t="shared" si="1"/>
        <v>-14806795.011600018</v>
      </c>
      <c r="L36" s="35">
        <f t="shared" si="3"/>
        <v>-138966784.26359996</v>
      </c>
      <c r="M36" s="4"/>
      <c r="N36" s="35">
        <f>'Results - C&amp;I and Residential'!N36+'Results - LMI'!N36</f>
        <v>75483886.398823142</v>
      </c>
      <c r="O36" s="41">
        <f>'Results - C&amp;I and Residential'!O36+'Results - LMI'!O36</f>
        <v>-111139513.54977298</v>
      </c>
      <c r="R36" s="107" t="s">
        <v>126</v>
      </c>
      <c r="T36" s="105"/>
    </row>
    <row r="37" spans="1:20" x14ac:dyDescent="0.35">
      <c r="A37" s="28">
        <f t="shared" si="4"/>
        <v>2045</v>
      </c>
      <c r="B37" s="6">
        <f t="shared" si="4"/>
        <v>24</v>
      </c>
      <c r="C37" s="6">
        <f>'Results - C&amp;I and Residential'!C37+'Results - LMI'!C37</f>
        <v>749</v>
      </c>
      <c r="D37" s="6">
        <f>'Results - C&amp;I and Residential'!D37+'Results - LMI'!D37</f>
        <v>1647160</v>
      </c>
      <c r="E37" s="89"/>
      <c r="F37" s="33">
        <f>'Results - C&amp;I and Residential'!F37+'Results - LMI'!F37</f>
        <v>75049800</v>
      </c>
      <c r="G37" s="6"/>
      <c r="H37" s="6"/>
      <c r="I37" s="34">
        <f>'Results - C&amp;I and Residential'!I37+'Results - LMI'!I37</f>
        <v>-90520419.830400005</v>
      </c>
      <c r="J37" s="34"/>
      <c r="K37" s="35">
        <f t="shared" si="1"/>
        <v>-15470619.830400005</v>
      </c>
      <c r="L37" s="35">
        <f t="shared" si="3"/>
        <v>-154437404.09399998</v>
      </c>
      <c r="M37" s="4"/>
      <c r="N37" s="35">
        <f>'Results - C&amp;I and Residential'!N37+'Results - LMI'!N37</f>
        <v>73215697.784469098</v>
      </c>
      <c r="O37" s="41">
        <f>'Results - C&amp;I and Residential'!O37+'Results - LMI'!O37</f>
        <v>-120570314.29186009</v>
      </c>
      <c r="R37" s="194" t="s">
        <v>73</v>
      </c>
      <c r="S37" s="13">
        <f>'Results - C&amp;I and Residential'!S37+'Results - LMI'!T37</f>
        <v>1140.2982843495183</v>
      </c>
      <c r="T37" s="105">
        <f>S37/$S$39</f>
        <v>0.99361706567544283</v>
      </c>
    </row>
    <row r="38" spans="1:20" x14ac:dyDescent="0.35">
      <c r="A38" s="28">
        <f t="shared" si="4"/>
        <v>2046</v>
      </c>
      <c r="B38" s="6">
        <f t="shared" si="4"/>
        <v>25</v>
      </c>
      <c r="C38" s="6">
        <f>'Results - C&amp;I and Residential'!C38+'Results - LMI'!C38</f>
        <v>749</v>
      </c>
      <c r="D38" s="6">
        <f>'Results - C&amp;I and Residential'!D38+'Results - LMI'!D38</f>
        <v>1638920</v>
      </c>
      <c r="E38" s="89"/>
      <c r="F38" s="33">
        <f>'Results - C&amp;I and Residential'!F38+'Results - LMI'!F38</f>
        <v>75049800</v>
      </c>
      <c r="G38" s="6"/>
      <c r="H38" s="6"/>
      <c r="I38" s="34">
        <f>'Results - C&amp;I and Residential'!I38+'Results - LMI'!I38</f>
        <v>-91394728.9947</v>
      </c>
      <c r="J38" s="34"/>
      <c r="K38" s="35">
        <f t="shared" si="1"/>
        <v>-16344928.9947</v>
      </c>
      <c r="L38" s="35">
        <f t="shared" si="3"/>
        <v>-170782333.0887</v>
      </c>
      <c r="M38" s="4"/>
      <c r="N38" s="35">
        <f>'Results - C&amp;I and Residential'!N38+'Results - LMI'!N38</f>
        <v>71004945.669139341</v>
      </c>
      <c r="O38" s="41">
        <f>'Results - C&amp;I and Residential'!O38+'Results - LMI'!O38</f>
        <v>-122046097.73300697</v>
      </c>
      <c r="R38" s="194" t="s">
        <v>74</v>
      </c>
      <c r="S38" s="13">
        <f>'Results - C&amp;I and Residential'!S38+'Results - LMI'!T38</f>
        <v>7.3252053641616293</v>
      </c>
      <c r="T38" s="105">
        <f>S38/$S$39</f>
        <v>6.3829343245572568E-3</v>
      </c>
    </row>
    <row r="39" spans="1:20" x14ac:dyDescent="0.35">
      <c r="A39" s="28">
        <f t="shared" si="4"/>
        <v>2047</v>
      </c>
      <c r="B39" s="6">
        <f t="shared" si="4"/>
        <v>26</v>
      </c>
      <c r="C39" s="6">
        <f>'Results - C&amp;I and Residential'!C39+'Results - LMI'!C39</f>
        <v>749</v>
      </c>
      <c r="D39" s="6">
        <f>'Results - C&amp;I and Residential'!D39+'Results - LMI'!D39</f>
        <v>1630730</v>
      </c>
      <c r="E39" s="89"/>
      <c r="F39" s="33">
        <f>'Results - C&amp;I and Residential'!F39+'Results - LMI'!F39</f>
        <v>75049800</v>
      </c>
      <c r="G39" s="6"/>
      <c r="H39" s="6"/>
      <c r="I39" s="34">
        <f>'Results - C&amp;I and Residential'!I39+'Results - LMI'!I39</f>
        <v>-92274317.979974985</v>
      </c>
      <c r="J39" s="34"/>
      <c r="K39" s="35">
        <f t="shared" si="1"/>
        <v>-17224517.979974985</v>
      </c>
      <c r="L39" s="35">
        <f t="shared" si="3"/>
        <v>-188006851.06867498</v>
      </c>
      <c r="M39" s="4"/>
      <c r="N39" s="35">
        <f>'Results - C&amp;I and Residential'!N39+'Results - LMI'!N39</f>
        <v>68877402.334342062</v>
      </c>
      <c r="O39" s="41">
        <f>'Results - C&amp;I and Residential'!O39+'Results - LMI'!O39</f>
        <v>-116630437.93748578</v>
      </c>
      <c r="Q39" s="13"/>
      <c r="R39" s="194" t="s">
        <v>17</v>
      </c>
      <c r="S39" s="13">
        <f>NPV('Rev Rq_Benefits'!A1,N13:N45)/1000000</f>
        <v>1147.6234897136799</v>
      </c>
      <c r="T39" s="105"/>
    </row>
    <row r="40" spans="1:20" x14ac:dyDescent="0.35">
      <c r="A40" s="28">
        <f t="shared" si="4"/>
        <v>2048</v>
      </c>
      <c r="B40" s="6">
        <f t="shared" si="4"/>
        <v>27</v>
      </c>
      <c r="C40" s="6">
        <f>'Results - C&amp;I and Residential'!C40+'Results - LMI'!C40</f>
        <v>749</v>
      </c>
      <c r="D40" s="6">
        <f>'Results - C&amp;I and Residential'!D40+'Results - LMI'!D40</f>
        <v>1625970</v>
      </c>
      <c r="E40" s="89"/>
      <c r="F40" s="33">
        <f>'Results - C&amp;I and Residential'!F40+'Results - LMI'!F40</f>
        <v>75049800</v>
      </c>
      <c r="G40" s="6"/>
      <c r="H40" s="6"/>
      <c r="I40" s="34">
        <f>'Results - C&amp;I and Residential'!I40+'Results - LMI'!I40</f>
        <v>-93347254.841399983</v>
      </c>
      <c r="J40" s="34"/>
      <c r="K40" s="35">
        <f t="shared" si="1"/>
        <v>-18297454.841399983</v>
      </c>
      <c r="L40" s="35">
        <f t="shared" si="3"/>
        <v>-206304305.91007495</v>
      </c>
      <c r="M40" s="4"/>
      <c r="N40" s="35">
        <f>'Results - C&amp;I and Residential'!N40+'Results - LMI'!N40</f>
        <v>66797916.630903691</v>
      </c>
      <c r="O40" s="41">
        <f>'Results - C&amp;I and Residential'!O40+'Results - LMI'!O40</f>
        <v>-131448389.15986881</v>
      </c>
      <c r="S40" s="13"/>
      <c r="T40" s="105"/>
    </row>
    <row r="41" spans="1:20" x14ac:dyDescent="0.35">
      <c r="A41" s="28">
        <f t="shared" si="4"/>
        <v>2049</v>
      </c>
      <c r="B41" s="6">
        <f t="shared" si="4"/>
        <v>28</v>
      </c>
      <c r="C41" s="6">
        <f>'Results - C&amp;I and Residential'!C41+'Results - LMI'!C41</f>
        <v>749</v>
      </c>
      <c r="D41" s="6">
        <f>'Results - C&amp;I and Residential'!D41+'Results - LMI'!D41</f>
        <v>1614429.9999999998</v>
      </c>
      <c r="E41" s="89"/>
      <c r="F41" s="33">
        <f>'Results - C&amp;I and Residential'!F41+'Results - LMI'!F41</f>
        <v>75049800</v>
      </c>
      <c r="G41" s="6"/>
      <c r="H41" s="6"/>
      <c r="I41" s="34">
        <f>'Results - C&amp;I and Residential'!I41+'Results - LMI'!I41</f>
        <v>-94060504.031625003</v>
      </c>
      <c r="J41" s="34"/>
      <c r="K41" s="35">
        <f t="shared" si="1"/>
        <v>-19010704.031625003</v>
      </c>
      <c r="L41" s="35">
        <f t="shared" si="3"/>
        <v>-225315009.94169995</v>
      </c>
      <c r="M41" s="4"/>
      <c r="N41" s="35">
        <f>'Results - C&amp;I and Residential'!N41+'Results - LMI'!N41</f>
        <v>64695086.185236305</v>
      </c>
      <c r="O41" s="41">
        <f>'Results - C&amp;I and Residential'!O41+'Results - LMI'!O41</f>
        <v>-123943899.77383032</v>
      </c>
      <c r="R41" s="194" t="s">
        <v>75</v>
      </c>
      <c r="S41" s="13">
        <f>'Results - C&amp;I and Residential'!S41+'Results - LMI'!T41</f>
        <v>532.73081082594092</v>
      </c>
      <c r="T41" s="105"/>
    </row>
    <row r="42" spans="1:20" x14ac:dyDescent="0.35">
      <c r="A42" s="28">
        <f t="shared" si="4"/>
        <v>2050</v>
      </c>
      <c r="B42" s="6">
        <f t="shared" si="4"/>
        <v>29</v>
      </c>
      <c r="C42" s="6">
        <f>'Results - C&amp;I and Residential'!C42+'Results - LMI'!C42</f>
        <v>749</v>
      </c>
      <c r="D42" s="6">
        <f>'Results - C&amp;I and Residential'!D42+'Results - LMI'!D42</f>
        <v>1606380</v>
      </c>
      <c r="E42" s="89"/>
      <c r="F42" s="33">
        <f>'Results - C&amp;I and Residential'!F42+'Results - LMI'!F42</f>
        <v>75049800</v>
      </c>
      <c r="G42" s="6"/>
      <c r="H42" s="6"/>
      <c r="I42" s="34">
        <f>'Results - C&amp;I and Residential'!I42+'Results - LMI'!I42</f>
        <v>-94970046.461849988</v>
      </c>
      <c r="J42" s="34"/>
      <c r="K42" s="35">
        <f t="shared" si="1"/>
        <v>-19920246.461849988</v>
      </c>
      <c r="L42" s="35">
        <f t="shared" si="3"/>
        <v>-245235256.40354994</v>
      </c>
      <c r="M42" s="4"/>
      <c r="N42" s="35">
        <f>'Results - C&amp;I and Residential'!N42+'Results - LMI'!N42</f>
        <v>62689263.476652049</v>
      </c>
      <c r="O42" s="41">
        <f>'Results - C&amp;I and Residential'!O42+'Results - LMI'!O42</f>
        <v>-127349183.57761319</v>
      </c>
      <c r="R42" s="194" t="s">
        <v>76</v>
      </c>
      <c r="S42" s="13">
        <f>'Results - C&amp;I and Residential'!S42+'Results - LMI'!T42</f>
        <v>67.583577348994311</v>
      </c>
      <c r="T42" s="105">
        <f>S42/S41</f>
        <v>0.12686252789511715</v>
      </c>
    </row>
    <row r="43" spans="1:20" x14ac:dyDescent="0.35">
      <c r="A43" s="28">
        <f t="shared" si="4"/>
        <v>2051</v>
      </c>
      <c r="B43" s="6">
        <f t="shared" si="4"/>
        <v>30</v>
      </c>
      <c r="C43" s="6">
        <f>'Results - C&amp;I and Residential'!C43+'Results - LMI'!C43</f>
        <v>749</v>
      </c>
      <c r="D43" s="6">
        <f>'Results - C&amp;I and Residential'!D43+'Results - LMI'!D43</f>
        <v>1598360.0000000002</v>
      </c>
      <c r="E43" s="89"/>
      <c r="F43" s="33">
        <f>'Results - C&amp;I and Residential'!F43+'Results - LMI'!F43</f>
        <v>75049800</v>
      </c>
      <c r="G43" s="6"/>
      <c r="H43" s="6"/>
      <c r="I43" s="34">
        <f>'Results - C&amp;I and Residential'!I43+'Results - LMI'!I43</f>
        <v>-95883087.826800019</v>
      </c>
      <c r="J43" s="34"/>
      <c r="K43" s="35">
        <f t="shared" si="1"/>
        <v>-20833287.826800019</v>
      </c>
      <c r="L43" s="35">
        <f t="shared" si="3"/>
        <v>-266068544.23034996</v>
      </c>
      <c r="M43" s="4"/>
      <c r="N43" s="35">
        <f>'Results - C&amp;I and Residential'!N43+'Results - LMI'!N43</f>
        <v>64408156.747381099</v>
      </c>
      <c r="O43" s="41">
        <f>'Results - C&amp;I and Residential'!O43+'Results - LMI'!O43</f>
        <v>-123338977.51782307</v>
      </c>
      <c r="R43" s="194" t="s">
        <v>77</v>
      </c>
      <c r="S43" s="13">
        <f>S41-S42</f>
        <v>465.14723347694661</v>
      </c>
      <c r="T43" s="105">
        <f>S43/S41</f>
        <v>0.87313747210488279</v>
      </c>
    </row>
    <row r="44" spans="1:20" x14ac:dyDescent="0.35">
      <c r="A44" s="28">
        <f t="shared" si="4"/>
        <v>2052</v>
      </c>
      <c r="B44" s="6">
        <f t="shared" si="4"/>
        <v>31</v>
      </c>
      <c r="C44" s="6">
        <f>'Results - C&amp;I and Residential'!C44+'Results - LMI'!C44</f>
        <v>599.20000000000005</v>
      </c>
      <c r="D44" s="6">
        <f>'Results - C&amp;I and Residential'!D44+'Results - LMI'!D44</f>
        <v>1276790</v>
      </c>
      <c r="E44" s="89"/>
      <c r="F44" s="33">
        <f>'Results - C&amp;I and Residential'!F44+'Results - LMI'!F44</f>
        <v>60039840</v>
      </c>
      <c r="G44" s="6"/>
      <c r="H44" s="6"/>
      <c r="I44" s="34">
        <f>'Results - C&amp;I and Residential'!I44+'Results - LMI'!I44</f>
        <v>-76595961.337200001</v>
      </c>
      <c r="J44" s="34"/>
      <c r="K44" s="35">
        <f t="shared" si="1"/>
        <v>-16556121.337200001</v>
      </c>
      <c r="L44" s="35">
        <f t="shared" si="3"/>
        <v>-282624665.56754994</v>
      </c>
      <c r="M44" s="4"/>
      <c r="N44" s="35">
        <f>'Results - C&amp;I and Residential'!N44+'Results - LMI'!N44</f>
        <v>54884519.544846058</v>
      </c>
      <c r="O44" s="41">
        <f>'Results - C&amp;I and Residential'!O44+'Results - LMI'!O44</f>
        <v>-115584847.44834214</v>
      </c>
      <c r="S44" s="13"/>
      <c r="T44" s="105"/>
    </row>
    <row r="45" spans="1:20" x14ac:dyDescent="0.35">
      <c r="A45" s="28">
        <f t="shared" si="4"/>
        <v>2053</v>
      </c>
      <c r="B45" s="6">
        <f t="shared" si="4"/>
        <v>32</v>
      </c>
      <c r="C45" s="6">
        <f>'Results - C&amp;I and Residential'!C45+'Results - LMI'!C45</f>
        <v>299.60000000000002</v>
      </c>
      <c r="D45" s="6">
        <f>'Results - C&amp;I and Residential'!D45+'Results - LMI'!D45</f>
        <v>633960</v>
      </c>
      <c r="E45" s="89"/>
      <c r="F45" s="33">
        <f>'Results - C&amp;I and Residential'!F45+'Results - LMI'!F45</f>
        <v>30019920</v>
      </c>
      <c r="G45" s="6"/>
      <c r="H45" s="6"/>
      <c r="I45" s="34">
        <f>'Results - C&amp;I and Residential'!I45+'Results - LMI'!I45</f>
        <v>-38039757.760800004</v>
      </c>
      <c r="J45" s="34"/>
      <c r="K45" s="35">
        <f t="shared" si="1"/>
        <v>-8019837.760800004</v>
      </c>
      <c r="L45" s="35">
        <f t="shared" si="3"/>
        <v>-290644503.32834995</v>
      </c>
      <c r="M45" s="4"/>
      <c r="N45" s="35">
        <f>'Results - C&amp;I and Residential'!N45+'Results - LMI'!N45</f>
        <v>31768949.785500981</v>
      </c>
      <c r="O45" s="41">
        <f>'Results - C&amp;I and Residential'!O45+'Results - LMI'!O45</f>
        <v>-61679010.365607798</v>
      </c>
      <c r="R45" s="194" t="s">
        <v>78</v>
      </c>
      <c r="S45" s="13">
        <f>'Results - C&amp;I and Residential'!S45+'Results - LMI'!T45</f>
        <v>98.612213198775862</v>
      </c>
      <c r="T45" s="106"/>
    </row>
    <row r="46" spans="1:20" ht="15" thickBot="1" x14ac:dyDescent="0.4">
      <c r="A46" s="38">
        <f t="shared" ref="A46:B46" si="6">A45+1</f>
        <v>2054</v>
      </c>
      <c r="B46" s="44">
        <f t="shared" si="6"/>
        <v>33</v>
      </c>
      <c r="C46" s="44">
        <f>'Results - C&amp;I and Residential'!C46+'Results - LMI'!C46</f>
        <v>0</v>
      </c>
      <c r="D46" s="44">
        <f>'Results - C&amp;I and Residential'!D46+'Results - LMI'!D46</f>
        <v>0</v>
      </c>
      <c r="E46" s="92"/>
      <c r="F46" s="195">
        <f>'Results - C&amp;I and Residential'!F46+'Results - LMI'!F46</f>
        <v>0</v>
      </c>
      <c r="G46" s="44"/>
      <c r="H46" s="44"/>
      <c r="I46" s="196">
        <f>'Results - C&amp;I and Residential'!I46+'Results - LMI'!I46</f>
        <v>0</v>
      </c>
      <c r="J46" s="39"/>
      <c r="K46" s="44"/>
      <c r="L46" s="8"/>
      <c r="M46" s="8"/>
      <c r="N46" s="8"/>
      <c r="O46" s="93"/>
      <c r="P46" s="4"/>
      <c r="R46" s="194" t="s">
        <v>76</v>
      </c>
      <c r="S46" s="13">
        <f>'Results - C&amp;I and Residential'!S46+'Results - LMI'!T46</f>
        <v>67.583577348994311</v>
      </c>
      <c r="T46" s="105">
        <f>S46/S45</f>
        <v>0.68534692769509076</v>
      </c>
    </row>
    <row r="47" spans="1:20" x14ac:dyDescent="0.35">
      <c r="R47" s="194" t="s">
        <v>77</v>
      </c>
      <c r="S47" s="13">
        <f>S45-S46</f>
        <v>31.028635849781551</v>
      </c>
      <c r="T47" s="105">
        <f>S47/S45</f>
        <v>0.3146530723049093</v>
      </c>
    </row>
    <row r="50" spans="11:11" x14ac:dyDescent="0.35">
      <c r="K50" s="53"/>
    </row>
  </sheetData>
  <mergeCells count="2">
    <mergeCell ref="R3:S3"/>
    <mergeCell ref="R14:S14"/>
  </mergeCells>
  <dataValidations count="1">
    <dataValidation type="list" allowBlank="1" showInputMessage="1" showErrorMessage="1" sqref="S23 S25" xr:uid="{3C48DE4F-9CBC-4D5A-B885-E1B2FBA5C4CD}">
      <formula1>"Y,N"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FF00"/>
  </sheetPr>
  <dimension ref="A1:AO46"/>
  <sheetViews>
    <sheetView tabSelected="1" zoomScale="70" zoomScaleNormal="70" workbookViewId="0"/>
  </sheetViews>
  <sheetFormatPr defaultRowHeight="14.5" x14ac:dyDescent="0.35"/>
  <cols>
    <col min="2" max="2" width="12.81640625" customWidth="1"/>
    <col min="5" max="5" width="11.81640625" bestFit="1" customWidth="1"/>
    <col min="6" max="7" width="11.1796875" bestFit="1" customWidth="1"/>
    <col min="8" max="10" width="10.1796875" bestFit="1" customWidth="1"/>
    <col min="11" max="11" width="13.54296875" customWidth="1"/>
    <col min="12" max="12" width="16.26953125" customWidth="1"/>
    <col min="13" max="13" width="18.54296875" customWidth="1"/>
    <col min="14" max="14" width="15.54296875" customWidth="1"/>
    <col min="15" max="15" width="6.81640625" customWidth="1"/>
    <col min="17" max="17" width="14.81640625" bestFit="1" customWidth="1"/>
    <col min="18" max="18" width="13.453125" customWidth="1"/>
    <col min="19" max="19" width="15.81640625" customWidth="1"/>
    <col min="20" max="20" width="12.54296875" customWidth="1"/>
    <col min="21" max="21" width="15.81640625" customWidth="1"/>
    <col min="22" max="22" width="27.26953125" customWidth="1"/>
    <col min="23" max="23" width="12.54296875" customWidth="1"/>
    <col min="24" max="25" width="13" customWidth="1"/>
    <col min="28" max="28" width="14.81640625" customWidth="1"/>
    <col min="29" max="29" width="12.54296875" bestFit="1" customWidth="1"/>
    <col min="30" max="30" width="22.453125" customWidth="1"/>
    <col min="31" max="31" width="16.1796875" bestFit="1" customWidth="1"/>
    <col min="33" max="33" width="15.26953125" bestFit="1" customWidth="1"/>
    <col min="34" max="34" width="27.453125" customWidth="1"/>
    <col min="35" max="35" width="24" customWidth="1"/>
    <col min="36" max="36" width="28" customWidth="1"/>
    <col min="37" max="37" width="10.81640625" bestFit="1" customWidth="1"/>
    <col min="38" max="40" width="9.81640625" bestFit="1" customWidth="1"/>
  </cols>
  <sheetData>
    <row r="1" spans="1:41" ht="15.5" x14ac:dyDescent="0.35">
      <c r="A1" s="85">
        <v>6.7000000000000004E-2</v>
      </c>
      <c r="B1" s="86" t="s">
        <v>64</v>
      </c>
      <c r="D1" s="173"/>
      <c r="E1" s="220" t="s">
        <v>98</v>
      </c>
      <c r="F1" s="220"/>
      <c r="G1" s="220"/>
      <c r="H1" s="220"/>
      <c r="I1" s="220"/>
      <c r="J1" s="220"/>
      <c r="K1" s="220"/>
      <c r="Q1" s="220" t="s">
        <v>107</v>
      </c>
      <c r="R1" s="220"/>
      <c r="S1" s="220"/>
      <c r="T1" s="220"/>
      <c r="U1" s="220"/>
      <c r="V1" s="220"/>
      <c r="AK1" s="130"/>
      <c r="AL1" s="130"/>
      <c r="AM1" s="130"/>
      <c r="AN1" s="130"/>
      <c r="AO1" s="130"/>
    </row>
    <row r="2" spans="1:41" ht="15" thickBot="1" x14ac:dyDescent="0.4">
      <c r="E2" s="12"/>
      <c r="AK2" s="131"/>
      <c r="AL2" s="131"/>
      <c r="AM2" s="131"/>
      <c r="AN2" s="131"/>
      <c r="AO2" s="131"/>
    </row>
    <row r="3" spans="1:41" ht="15.75" customHeight="1" x14ac:dyDescent="0.35">
      <c r="C3" s="133" t="s">
        <v>109</v>
      </c>
      <c r="D3" s="4"/>
      <c r="E3" s="211" t="s">
        <v>5</v>
      </c>
      <c r="F3" s="212"/>
      <c r="G3" s="212"/>
      <c r="H3" s="212"/>
      <c r="I3" s="212"/>
      <c r="J3" s="212"/>
      <c r="K3" s="213"/>
      <c r="L3" s="217" t="s">
        <v>127</v>
      </c>
      <c r="M3" s="218"/>
      <c r="N3" s="219"/>
      <c r="O3" s="18"/>
      <c r="Q3" s="217" t="s">
        <v>65</v>
      </c>
      <c r="R3" s="218"/>
      <c r="S3" s="218"/>
      <c r="T3" s="218"/>
      <c r="U3" s="219"/>
      <c r="V3" s="156" t="s">
        <v>103</v>
      </c>
      <c r="W3" s="130"/>
      <c r="X3" s="130"/>
      <c r="Y3" s="130"/>
    </row>
    <row r="4" spans="1:41" ht="18" customHeight="1" thickBot="1" x14ac:dyDescent="0.4">
      <c r="C4" s="133" t="s">
        <v>7</v>
      </c>
      <c r="D4" s="4"/>
      <c r="E4" s="214" t="s">
        <v>9</v>
      </c>
      <c r="F4" s="215"/>
      <c r="G4" s="215"/>
      <c r="H4" s="215"/>
      <c r="I4" s="215"/>
      <c r="J4" s="215"/>
      <c r="K4" s="216"/>
      <c r="L4" s="165"/>
      <c r="M4" s="4"/>
      <c r="N4" s="5"/>
      <c r="O4" s="18"/>
      <c r="Q4" s="141">
        <v>1</v>
      </c>
      <c r="R4" s="142">
        <f>Q4</f>
        <v>1</v>
      </c>
      <c r="S4" s="142">
        <f>Q4</f>
        <v>1</v>
      </c>
      <c r="T4" s="142">
        <v>0</v>
      </c>
      <c r="U4" s="49"/>
      <c r="V4" s="157"/>
      <c r="W4" s="133"/>
      <c r="X4" s="66" t="s">
        <v>108</v>
      </c>
      <c r="Y4" s="66" t="s">
        <v>108</v>
      </c>
      <c r="Z4" s="66"/>
      <c r="AA4" s="66"/>
    </row>
    <row r="5" spans="1:41" ht="15" thickBot="1" x14ac:dyDescent="0.4">
      <c r="A5" t="s">
        <v>10</v>
      </c>
      <c r="C5" s="133" t="s">
        <v>3</v>
      </c>
      <c r="D5" s="6" t="s">
        <v>10</v>
      </c>
      <c r="E5" s="154" t="s">
        <v>11</v>
      </c>
      <c r="F5" s="155" t="s">
        <v>12</v>
      </c>
      <c r="G5" s="155" t="s">
        <v>13</v>
      </c>
      <c r="H5" s="155" t="s">
        <v>14</v>
      </c>
      <c r="I5" s="155" t="s">
        <v>15</v>
      </c>
      <c r="J5" s="155" t="s">
        <v>16</v>
      </c>
      <c r="K5" s="159" t="s">
        <v>17</v>
      </c>
      <c r="L5" s="166" t="s">
        <v>66</v>
      </c>
      <c r="M5" s="167" t="s">
        <v>6</v>
      </c>
      <c r="N5" s="170" t="s">
        <v>54</v>
      </c>
      <c r="P5" s="174" t="s">
        <v>10</v>
      </c>
      <c r="Q5" s="23" t="s">
        <v>18</v>
      </c>
      <c r="R5" s="3" t="s">
        <v>19</v>
      </c>
      <c r="S5" s="3" t="s">
        <v>20</v>
      </c>
      <c r="T5" s="3" t="s">
        <v>21</v>
      </c>
      <c r="U5" s="158" t="s">
        <v>17</v>
      </c>
      <c r="V5" s="158" t="s">
        <v>102</v>
      </c>
      <c r="W5" s="133"/>
      <c r="X5" s="66" t="s">
        <v>22</v>
      </c>
      <c r="Y5" s="66" t="s">
        <v>23</v>
      </c>
      <c r="Z5" s="66"/>
      <c r="AA5" s="66"/>
    </row>
    <row r="6" spans="1:41" x14ac:dyDescent="0.35">
      <c r="C6" s="133"/>
      <c r="D6" s="133">
        <v>2019</v>
      </c>
      <c r="E6" s="151"/>
      <c r="F6" s="152"/>
      <c r="G6" s="152"/>
      <c r="H6" s="152"/>
      <c r="I6" s="152"/>
      <c r="J6" s="152"/>
      <c r="K6" s="160"/>
      <c r="L6" s="165"/>
      <c r="M6" s="5"/>
      <c r="N6" s="143"/>
      <c r="O6" s="58"/>
      <c r="P6" s="133">
        <v>2019</v>
      </c>
      <c r="Q6" s="144"/>
      <c r="R6" s="2"/>
      <c r="S6" s="199"/>
      <c r="T6" s="27"/>
      <c r="U6" s="27"/>
      <c r="V6" s="148"/>
      <c r="Z6" s="52"/>
      <c r="AK6" s="15"/>
      <c r="AL6" s="15"/>
      <c r="AM6" s="15"/>
      <c r="AN6" s="15"/>
      <c r="AO6" s="15"/>
    </row>
    <row r="7" spans="1:41" x14ac:dyDescent="0.35">
      <c r="C7" s="133"/>
      <c r="D7" s="133">
        <v>2020</v>
      </c>
      <c r="E7" s="153"/>
      <c r="F7" s="14"/>
      <c r="G7" s="14"/>
      <c r="H7" s="14"/>
      <c r="I7" s="14"/>
      <c r="J7" s="14"/>
      <c r="K7" s="161"/>
      <c r="L7" s="165"/>
      <c r="M7" s="5"/>
      <c r="N7" s="143"/>
      <c r="O7" s="58"/>
      <c r="P7" s="133">
        <v>2020</v>
      </c>
      <c r="Q7" s="145"/>
      <c r="R7" s="134"/>
      <c r="S7" s="134"/>
      <c r="T7" s="197"/>
      <c r="U7" s="197"/>
      <c r="V7" s="149"/>
      <c r="W7" s="56"/>
      <c r="X7" s="136"/>
      <c r="Y7" s="137"/>
      <c r="Z7" s="52"/>
      <c r="AC7" s="9"/>
      <c r="AK7" s="15"/>
      <c r="AL7" s="15"/>
      <c r="AM7" s="15"/>
      <c r="AN7" s="15"/>
      <c r="AO7" s="15"/>
    </row>
    <row r="8" spans="1:41" x14ac:dyDescent="0.35">
      <c r="A8">
        <v>0</v>
      </c>
      <c r="C8" s="175">
        <v>0</v>
      </c>
      <c r="D8" s="133">
        <v>2021</v>
      </c>
      <c r="E8" s="200">
        <v>0</v>
      </c>
      <c r="F8" s="201">
        <v>0</v>
      </c>
      <c r="G8" s="201">
        <v>0</v>
      </c>
      <c r="H8" s="201">
        <v>0</v>
      </c>
      <c r="I8" s="201">
        <v>0</v>
      </c>
      <c r="J8" s="201">
        <v>0</v>
      </c>
      <c r="K8" s="162">
        <f>SUM(E8:J8)</f>
        <v>0</v>
      </c>
      <c r="L8" s="168">
        <v>0</v>
      </c>
      <c r="M8" s="50">
        <v>1020079.0961866667</v>
      </c>
      <c r="N8" s="171">
        <f>M8+L8</f>
        <v>1020079.0961866667</v>
      </c>
      <c r="O8" s="58"/>
      <c r="P8" s="133">
        <v>2021</v>
      </c>
      <c r="Q8" s="145">
        <v>0</v>
      </c>
      <c r="R8" s="134">
        <v>0</v>
      </c>
      <c r="S8" s="134">
        <v>0</v>
      </c>
      <c r="T8" s="197">
        <v>0</v>
      </c>
      <c r="U8" s="197">
        <f t="shared" ref="U8" si="0">SUM(Q8:T8)</f>
        <v>0</v>
      </c>
      <c r="V8" s="150">
        <v>0</v>
      </c>
      <c r="W8" s="56"/>
      <c r="X8" s="136">
        <v>0</v>
      </c>
      <c r="Y8" s="137">
        <f t="shared" ref="Y8:Y40" si="1">X8*1000</f>
        <v>0</v>
      </c>
      <c r="Z8" s="52"/>
      <c r="AC8" s="9"/>
      <c r="AK8" s="15"/>
      <c r="AL8" s="15"/>
      <c r="AM8" s="15"/>
      <c r="AN8" s="15"/>
      <c r="AO8" s="15"/>
    </row>
    <row r="9" spans="1:41" x14ac:dyDescent="0.35">
      <c r="A9">
        <v>1</v>
      </c>
      <c r="C9" s="175">
        <v>149.80000000000001</v>
      </c>
      <c r="D9" s="6">
        <v>2022</v>
      </c>
      <c r="E9" s="200">
        <v>28277.982112190122</v>
      </c>
      <c r="F9" s="201">
        <v>0</v>
      </c>
      <c r="G9" s="201">
        <v>0</v>
      </c>
      <c r="H9" s="201">
        <v>2580.0820188433186</v>
      </c>
      <c r="I9" s="201">
        <v>0</v>
      </c>
      <c r="J9" s="201">
        <v>0</v>
      </c>
      <c r="K9" s="162">
        <f>SUM(E9:J9)</f>
        <v>30858.064131033439</v>
      </c>
      <c r="L9" s="168">
        <f>K9*1000</f>
        <v>30858064.131033439</v>
      </c>
      <c r="M9" s="50">
        <v>627536.53744666663</v>
      </c>
      <c r="N9" s="171">
        <f t="shared" ref="N9:N40" si="2">M9+L9</f>
        <v>31485600.668480106</v>
      </c>
      <c r="O9" s="58"/>
      <c r="P9" s="133">
        <v>2022</v>
      </c>
      <c r="Q9" s="145">
        <v>-8.3193900000004533</v>
      </c>
      <c r="R9" s="134">
        <v>-1.3973000000000013</v>
      </c>
      <c r="S9" s="134">
        <v>-6.9003699999999668E-2</v>
      </c>
      <c r="T9" s="197">
        <v>0</v>
      </c>
      <c r="U9" s="197">
        <f>SUM(Q9:T9)</f>
        <v>-9.7856937000004542</v>
      </c>
      <c r="V9" s="150">
        <v>0</v>
      </c>
      <c r="X9" s="136">
        <v>367.47</v>
      </c>
      <c r="Y9" s="137">
        <f t="shared" si="1"/>
        <v>367470</v>
      </c>
      <c r="Z9" s="52"/>
      <c r="AA9" s="9"/>
      <c r="AC9" s="9"/>
      <c r="AK9" s="15"/>
      <c r="AL9" s="15"/>
      <c r="AM9" s="15"/>
      <c r="AN9" s="15"/>
      <c r="AO9" s="15"/>
    </row>
    <row r="10" spans="1:41" x14ac:dyDescent="0.35">
      <c r="A10">
        <f>A9+1</f>
        <v>2</v>
      </c>
      <c r="C10" s="175">
        <v>449.40000000000003</v>
      </c>
      <c r="D10" s="6">
        <v>2023</v>
      </c>
      <c r="E10" s="200">
        <v>26794.547918280226</v>
      </c>
      <c r="F10" s="201">
        <v>52688.049979314965</v>
      </c>
      <c r="G10" s="201">
        <v>0</v>
      </c>
      <c r="H10" s="201">
        <v>2511.6443513792565</v>
      </c>
      <c r="I10" s="201">
        <v>5076.9967567140002</v>
      </c>
      <c r="J10" s="201">
        <v>0</v>
      </c>
      <c r="K10" s="162">
        <f t="shared" ref="K10:K41" si="3">SUM(E10:J10)</f>
        <v>87071.239005688447</v>
      </c>
      <c r="L10" s="168">
        <f t="shared" ref="L10:L40" si="4">K10*1000</f>
        <v>87071239.005688444</v>
      </c>
      <c r="M10" s="50">
        <v>683076.19099066674</v>
      </c>
      <c r="N10" s="171">
        <f t="shared" si="2"/>
        <v>87754315.196679115</v>
      </c>
      <c r="O10" s="58"/>
      <c r="P10" s="133">
        <v>2023</v>
      </c>
      <c r="Q10" s="145">
        <v>-24.187049999999886</v>
      </c>
      <c r="R10" s="134">
        <v>-3.8444999999999681</v>
      </c>
      <c r="S10" s="134">
        <v>-0.11397239999999886</v>
      </c>
      <c r="T10" s="197">
        <v>0</v>
      </c>
      <c r="U10" s="197">
        <f t="shared" ref="U10:U40" si="5">SUM(Q10:T10)</f>
        <v>-28.145522399999852</v>
      </c>
      <c r="V10" s="150">
        <v>0</v>
      </c>
      <c r="X10" s="136">
        <v>1100.56</v>
      </c>
      <c r="Y10" s="137">
        <f t="shared" si="1"/>
        <v>1100560</v>
      </c>
      <c r="Z10" s="52"/>
      <c r="AA10" s="9"/>
      <c r="AC10" s="9"/>
      <c r="AK10" s="15"/>
      <c r="AL10" s="15"/>
      <c r="AM10" s="15"/>
      <c r="AN10" s="15"/>
      <c r="AO10" s="15"/>
    </row>
    <row r="11" spans="1:41" x14ac:dyDescent="0.35">
      <c r="A11">
        <f t="shared" ref="A11:A41" si="6">A10+1</f>
        <v>3</v>
      </c>
      <c r="C11" s="175">
        <v>749</v>
      </c>
      <c r="D11" s="6">
        <v>2024</v>
      </c>
      <c r="E11" s="200">
        <v>25341.37536568772</v>
      </c>
      <c r="F11" s="201">
        <v>49877.379176922979</v>
      </c>
      <c r="G11" s="201">
        <v>50548.452988460791</v>
      </c>
      <c r="H11" s="201">
        <v>2435.0252431738404</v>
      </c>
      <c r="I11" s="201">
        <v>4940.7153672671993</v>
      </c>
      <c r="J11" s="201">
        <v>5178.5366918482796</v>
      </c>
      <c r="K11" s="162">
        <f t="shared" si="3"/>
        <v>138321.4848333608</v>
      </c>
      <c r="L11" s="168">
        <f t="shared" si="4"/>
        <v>138321484.83336079</v>
      </c>
      <c r="M11" s="50">
        <v>674712.88001039997</v>
      </c>
      <c r="N11" s="171">
        <f t="shared" si="2"/>
        <v>138996197.71337119</v>
      </c>
      <c r="O11" s="58"/>
      <c r="P11" s="133">
        <v>2024</v>
      </c>
      <c r="Q11" s="145">
        <v>-48.387809999999945</v>
      </c>
      <c r="R11" s="134">
        <v>-5.3463700000000216</v>
      </c>
      <c r="S11" s="134">
        <v>-0.290931099999999</v>
      </c>
      <c r="T11" s="197">
        <v>0</v>
      </c>
      <c r="U11" s="197">
        <f t="shared" si="5"/>
        <v>-54.025111099999968</v>
      </c>
      <c r="V11" s="150">
        <v>0</v>
      </c>
      <c r="X11" s="136">
        <v>1834.33</v>
      </c>
      <c r="Y11" s="137">
        <f t="shared" si="1"/>
        <v>1834330</v>
      </c>
      <c r="Z11" s="52"/>
      <c r="AA11" s="9"/>
      <c r="AC11" s="9"/>
      <c r="AK11" s="15"/>
      <c r="AL11" s="15"/>
      <c r="AM11" s="15"/>
      <c r="AN11" s="15"/>
      <c r="AO11" s="15"/>
    </row>
    <row r="12" spans="1:41" x14ac:dyDescent="0.35">
      <c r="A12">
        <f t="shared" si="6"/>
        <v>4</v>
      </c>
      <c r="C12" s="175">
        <v>749</v>
      </c>
      <c r="D12" s="6">
        <v>2025</v>
      </c>
      <c r="E12" s="200">
        <v>24272.08025010836</v>
      </c>
      <c r="F12" s="201">
        <v>47125.141407946328</v>
      </c>
      <c r="G12" s="201">
        <v>47753.944028532111</v>
      </c>
      <c r="H12" s="201">
        <v>2362.5900947809196</v>
      </c>
      <c r="I12" s="201">
        <v>4787.7421775734792</v>
      </c>
      <c r="J12" s="201">
        <v>5039.5296746125423</v>
      </c>
      <c r="K12" s="162">
        <f t="shared" si="3"/>
        <v>131341.02763355372</v>
      </c>
      <c r="L12" s="168">
        <f t="shared" si="4"/>
        <v>131341027.63355371</v>
      </c>
      <c r="M12" s="50">
        <v>656197.4332790667</v>
      </c>
      <c r="N12" s="171">
        <f t="shared" si="2"/>
        <v>131997225.06683278</v>
      </c>
      <c r="O12" s="58"/>
      <c r="P12" s="133">
        <v>2025</v>
      </c>
      <c r="Q12" s="145">
        <v>-48.68503999999939</v>
      </c>
      <c r="R12" s="134">
        <v>-4.4349699999999928</v>
      </c>
      <c r="S12" s="134">
        <v>-0.34147619999999979</v>
      </c>
      <c r="T12" s="197">
        <v>-4.6624000000000052</v>
      </c>
      <c r="U12" s="197">
        <f t="shared" si="5"/>
        <v>-58.12388619999939</v>
      </c>
      <c r="V12" s="150">
        <v>0</v>
      </c>
      <c r="X12" s="136">
        <v>1820.83</v>
      </c>
      <c r="Y12" s="137">
        <f t="shared" si="1"/>
        <v>1820830</v>
      </c>
      <c r="Z12" s="52"/>
      <c r="AA12" s="9"/>
      <c r="AC12" s="9"/>
      <c r="AK12" s="15"/>
      <c r="AL12" s="15"/>
      <c r="AM12" s="15"/>
      <c r="AN12" s="15"/>
      <c r="AO12" s="15"/>
    </row>
    <row r="13" spans="1:41" x14ac:dyDescent="0.35">
      <c r="A13">
        <f t="shared" si="6"/>
        <v>5</v>
      </c>
      <c r="C13" s="175">
        <v>749</v>
      </c>
      <c r="D13" s="6">
        <v>2026</v>
      </c>
      <c r="E13" s="200">
        <v>23376.357806218457</v>
      </c>
      <c r="F13" s="201">
        <v>45113.623901627514</v>
      </c>
      <c r="G13" s="201">
        <v>45017.588445604772</v>
      </c>
      <c r="H13" s="201">
        <v>2293.923613587629</v>
      </c>
      <c r="I13" s="201">
        <v>4643.3025549286558</v>
      </c>
      <c r="J13" s="201">
        <v>4883.4970211249483</v>
      </c>
      <c r="K13" s="162">
        <f t="shared" si="3"/>
        <v>125328.29334309197</v>
      </c>
      <c r="L13" s="168">
        <f t="shared" si="4"/>
        <v>125328293.34309196</v>
      </c>
      <c r="M13" s="50">
        <v>510501.95073344669</v>
      </c>
      <c r="N13" s="171">
        <f t="shared" si="2"/>
        <v>125838795.29382542</v>
      </c>
      <c r="O13" s="58"/>
      <c r="P13" s="133">
        <v>2026</v>
      </c>
      <c r="Q13" s="145">
        <v>-51.746209999999905</v>
      </c>
      <c r="R13" s="134">
        <v>-4.6266000000000247</v>
      </c>
      <c r="S13" s="134">
        <v>-0.28036870000000125</v>
      </c>
      <c r="T13" s="197">
        <v>-8.0989399999999421</v>
      </c>
      <c r="U13" s="197">
        <f t="shared" si="5"/>
        <v>-64.752118699999869</v>
      </c>
      <c r="V13" s="150">
        <v>0</v>
      </c>
      <c r="X13" s="136">
        <v>1811.7400000000002</v>
      </c>
      <c r="Y13" s="137">
        <f t="shared" si="1"/>
        <v>1811740.0000000002</v>
      </c>
      <c r="Z13" s="52"/>
      <c r="AA13" s="9"/>
      <c r="AC13" s="9"/>
      <c r="AK13" s="15"/>
      <c r="AL13" s="15"/>
      <c r="AM13" s="15"/>
      <c r="AN13" s="15"/>
      <c r="AO13" s="15"/>
    </row>
    <row r="14" spans="1:41" x14ac:dyDescent="0.35">
      <c r="A14">
        <f t="shared" si="6"/>
        <v>6</v>
      </c>
      <c r="C14" s="175">
        <v>749</v>
      </c>
      <c r="D14" s="6">
        <v>2027</v>
      </c>
      <c r="E14" s="200">
        <v>20348.107014468682</v>
      </c>
      <c r="F14" s="201">
        <v>39268.456938863259</v>
      </c>
      <c r="G14" s="201">
        <v>41285.169695686178</v>
      </c>
      <c r="H14" s="201">
        <v>2228.6798632617615</v>
      </c>
      <c r="I14" s="201">
        <v>4506.5492510734257</v>
      </c>
      <c r="J14" s="201">
        <v>4736.1686060272286</v>
      </c>
      <c r="K14" s="162">
        <f t="shared" si="3"/>
        <v>112373.13136938054</v>
      </c>
      <c r="L14" s="168">
        <f t="shared" si="4"/>
        <v>112373131.36938055</v>
      </c>
      <c r="M14" s="50">
        <v>565092.26722358353</v>
      </c>
      <c r="N14" s="171">
        <f t="shared" si="2"/>
        <v>112938223.63660413</v>
      </c>
      <c r="O14" s="58"/>
      <c r="P14" s="133">
        <v>2027</v>
      </c>
      <c r="Q14" s="145">
        <v>-56.972230000000081</v>
      </c>
      <c r="R14" s="134">
        <v>-5.1006399999999701</v>
      </c>
      <c r="S14" s="134">
        <v>-0.1740693000000002</v>
      </c>
      <c r="T14" s="197">
        <v>-11.210430000000144</v>
      </c>
      <c r="U14" s="197">
        <f t="shared" si="5"/>
        <v>-73.457369300000195</v>
      </c>
      <c r="V14" s="150">
        <v>-10.974220432553528</v>
      </c>
      <c r="X14" s="136">
        <v>1802.67</v>
      </c>
      <c r="Y14" s="137">
        <f t="shared" si="1"/>
        <v>1802670</v>
      </c>
      <c r="Z14" s="52"/>
      <c r="AA14" s="9"/>
      <c r="AC14" s="9"/>
      <c r="AK14" s="15"/>
      <c r="AL14" s="15"/>
      <c r="AM14" s="15"/>
      <c r="AN14" s="15"/>
      <c r="AO14" s="15"/>
    </row>
    <row r="15" spans="1:41" x14ac:dyDescent="0.35">
      <c r="A15">
        <f t="shared" si="6"/>
        <v>7</v>
      </c>
      <c r="C15" s="175">
        <v>749</v>
      </c>
      <c r="D15" s="6">
        <v>2028</v>
      </c>
      <c r="E15" s="200">
        <v>19774.298712725173</v>
      </c>
      <c r="F15" s="201">
        <v>37995.193911248527</v>
      </c>
      <c r="G15" s="201">
        <v>39647.716892352837</v>
      </c>
      <c r="H15" s="201">
        <v>2165.8426932411135</v>
      </c>
      <c r="I15" s="201">
        <v>4376.7765030211558</v>
      </c>
      <c r="J15" s="201">
        <v>4596.6802360948932</v>
      </c>
      <c r="K15" s="162">
        <f t="shared" si="3"/>
        <v>108556.5089486837</v>
      </c>
      <c r="L15" s="168">
        <f t="shared" si="4"/>
        <v>108556508.94868369</v>
      </c>
      <c r="M15" s="50">
        <v>524136.09409135761</v>
      </c>
      <c r="N15" s="171">
        <f t="shared" si="2"/>
        <v>109080645.04277505</v>
      </c>
      <c r="O15" s="58"/>
      <c r="P15" s="133">
        <v>2028</v>
      </c>
      <c r="Q15" s="145">
        <v>-57.119189999999435</v>
      </c>
      <c r="R15" s="134">
        <v>-6.0829699999999889</v>
      </c>
      <c r="S15" s="134">
        <v>-7.1848899999999105E-2</v>
      </c>
      <c r="T15" s="197">
        <v>-14.193219999999997</v>
      </c>
      <c r="U15" s="197">
        <f t="shared" si="5"/>
        <v>-77.467228899999412</v>
      </c>
      <c r="V15" s="150">
        <v>-29.539108253027543</v>
      </c>
      <c r="X15" s="136">
        <v>1797.8999999999999</v>
      </c>
      <c r="Y15" s="137">
        <f t="shared" si="1"/>
        <v>1797899.9999999998</v>
      </c>
      <c r="Z15" s="52"/>
      <c r="AA15" s="9"/>
      <c r="AC15" s="9"/>
      <c r="AK15" s="15"/>
      <c r="AL15" s="15"/>
      <c r="AM15" s="15"/>
      <c r="AN15" s="15"/>
      <c r="AO15" s="15"/>
    </row>
    <row r="16" spans="1:41" x14ac:dyDescent="0.35">
      <c r="A16">
        <f t="shared" si="6"/>
        <v>8</v>
      </c>
      <c r="C16" s="175">
        <v>749</v>
      </c>
      <c r="D16" s="6">
        <v>2029</v>
      </c>
      <c r="E16" s="200">
        <v>19312.969021196299</v>
      </c>
      <c r="F16" s="201">
        <v>36940.466915702644</v>
      </c>
      <c r="G16" s="201">
        <v>38416.278241390595</v>
      </c>
      <c r="H16" s="201">
        <v>2103.7950741931681</v>
      </c>
      <c r="I16" s="201">
        <v>4251.9113091699546</v>
      </c>
      <c r="J16" s="201">
        <v>4464.3120330815791</v>
      </c>
      <c r="K16" s="162">
        <f t="shared" si="3"/>
        <v>105489.73259473423</v>
      </c>
      <c r="L16" s="168">
        <f t="shared" si="4"/>
        <v>105489732.59473424</v>
      </c>
      <c r="M16" s="50">
        <v>545442.33186889836</v>
      </c>
      <c r="N16" s="171">
        <f t="shared" si="2"/>
        <v>106035174.92660314</v>
      </c>
      <c r="O16" s="58"/>
      <c r="P16" s="133">
        <v>2029</v>
      </c>
      <c r="Q16" s="145">
        <v>-67.11600999999996</v>
      </c>
      <c r="R16" s="134">
        <v>-5.2479299999999967</v>
      </c>
      <c r="S16" s="134">
        <v>-0.37999040000000228</v>
      </c>
      <c r="T16" s="197">
        <v>-19.650160000000028</v>
      </c>
      <c r="U16" s="197">
        <f t="shared" si="5"/>
        <v>-92.394090399999982</v>
      </c>
      <c r="V16" s="150">
        <v>-25.26174193594515</v>
      </c>
      <c r="X16" s="136">
        <v>1784.68</v>
      </c>
      <c r="Y16" s="137">
        <f t="shared" si="1"/>
        <v>1784680</v>
      </c>
      <c r="Z16" s="52"/>
      <c r="AA16" s="9"/>
      <c r="AC16" s="9"/>
      <c r="AK16" s="15"/>
      <c r="AL16" s="15"/>
      <c r="AM16" s="15"/>
      <c r="AN16" s="15"/>
      <c r="AO16" s="15"/>
    </row>
    <row r="17" spans="1:41" x14ac:dyDescent="0.35">
      <c r="A17">
        <f t="shared" si="6"/>
        <v>9</v>
      </c>
      <c r="C17" s="175">
        <v>749</v>
      </c>
      <c r="D17" s="6">
        <v>2030</v>
      </c>
      <c r="E17" s="200">
        <v>18854.399055503149</v>
      </c>
      <c r="F17" s="201">
        <v>36102.827866373264</v>
      </c>
      <c r="G17" s="201">
        <v>37411.984576392046</v>
      </c>
      <c r="H17" s="201">
        <v>2041.7520178120917</v>
      </c>
      <c r="I17" s="201">
        <v>4128.6548735928409</v>
      </c>
      <c r="J17" s="201">
        <v>4336.9495353533548</v>
      </c>
      <c r="K17" s="162">
        <f t="shared" si="3"/>
        <v>102876.56792502674</v>
      </c>
      <c r="L17" s="168">
        <f t="shared" si="4"/>
        <v>102876567.92502674</v>
      </c>
      <c r="M17" s="50">
        <v>589020.85979309864</v>
      </c>
      <c r="N17" s="171">
        <f t="shared" si="2"/>
        <v>103465588.78481984</v>
      </c>
      <c r="O17" s="58"/>
      <c r="P17" s="133">
        <v>2030</v>
      </c>
      <c r="Q17" s="145">
        <v>-62.445690000000468</v>
      </c>
      <c r="R17" s="134">
        <v>-5.7622299999999598</v>
      </c>
      <c r="S17" s="134">
        <v>7.6208199999998172E-2</v>
      </c>
      <c r="T17" s="197">
        <v>-18.486740000000054</v>
      </c>
      <c r="U17" s="197">
        <f t="shared" si="5"/>
        <v>-86.618451800000486</v>
      </c>
      <c r="V17" s="150">
        <v>-28.00523564398695</v>
      </c>
      <c r="X17" s="136">
        <v>1775.7600000000002</v>
      </c>
      <c r="Y17" s="137">
        <f t="shared" si="1"/>
        <v>1775760.0000000002</v>
      </c>
      <c r="Z17" s="52"/>
      <c r="AA17" s="9"/>
      <c r="AC17" s="9"/>
      <c r="AK17" s="15"/>
      <c r="AL17" s="15"/>
      <c r="AM17" s="15"/>
      <c r="AN17" s="15"/>
      <c r="AO17" s="15"/>
    </row>
    <row r="18" spans="1:41" x14ac:dyDescent="0.35">
      <c r="A18">
        <f t="shared" si="6"/>
        <v>10</v>
      </c>
      <c r="C18" s="175">
        <v>749</v>
      </c>
      <c r="D18" s="6">
        <v>2031</v>
      </c>
      <c r="E18" s="200">
        <v>18416.665050592404</v>
      </c>
      <c r="F18" s="201">
        <v>35270.725197927655</v>
      </c>
      <c r="G18" s="201">
        <v>36629.134937694471</v>
      </c>
      <c r="H18" s="201">
        <v>1979.737465924449</v>
      </c>
      <c r="I18" s="201">
        <v>4005.4057623746071</v>
      </c>
      <c r="J18" s="201">
        <v>4211.2279710646972</v>
      </c>
      <c r="K18" s="162">
        <f t="shared" si="3"/>
        <v>100512.89638557829</v>
      </c>
      <c r="L18" s="168">
        <f t="shared" si="4"/>
        <v>100512896.38557829</v>
      </c>
      <c r="M18" s="50">
        <v>372402.17849023279</v>
      </c>
      <c r="N18" s="171">
        <f t="shared" si="2"/>
        <v>100885298.56406853</v>
      </c>
      <c r="O18" s="58"/>
      <c r="P18" s="133">
        <v>2031</v>
      </c>
      <c r="Q18" s="145">
        <v>-73.264920000000302</v>
      </c>
      <c r="R18" s="134">
        <v>-6.6925699999999892</v>
      </c>
      <c r="S18" s="134">
        <v>3.0768199999998913E-2</v>
      </c>
      <c r="T18" s="197">
        <v>-22.389510000000314</v>
      </c>
      <c r="U18" s="197">
        <f t="shared" si="5"/>
        <v>-102.31623180000061</v>
      </c>
      <c r="V18" s="150">
        <v>-23.709598885655176</v>
      </c>
      <c r="X18" s="136">
        <v>1766.88</v>
      </c>
      <c r="Y18" s="137">
        <f t="shared" si="1"/>
        <v>1766880</v>
      </c>
      <c r="Z18" s="52"/>
      <c r="AA18" s="9"/>
      <c r="AC18" s="9"/>
      <c r="AK18" s="15"/>
      <c r="AL18" s="15"/>
      <c r="AM18" s="15"/>
      <c r="AN18" s="15"/>
      <c r="AO18" s="15"/>
    </row>
    <row r="19" spans="1:41" x14ac:dyDescent="0.35">
      <c r="A19">
        <f t="shared" si="6"/>
        <v>11</v>
      </c>
      <c r="C19" s="175">
        <v>749</v>
      </c>
      <c r="D19" s="6">
        <v>2032</v>
      </c>
      <c r="E19" s="200">
        <v>17960.683247842662</v>
      </c>
      <c r="F19" s="201">
        <v>34481.317931561753</v>
      </c>
      <c r="G19" s="201">
        <v>35851.898089014394</v>
      </c>
      <c r="H19" s="201">
        <v>1917.7522736650428</v>
      </c>
      <c r="I19" s="201">
        <v>3882.2127573369976</v>
      </c>
      <c r="J19" s="201">
        <v>4085.5138776220983</v>
      </c>
      <c r="K19" s="162">
        <f t="shared" si="3"/>
        <v>98179.378177042949</v>
      </c>
      <c r="L19" s="168">
        <f t="shared" si="4"/>
        <v>98179378.177042946</v>
      </c>
      <c r="M19" s="50">
        <v>368856.39879973978</v>
      </c>
      <c r="N19" s="171">
        <f t="shared" si="2"/>
        <v>98548234.575842679</v>
      </c>
      <c r="O19" s="58"/>
      <c r="P19" s="133">
        <v>2032</v>
      </c>
      <c r="Q19" s="145">
        <v>-71.576779999999189</v>
      </c>
      <c r="R19" s="134">
        <v>-6.3761499999999387</v>
      </c>
      <c r="S19" s="134">
        <v>0.11371459999999978</v>
      </c>
      <c r="T19" s="197">
        <v>-24.713799999999765</v>
      </c>
      <c r="U19" s="197">
        <f t="shared" si="5"/>
        <v>-102.5530153999989</v>
      </c>
      <c r="V19" s="150">
        <v>-26.623694728877908</v>
      </c>
      <c r="X19" s="136">
        <v>1762.21</v>
      </c>
      <c r="Y19" s="137">
        <f t="shared" si="1"/>
        <v>1762210</v>
      </c>
      <c r="Z19" s="52"/>
      <c r="AA19" s="9"/>
      <c r="AC19" s="9"/>
      <c r="AK19" s="15"/>
      <c r="AL19" s="15"/>
      <c r="AM19" s="15"/>
      <c r="AN19" s="15"/>
      <c r="AO19" s="15"/>
    </row>
    <row r="20" spans="1:41" x14ac:dyDescent="0.35">
      <c r="A20">
        <f t="shared" si="6"/>
        <v>12</v>
      </c>
      <c r="C20" s="175">
        <v>749</v>
      </c>
      <c r="D20" s="6">
        <v>2033</v>
      </c>
      <c r="E20" s="200">
        <v>17500.891158912003</v>
      </c>
      <c r="F20" s="201">
        <v>33654.407477942281</v>
      </c>
      <c r="G20" s="201">
        <v>35117.912907787897</v>
      </c>
      <c r="H20" s="201">
        <v>1855.7973218227201</v>
      </c>
      <c r="I20" s="201">
        <v>3759.0775416654324</v>
      </c>
      <c r="J20" s="201">
        <v>3959.8570124837374</v>
      </c>
      <c r="K20" s="162">
        <f t="shared" si="3"/>
        <v>95847.943420614087</v>
      </c>
      <c r="L20" s="168">
        <f t="shared" si="4"/>
        <v>95847943.420614094</v>
      </c>
      <c r="M20" s="50">
        <v>427437.34873186529</v>
      </c>
      <c r="N20" s="171">
        <f t="shared" si="2"/>
        <v>96275380.769345954</v>
      </c>
      <c r="O20" s="58"/>
      <c r="P20" s="133">
        <v>2033</v>
      </c>
      <c r="Q20" s="145">
        <v>-73.565150000000131</v>
      </c>
      <c r="R20" s="134">
        <v>-5.7593099999999708</v>
      </c>
      <c r="S20" s="134">
        <v>3.7403599999998427E-2</v>
      </c>
      <c r="T20" s="197">
        <v>-28.009739999999738</v>
      </c>
      <c r="U20" s="197">
        <f t="shared" si="5"/>
        <v>-107.29679639999983</v>
      </c>
      <c r="V20" s="150">
        <v>-22.288623076563837</v>
      </c>
      <c r="X20" s="136">
        <v>1749.24</v>
      </c>
      <c r="Y20" s="137">
        <f t="shared" si="1"/>
        <v>1749240</v>
      </c>
      <c r="Z20" s="52"/>
      <c r="AA20" s="9"/>
      <c r="AC20" s="9"/>
      <c r="AK20" s="15"/>
      <c r="AL20" s="15"/>
      <c r="AM20" s="15"/>
      <c r="AN20" s="15"/>
      <c r="AO20" s="15"/>
    </row>
    <row r="21" spans="1:41" x14ac:dyDescent="0.35">
      <c r="A21">
        <f t="shared" si="6"/>
        <v>13</v>
      </c>
      <c r="C21" s="175">
        <v>749</v>
      </c>
      <c r="D21" s="6">
        <v>2034</v>
      </c>
      <c r="E21" s="200">
        <v>17043.361353363427</v>
      </c>
      <c r="F21" s="201">
        <v>32820.898619188927</v>
      </c>
      <c r="G21" s="201">
        <v>34345.933728944103</v>
      </c>
      <c r="H21" s="201">
        <v>1793.8735176099935</v>
      </c>
      <c r="I21" s="201">
        <v>3636.001849040892</v>
      </c>
      <c r="J21" s="201">
        <v>3834.2590924987403</v>
      </c>
      <c r="K21" s="162">
        <f t="shared" si="3"/>
        <v>93474.328160646095</v>
      </c>
      <c r="L21" s="168">
        <f t="shared" si="4"/>
        <v>93474328.160646096</v>
      </c>
      <c r="M21" s="50">
        <v>382351.52804488788</v>
      </c>
      <c r="N21" s="171">
        <f t="shared" si="2"/>
        <v>93856679.68869099</v>
      </c>
      <c r="O21" s="58"/>
      <c r="P21" s="133">
        <v>2034</v>
      </c>
      <c r="Q21" s="145">
        <v>-79.317350000000033</v>
      </c>
      <c r="R21" s="134">
        <v>-6.8577499999999532</v>
      </c>
      <c r="S21" s="134">
        <v>-3.7368000000000734E-2</v>
      </c>
      <c r="T21" s="197">
        <v>-33.011280000000397</v>
      </c>
      <c r="U21" s="197">
        <f t="shared" si="5"/>
        <v>-119.22374800000038</v>
      </c>
      <c r="V21" s="150">
        <v>-55.055920795372685</v>
      </c>
      <c r="X21" s="136">
        <v>1740.51</v>
      </c>
      <c r="Y21" s="137">
        <f t="shared" si="1"/>
        <v>1740510</v>
      </c>
      <c r="Z21" s="52"/>
      <c r="AA21" s="9"/>
      <c r="AC21" s="9"/>
      <c r="AK21" s="15"/>
      <c r="AL21" s="15"/>
      <c r="AM21" s="15"/>
      <c r="AN21" s="15"/>
      <c r="AO21" s="15"/>
    </row>
    <row r="22" spans="1:41" x14ac:dyDescent="0.35">
      <c r="A22">
        <f t="shared" si="6"/>
        <v>14</v>
      </c>
      <c r="C22" s="175">
        <v>749</v>
      </c>
      <c r="D22" s="6">
        <v>2035</v>
      </c>
      <c r="E22" s="200">
        <v>16672.811563096817</v>
      </c>
      <c r="F22" s="201">
        <v>31991.921599884492</v>
      </c>
      <c r="G22" s="201">
        <v>33567.906765171625</v>
      </c>
      <c r="H22" s="201">
        <v>1731.9817954557509</v>
      </c>
      <c r="I22" s="201">
        <v>3512.9874651547871</v>
      </c>
      <c r="J22" s="201">
        <v>3708.721886021709</v>
      </c>
      <c r="K22" s="162">
        <f t="shared" si="3"/>
        <v>91186.331074785179</v>
      </c>
      <c r="L22" s="168">
        <f t="shared" si="4"/>
        <v>91186331.074785173</v>
      </c>
      <c r="M22" s="50">
        <v>399404.22884103458</v>
      </c>
      <c r="N22" s="171">
        <f t="shared" si="2"/>
        <v>91585735.303626209</v>
      </c>
      <c r="O22" s="58"/>
      <c r="P22" s="133">
        <v>2035</v>
      </c>
      <c r="Q22" s="145">
        <v>-77.598359999999957</v>
      </c>
      <c r="R22" s="134">
        <v>-7.0701299999999492</v>
      </c>
      <c r="S22" s="134">
        <v>-6.0040000000000093E-2</v>
      </c>
      <c r="T22" s="197">
        <v>-35.122939999999971</v>
      </c>
      <c r="U22" s="197">
        <f t="shared" si="5"/>
        <v>-119.85146999999988</v>
      </c>
      <c r="V22" s="150">
        <v>-84.027718777112341</v>
      </c>
      <c r="X22" s="136">
        <v>1731.82</v>
      </c>
      <c r="Y22" s="137">
        <f t="shared" si="1"/>
        <v>1731820</v>
      </c>
      <c r="Z22" s="52"/>
      <c r="AA22" s="9"/>
      <c r="AC22" s="9"/>
      <c r="AK22" s="15"/>
      <c r="AL22" s="15"/>
      <c r="AM22" s="15"/>
      <c r="AN22" s="15"/>
      <c r="AO22" s="15"/>
    </row>
    <row r="23" spans="1:41" x14ac:dyDescent="0.35">
      <c r="A23">
        <f t="shared" si="6"/>
        <v>15</v>
      </c>
      <c r="C23" s="175">
        <v>749</v>
      </c>
      <c r="D23" s="6">
        <v>2036</v>
      </c>
      <c r="E23" s="200">
        <v>16162.234295033111</v>
      </c>
      <c r="F23" s="201">
        <v>31336.91186715502</v>
      </c>
      <c r="G23" s="201">
        <v>32794.442531336936</v>
      </c>
      <c r="H23" s="201">
        <v>1670.1231178217467</v>
      </c>
      <c r="I23" s="201">
        <v>3390.0362292692703</v>
      </c>
      <c r="J23" s="201">
        <v>3583.2472144578819</v>
      </c>
      <c r="K23" s="162">
        <f t="shared" si="3"/>
        <v>88936.995255073954</v>
      </c>
      <c r="L23" s="168">
        <f t="shared" si="4"/>
        <v>88936995.25507395</v>
      </c>
      <c r="M23" s="50">
        <v>438601.61367439892</v>
      </c>
      <c r="N23" s="171">
        <f t="shared" si="2"/>
        <v>89375596.868748352</v>
      </c>
      <c r="O23" s="58"/>
      <c r="P23" s="133">
        <v>2036</v>
      </c>
      <c r="Q23" s="145">
        <v>-78.910520000000815</v>
      </c>
      <c r="R23" s="134">
        <v>-5.1030099999999265</v>
      </c>
      <c r="S23" s="134">
        <v>-6.9260000000000321E-2</v>
      </c>
      <c r="T23" s="197">
        <v>-41.599129999999946</v>
      </c>
      <c r="U23" s="197">
        <f t="shared" si="5"/>
        <v>-125.68192000000069</v>
      </c>
      <c r="V23" s="150">
        <v>-54.927897048879686</v>
      </c>
      <c r="X23" s="136">
        <v>1727.25</v>
      </c>
      <c r="Y23" s="137">
        <f t="shared" si="1"/>
        <v>1727250</v>
      </c>
      <c r="Z23" s="52"/>
      <c r="AA23" s="9"/>
      <c r="AC23" s="9"/>
      <c r="AK23" s="15"/>
      <c r="AL23" s="15"/>
      <c r="AM23" s="15"/>
      <c r="AN23" s="15"/>
      <c r="AO23" s="15"/>
    </row>
    <row r="24" spans="1:41" x14ac:dyDescent="0.35">
      <c r="A24">
        <f>A23+1</f>
        <v>16</v>
      </c>
      <c r="C24" s="175">
        <v>749</v>
      </c>
      <c r="D24" s="6">
        <v>2037</v>
      </c>
      <c r="E24" s="200">
        <v>15710.632294778781</v>
      </c>
      <c r="F24" s="201">
        <v>30401.85441293176</v>
      </c>
      <c r="G24" s="201">
        <v>32194.977151389594</v>
      </c>
      <c r="H24" s="201">
        <v>1615.1163976305884</v>
      </c>
      <c r="I24" s="201">
        <v>3267.1500358243607</v>
      </c>
      <c r="J24" s="201">
        <v>3457.8369538546553</v>
      </c>
      <c r="K24" s="162">
        <f t="shared" si="3"/>
        <v>86647.567246409744</v>
      </c>
      <c r="L24" s="168">
        <f t="shared" si="4"/>
        <v>86647567.246409744</v>
      </c>
      <c r="M24" s="50">
        <v>414150.72093569761</v>
      </c>
      <c r="N24" s="171">
        <f t="shared" si="2"/>
        <v>87061717.967345446</v>
      </c>
      <c r="O24" s="58"/>
      <c r="P24" s="133">
        <v>2037</v>
      </c>
      <c r="Q24" s="145">
        <v>-87.947209999999359</v>
      </c>
      <c r="R24" s="134">
        <v>-2.3746299999999678</v>
      </c>
      <c r="S24" s="134">
        <v>-7.0049999999999946E-2</v>
      </c>
      <c r="T24" s="197">
        <v>-50.325939999999491</v>
      </c>
      <c r="U24" s="197">
        <f t="shared" si="5"/>
        <v>-140.7178299999988</v>
      </c>
      <c r="V24" s="150">
        <v>-34.355822032814217</v>
      </c>
      <c r="X24" s="136">
        <v>1714.5500000000002</v>
      </c>
      <c r="Y24" s="137">
        <f t="shared" si="1"/>
        <v>1714550.0000000002</v>
      </c>
      <c r="Z24" s="52"/>
      <c r="AA24" s="9"/>
      <c r="AC24" s="9"/>
      <c r="AK24" s="15"/>
      <c r="AL24" s="15"/>
      <c r="AM24" s="15"/>
      <c r="AN24" s="15"/>
      <c r="AO24" s="15"/>
    </row>
    <row r="25" spans="1:41" x14ac:dyDescent="0.35">
      <c r="A25">
        <f t="shared" si="6"/>
        <v>17</v>
      </c>
      <c r="C25" s="175">
        <v>749</v>
      </c>
      <c r="D25" s="6">
        <v>2038</v>
      </c>
      <c r="E25" s="200">
        <v>16499.323971815989</v>
      </c>
      <c r="F25" s="201">
        <v>32088.760974629633</v>
      </c>
      <c r="G25" s="201">
        <v>33919.998687203217</v>
      </c>
      <c r="H25" s="201">
        <v>1573.8036891435511</v>
      </c>
      <c r="I25" s="201">
        <v>3158.2393961307562</v>
      </c>
      <c r="J25" s="201">
        <v>3332.4930365408472</v>
      </c>
      <c r="K25" s="162">
        <f t="shared" si="3"/>
        <v>90572.619755463995</v>
      </c>
      <c r="L25" s="168">
        <f t="shared" si="4"/>
        <v>90572619.755463988</v>
      </c>
      <c r="M25" s="50">
        <v>411857.3975185685</v>
      </c>
      <c r="N25" s="171">
        <f t="shared" si="2"/>
        <v>90984477.152982563</v>
      </c>
      <c r="O25" s="58"/>
      <c r="P25" s="133">
        <v>2038</v>
      </c>
      <c r="Q25" s="145">
        <v>-89.928879999999936</v>
      </c>
      <c r="R25" s="134">
        <v>-6.8441000000000258</v>
      </c>
      <c r="S25" s="134">
        <v>-6.6570000000000018E-2</v>
      </c>
      <c r="T25" s="197">
        <v>-56.908739999999625</v>
      </c>
      <c r="U25" s="197">
        <f t="shared" si="5"/>
        <v>-153.7482899999996</v>
      </c>
      <c r="V25" s="150">
        <v>-63.093146422702262</v>
      </c>
      <c r="X25" s="136">
        <v>1705.97</v>
      </c>
      <c r="Y25" s="137">
        <f t="shared" si="1"/>
        <v>1705970</v>
      </c>
      <c r="Z25" s="52"/>
      <c r="AA25" s="9"/>
      <c r="AC25" s="9"/>
      <c r="AK25" s="15"/>
      <c r="AL25" s="15"/>
      <c r="AM25" s="15"/>
      <c r="AN25" s="15"/>
      <c r="AO25" s="15"/>
    </row>
    <row r="26" spans="1:41" x14ac:dyDescent="0.35">
      <c r="A26">
        <f t="shared" si="6"/>
        <v>18</v>
      </c>
      <c r="C26" s="175">
        <v>749</v>
      </c>
      <c r="D26" s="6">
        <v>2039</v>
      </c>
      <c r="E26" s="200">
        <v>15906.214957468484</v>
      </c>
      <c r="F26" s="201">
        <v>31069.370077991138</v>
      </c>
      <c r="G26" s="201">
        <v>32958.132168732482</v>
      </c>
      <c r="H26" s="201">
        <v>1539.34501088298</v>
      </c>
      <c r="I26" s="201">
        <v>3077.262027698494</v>
      </c>
      <c r="J26" s="201">
        <v>3221.40418405337</v>
      </c>
      <c r="K26" s="162">
        <f t="shared" si="3"/>
        <v>87771.728426826958</v>
      </c>
      <c r="L26" s="168">
        <f t="shared" si="4"/>
        <v>87771728.426826954</v>
      </c>
      <c r="M26" s="50">
        <v>471728.37741225888</v>
      </c>
      <c r="N26" s="171">
        <f t="shared" si="2"/>
        <v>88243456.804239213</v>
      </c>
      <c r="O26" s="58"/>
      <c r="P26" s="133">
        <v>2039</v>
      </c>
      <c r="Q26" s="145">
        <v>-95.076900000000478</v>
      </c>
      <c r="R26" s="134">
        <v>-6.76854000000003</v>
      </c>
      <c r="S26" s="134">
        <v>-6.1080000000000023E-2</v>
      </c>
      <c r="T26" s="197">
        <v>-66.879050000000234</v>
      </c>
      <c r="U26" s="197">
        <f t="shared" si="5"/>
        <v>-168.78557000000075</v>
      </c>
      <c r="V26" s="150">
        <v>-82.985907173346959</v>
      </c>
      <c r="X26" s="136">
        <v>1697.44</v>
      </c>
      <c r="Y26" s="137">
        <f t="shared" si="1"/>
        <v>1697440</v>
      </c>
      <c r="Z26" s="52"/>
      <c r="AA26" s="9"/>
      <c r="AC26" s="9"/>
      <c r="AK26" s="15"/>
      <c r="AL26" s="15"/>
      <c r="AM26" s="15"/>
      <c r="AN26" s="15"/>
      <c r="AO26" s="15"/>
    </row>
    <row r="27" spans="1:41" x14ac:dyDescent="0.35">
      <c r="A27">
        <f t="shared" si="6"/>
        <v>19</v>
      </c>
      <c r="C27" s="175">
        <v>749</v>
      </c>
      <c r="D27" s="6">
        <v>2040</v>
      </c>
      <c r="E27" s="200">
        <v>15314.82248495738</v>
      </c>
      <c r="F27" s="201">
        <v>29990.323130508059</v>
      </c>
      <c r="G27" s="201">
        <v>32002.815655587081</v>
      </c>
      <c r="H27" s="201">
        <v>1504.9235245210596</v>
      </c>
      <c r="I27" s="201">
        <v>3010.2642929347085</v>
      </c>
      <c r="J27" s="201">
        <v>3138.807268252463</v>
      </c>
      <c r="K27" s="162">
        <f t="shared" si="3"/>
        <v>84961.95635676074</v>
      </c>
      <c r="L27" s="168">
        <f t="shared" si="4"/>
        <v>84961956.35676074</v>
      </c>
      <c r="M27" s="50">
        <v>427971.28758569335</v>
      </c>
      <c r="N27" s="171">
        <f t="shared" si="2"/>
        <v>85389927.644346431</v>
      </c>
      <c r="O27" s="58"/>
      <c r="P27" s="133">
        <v>2040</v>
      </c>
      <c r="Q27" s="145">
        <v>-99.306570000001557</v>
      </c>
      <c r="R27" s="134">
        <v>-6.5189099999999485</v>
      </c>
      <c r="S27" s="134">
        <v>-6.1799999999999855E-2</v>
      </c>
      <c r="T27" s="197">
        <v>-73.75402000000031</v>
      </c>
      <c r="U27" s="197">
        <f t="shared" si="5"/>
        <v>-179.64130000000182</v>
      </c>
      <c r="V27" s="150">
        <v>-81.896650730773786</v>
      </c>
      <c r="X27" s="136">
        <v>1692.9699999999998</v>
      </c>
      <c r="Y27" s="137">
        <f t="shared" si="1"/>
        <v>1692969.9999999998</v>
      </c>
      <c r="Z27" s="52"/>
      <c r="AA27" s="9"/>
      <c r="AC27" s="9"/>
      <c r="AK27" s="15"/>
      <c r="AL27" s="15"/>
      <c r="AM27" s="15"/>
      <c r="AN27" s="15"/>
      <c r="AO27" s="15"/>
    </row>
    <row r="28" spans="1:41" x14ac:dyDescent="0.35">
      <c r="A28">
        <f t="shared" si="6"/>
        <v>20</v>
      </c>
      <c r="C28" s="175">
        <v>749</v>
      </c>
      <c r="D28" s="6">
        <v>2041</v>
      </c>
      <c r="E28" s="200">
        <v>14785.808671832177</v>
      </c>
      <c r="F28" s="201">
        <v>28914.716355585544</v>
      </c>
      <c r="G28" s="201">
        <v>30990.51439027895</v>
      </c>
      <c r="H28" s="201">
        <v>1470.5403458147498</v>
      </c>
      <c r="I28" s="201">
        <v>2943.3397640108496</v>
      </c>
      <c r="J28" s="201">
        <v>3070.4695787934024</v>
      </c>
      <c r="K28" s="162">
        <f t="shared" si="3"/>
        <v>82175.389106315677</v>
      </c>
      <c r="L28" s="168">
        <f t="shared" si="4"/>
        <v>82175389.106315672</v>
      </c>
      <c r="M28" s="50">
        <v>446392.58116806421</v>
      </c>
      <c r="N28" s="171">
        <f t="shared" si="2"/>
        <v>82621781.687483743</v>
      </c>
      <c r="O28" s="58"/>
      <c r="P28" s="133">
        <v>2041</v>
      </c>
      <c r="Q28" s="145">
        <v>-101.98579999999993</v>
      </c>
      <c r="R28" s="134">
        <v>-6.6963499999999954</v>
      </c>
      <c r="S28" s="134">
        <v>-6.2800000000000411E-2</v>
      </c>
      <c r="T28" s="197">
        <v>-80.646179999999731</v>
      </c>
      <c r="U28" s="197">
        <f t="shared" si="5"/>
        <v>-189.39112999999963</v>
      </c>
      <c r="V28" s="150">
        <v>-80.824799436735702</v>
      </c>
      <c r="X28" s="136">
        <v>1680.5</v>
      </c>
      <c r="Y28" s="137">
        <f t="shared" si="1"/>
        <v>1680500</v>
      </c>
      <c r="Z28" s="52"/>
      <c r="AA28" s="9"/>
      <c r="AC28" s="9"/>
      <c r="AK28" s="15"/>
      <c r="AL28" s="15"/>
      <c r="AM28" s="15"/>
      <c r="AN28" s="15"/>
      <c r="AO28" s="15"/>
    </row>
    <row r="29" spans="1:41" x14ac:dyDescent="0.35">
      <c r="A29">
        <f t="shared" si="6"/>
        <v>21</v>
      </c>
      <c r="C29" s="175">
        <v>749</v>
      </c>
      <c r="D29" s="6">
        <v>2042</v>
      </c>
      <c r="E29" s="200">
        <v>14372.97051196609</v>
      </c>
      <c r="F29" s="201">
        <v>27958.799521926208</v>
      </c>
      <c r="G29" s="201">
        <v>29981.688485210889</v>
      </c>
      <c r="H29" s="201">
        <v>1436.196623993718</v>
      </c>
      <c r="I29" s="201">
        <v>2876.4906371021157</v>
      </c>
      <c r="J29" s="201">
        <v>3002.2065592910667</v>
      </c>
      <c r="K29" s="162">
        <f t="shared" si="3"/>
        <v>79628.352339490099</v>
      </c>
      <c r="L29" s="168">
        <f t="shared" si="4"/>
        <v>79628352.339490101</v>
      </c>
      <c r="M29" s="50">
        <v>486999.61657123943</v>
      </c>
      <c r="N29" s="171">
        <f t="shared" si="2"/>
        <v>80115351.956061333</v>
      </c>
      <c r="O29" s="58"/>
      <c r="P29" s="133">
        <v>2042</v>
      </c>
      <c r="Q29" s="145">
        <v>-100.44582999999966</v>
      </c>
      <c r="R29" s="134">
        <v>-7.1392599999999788</v>
      </c>
      <c r="S29" s="134">
        <v>-6.9830000000000059E-2</v>
      </c>
      <c r="T29" s="197">
        <v>-83.592330000000402</v>
      </c>
      <c r="U29" s="197">
        <f t="shared" si="5"/>
        <v>-191.24725000000004</v>
      </c>
      <c r="V29" s="150">
        <v>-79.808117682414832</v>
      </c>
      <c r="X29" s="136">
        <v>1672.09</v>
      </c>
      <c r="Y29" s="137">
        <f t="shared" si="1"/>
        <v>1672090</v>
      </c>
      <c r="Z29" s="52"/>
      <c r="AA29" s="9"/>
      <c r="AC29" s="9"/>
      <c r="AK29" s="15"/>
      <c r="AL29" s="15"/>
      <c r="AM29" s="15"/>
      <c r="AN29" s="15"/>
      <c r="AO29" s="15"/>
    </row>
    <row r="30" spans="1:41" x14ac:dyDescent="0.35">
      <c r="A30">
        <f t="shared" si="6"/>
        <v>22</v>
      </c>
      <c r="C30" s="175">
        <v>749</v>
      </c>
      <c r="D30" s="6">
        <v>2043</v>
      </c>
      <c r="E30" s="200">
        <v>13825.401568183064</v>
      </c>
      <c r="F30" s="201">
        <v>27214.993288651891</v>
      </c>
      <c r="G30" s="201">
        <v>29089.986524918633</v>
      </c>
      <c r="H30" s="201">
        <v>1401.8935427645235</v>
      </c>
      <c r="I30" s="201">
        <v>2809.7191742689583</v>
      </c>
      <c r="J30" s="201">
        <v>2934.0204498441576</v>
      </c>
      <c r="K30" s="162">
        <f t="shared" si="3"/>
        <v>77276.014548631239</v>
      </c>
      <c r="L30" s="168">
        <f t="shared" si="4"/>
        <v>77276014.548631236</v>
      </c>
      <c r="M30" s="50">
        <v>464000.66391944332</v>
      </c>
      <c r="N30" s="171">
        <f t="shared" si="2"/>
        <v>77740015.212550685</v>
      </c>
      <c r="O30" s="58"/>
      <c r="P30" s="133">
        <v>2043</v>
      </c>
      <c r="Q30" s="145">
        <v>-105.54767999999922</v>
      </c>
      <c r="R30" s="134">
        <v>-7.8829800000000887</v>
      </c>
      <c r="S30" s="134">
        <v>-6.2130000000000019E-2</v>
      </c>
      <c r="T30" s="197">
        <v>-91.788419999999405</v>
      </c>
      <c r="U30" s="197">
        <f t="shared" si="5"/>
        <v>-205.28120999999871</v>
      </c>
      <c r="V30" s="150">
        <v>-78.934762172797264</v>
      </c>
      <c r="X30" s="136">
        <v>1663.73</v>
      </c>
      <c r="Y30" s="137">
        <f t="shared" si="1"/>
        <v>1663730</v>
      </c>
      <c r="Z30" s="52"/>
      <c r="AA30" s="9"/>
      <c r="AC30" s="9"/>
      <c r="AK30" s="15"/>
      <c r="AL30" s="15"/>
      <c r="AM30" s="15"/>
      <c r="AN30" s="15"/>
      <c r="AO30" s="15"/>
    </row>
    <row r="31" spans="1:41" x14ac:dyDescent="0.35">
      <c r="A31">
        <f t="shared" si="6"/>
        <v>23</v>
      </c>
      <c r="C31" s="175">
        <v>749</v>
      </c>
      <c r="D31" s="6">
        <v>2044</v>
      </c>
      <c r="E31" s="200">
        <v>13421.703841240305</v>
      </c>
      <c r="F31" s="201">
        <v>26222.129980616286</v>
      </c>
      <c r="G31" s="201">
        <v>28400.276153641804</v>
      </c>
      <c r="H31" s="201">
        <v>1367.6323213449205</v>
      </c>
      <c r="I31" s="201">
        <v>2743.0277054336475</v>
      </c>
      <c r="J31" s="201">
        <v>2865.9135577543384</v>
      </c>
      <c r="K31" s="162">
        <f t="shared" si="3"/>
        <v>75020.683560031306</v>
      </c>
      <c r="L31" s="168">
        <f t="shared" si="4"/>
        <v>75020683.56003131</v>
      </c>
      <c r="M31" s="50">
        <v>463202.83879182668</v>
      </c>
      <c r="N31" s="171">
        <f t="shared" si="2"/>
        <v>75483886.398823142</v>
      </c>
      <c r="O31" s="58"/>
      <c r="P31" s="133">
        <v>2044</v>
      </c>
      <c r="Q31" s="145">
        <v>-104.34079999999994</v>
      </c>
      <c r="R31" s="134">
        <v>-5.720610000000022</v>
      </c>
      <c r="S31" s="134">
        <v>-6.7199999999999926E-2</v>
      </c>
      <c r="T31" s="197">
        <v>-94.269229999999425</v>
      </c>
      <c r="U31" s="197">
        <f t="shared" si="5"/>
        <v>-204.39783999999941</v>
      </c>
      <c r="V31" s="150">
        <v>-78.162806441860994</v>
      </c>
      <c r="X31" s="136">
        <v>1659.3600000000001</v>
      </c>
      <c r="Y31" s="137">
        <f t="shared" si="1"/>
        <v>1659360.0000000002</v>
      </c>
      <c r="Z31" s="52"/>
      <c r="AA31" s="9"/>
      <c r="AC31" s="9"/>
      <c r="AK31" s="15"/>
      <c r="AL31" s="15"/>
      <c r="AM31" s="15"/>
      <c r="AN31" s="15"/>
      <c r="AO31" s="15"/>
    </row>
    <row r="32" spans="1:41" x14ac:dyDescent="0.35">
      <c r="A32">
        <f t="shared" si="6"/>
        <v>24</v>
      </c>
      <c r="C32" s="175">
        <v>749</v>
      </c>
      <c r="D32" s="6">
        <v>2045</v>
      </c>
      <c r="E32" s="200">
        <v>12914.136111389307</v>
      </c>
      <c r="F32" s="201">
        <v>25496.768260173434</v>
      </c>
      <c r="G32" s="201">
        <v>27472.45812549501</v>
      </c>
      <c r="H32" s="201">
        <v>1333.4142155291972</v>
      </c>
      <c r="I32" s="201">
        <v>2676.4186304161162</v>
      </c>
      <c r="J32" s="201">
        <v>2797.8882595423211</v>
      </c>
      <c r="K32" s="162">
        <f t="shared" si="3"/>
        <v>72691.083602545375</v>
      </c>
      <c r="L32" s="168">
        <f t="shared" si="4"/>
        <v>72691083.602545381</v>
      </c>
      <c r="M32" s="50">
        <v>524614.1819237147</v>
      </c>
      <c r="N32" s="171">
        <f t="shared" si="2"/>
        <v>73215697.784469098</v>
      </c>
      <c r="O32" s="58"/>
      <c r="P32" s="133">
        <v>2045</v>
      </c>
      <c r="Q32" s="145">
        <v>-111.41819000000123</v>
      </c>
      <c r="R32" s="134">
        <v>-7.9852899999998499</v>
      </c>
      <c r="S32" s="134">
        <v>-7.0149999999999935E-2</v>
      </c>
      <c r="T32" s="197">
        <v>-101.43215000000055</v>
      </c>
      <c r="U32" s="197">
        <f t="shared" si="5"/>
        <v>-220.90578000000164</v>
      </c>
      <c r="V32" s="150">
        <v>-77.401302553310416</v>
      </c>
      <c r="X32" s="136">
        <v>1647.16</v>
      </c>
      <c r="Y32" s="137">
        <f t="shared" si="1"/>
        <v>1647160</v>
      </c>
      <c r="Z32" s="52"/>
      <c r="AA32" s="9"/>
      <c r="AC32" s="9"/>
      <c r="AK32" s="15"/>
      <c r="AL32" s="15"/>
      <c r="AM32" s="15"/>
      <c r="AN32" s="15"/>
      <c r="AO32" s="15"/>
    </row>
    <row r="33" spans="1:41" ht="12.75" customHeight="1" x14ac:dyDescent="0.35">
      <c r="A33">
        <f t="shared" si="6"/>
        <v>25</v>
      </c>
      <c r="C33" s="175">
        <v>749</v>
      </c>
      <c r="D33" s="6">
        <v>2046</v>
      </c>
      <c r="E33" s="200">
        <v>12539.215767693937</v>
      </c>
      <c r="F33" s="201">
        <v>24578.896533084866</v>
      </c>
      <c r="G33" s="201">
        <v>26802.024310793906</v>
      </c>
      <c r="H33" s="201">
        <v>1299.2405187854704</v>
      </c>
      <c r="I33" s="201">
        <v>2609.8944210309</v>
      </c>
      <c r="J33" s="201">
        <v>2729.9470030244397</v>
      </c>
      <c r="K33" s="162">
        <f t="shared" si="3"/>
        <v>70559.218554413528</v>
      </c>
      <c r="L33" s="168">
        <f t="shared" si="4"/>
        <v>70559218.554413527</v>
      </c>
      <c r="M33" s="50">
        <v>445727.11472582625</v>
      </c>
      <c r="N33" s="171">
        <f t="shared" si="2"/>
        <v>71004945.669139355</v>
      </c>
      <c r="O33" s="58"/>
      <c r="P33" s="133">
        <v>2046</v>
      </c>
      <c r="Q33" s="145">
        <v>-112.6859199999999</v>
      </c>
      <c r="R33" s="134">
        <v>-8.1804900000000771</v>
      </c>
      <c r="S33" s="134">
        <v>-6.9579999999999975E-2</v>
      </c>
      <c r="T33" s="197">
        <v>-106.41600999999946</v>
      </c>
      <c r="U33" s="197">
        <f t="shared" si="5"/>
        <v>-227.35199999999944</v>
      </c>
      <c r="V33" s="150">
        <v>-42.637412041511425</v>
      </c>
      <c r="X33" s="136">
        <v>1638.92</v>
      </c>
      <c r="Y33" s="137">
        <f t="shared" si="1"/>
        <v>1638920</v>
      </c>
      <c r="Z33" s="52"/>
      <c r="AA33" s="9"/>
      <c r="AC33" s="9"/>
      <c r="AK33" s="15"/>
      <c r="AL33" s="15"/>
      <c r="AM33" s="15"/>
      <c r="AN33" s="15"/>
      <c r="AO33" s="15"/>
    </row>
    <row r="34" spans="1:41" x14ac:dyDescent="0.35">
      <c r="A34">
        <f t="shared" si="6"/>
        <v>26</v>
      </c>
      <c r="C34" s="175">
        <v>749</v>
      </c>
      <c r="D34" s="6">
        <v>2047</v>
      </c>
      <c r="E34" s="200">
        <v>12067.92865617516</v>
      </c>
      <c r="F34" s="201">
        <v>23911.103001728567</v>
      </c>
      <c r="G34" s="201">
        <v>25946.925600686365</v>
      </c>
      <c r="H34" s="201">
        <v>1265.112563385899</v>
      </c>
      <c r="I34" s="201">
        <v>2543.4576232469667</v>
      </c>
      <c r="J34" s="201">
        <v>2662.0923094515192</v>
      </c>
      <c r="K34" s="162">
        <f t="shared" si="3"/>
        <v>68396.619754674466</v>
      </c>
      <c r="L34" s="168">
        <f t="shared" si="4"/>
        <v>68396619.754674464</v>
      </c>
      <c r="M34" s="50">
        <v>480782.57966760098</v>
      </c>
      <c r="N34" s="171">
        <f t="shared" si="2"/>
        <v>68877402.334342062</v>
      </c>
      <c r="O34" s="58"/>
      <c r="P34" s="133">
        <v>2047</v>
      </c>
      <c r="Q34" s="145">
        <v>-111.18496999999888</v>
      </c>
      <c r="R34" s="134">
        <v>-4.3173499999999194</v>
      </c>
      <c r="S34" s="134">
        <v>-6.7270000000000385E-2</v>
      </c>
      <c r="T34" s="197">
        <v>-109.4665500000001</v>
      </c>
      <c r="U34" s="197">
        <f t="shared" si="5"/>
        <v>-225.03613999999891</v>
      </c>
      <c r="V34" s="150">
        <v>-18.166715845266026</v>
      </c>
      <c r="X34" s="136">
        <v>1630.73</v>
      </c>
      <c r="Y34" s="137">
        <f t="shared" si="1"/>
        <v>1630730</v>
      </c>
      <c r="Z34" s="52"/>
      <c r="AA34" s="9"/>
      <c r="AC34" s="9"/>
      <c r="AK34" s="15"/>
      <c r="AL34" s="15"/>
      <c r="AM34" s="15"/>
      <c r="AN34" s="15"/>
      <c r="AO34" s="15"/>
    </row>
    <row r="35" spans="1:41" x14ac:dyDescent="0.35">
      <c r="A35">
        <f t="shared" si="6"/>
        <v>27</v>
      </c>
      <c r="C35" s="175">
        <v>749</v>
      </c>
      <c r="D35" s="6">
        <v>2048</v>
      </c>
      <c r="E35" s="200">
        <v>11634.436919655946</v>
      </c>
      <c r="F35" s="201">
        <v>23060.731331245981</v>
      </c>
      <c r="G35" s="201">
        <v>25334.13931474906</v>
      </c>
      <c r="H35" s="201">
        <v>1231.0317215708083</v>
      </c>
      <c r="I35" s="201">
        <v>2477.1108594123557</v>
      </c>
      <c r="J35" s="201">
        <v>2594.3267757119074</v>
      </c>
      <c r="K35" s="162">
        <f t="shared" si="3"/>
        <v>66331.776922346064</v>
      </c>
      <c r="L35" s="168">
        <f t="shared" si="4"/>
        <v>66331776.922346063</v>
      </c>
      <c r="M35" s="50">
        <v>466139.70855762908</v>
      </c>
      <c r="N35" s="171">
        <f t="shared" si="2"/>
        <v>66797916.630903691</v>
      </c>
      <c r="O35" s="58"/>
      <c r="P35" s="133">
        <v>2048</v>
      </c>
      <c r="Q35" s="145">
        <v>-122.39643000000069</v>
      </c>
      <c r="R35" s="134">
        <v>-7.7922400000001062</v>
      </c>
      <c r="S35" s="134">
        <v>-6.4089999999999758E-2</v>
      </c>
      <c r="T35" s="197">
        <v>-123.43344999999999</v>
      </c>
      <c r="U35" s="197">
        <f t="shared" si="5"/>
        <v>-253.68621000000078</v>
      </c>
      <c r="V35" s="150">
        <v>-18.19994381522497</v>
      </c>
      <c r="X35" s="136">
        <v>1625.97</v>
      </c>
      <c r="Y35" s="137">
        <f t="shared" si="1"/>
        <v>1625970</v>
      </c>
      <c r="Z35" s="52"/>
      <c r="AA35" s="9"/>
      <c r="AC35" s="9"/>
      <c r="AK35" s="15"/>
      <c r="AL35" s="15"/>
      <c r="AM35" s="15"/>
      <c r="AN35" s="15"/>
      <c r="AO35" s="15"/>
    </row>
    <row r="36" spans="1:41" x14ac:dyDescent="0.35">
      <c r="A36">
        <f t="shared" si="6"/>
        <v>28</v>
      </c>
      <c r="C36" s="175">
        <v>749</v>
      </c>
      <c r="D36" s="6">
        <v>2049</v>
      </c>
      <c r="E36" s="200">
        <v>11237.867068932363</v>
      </c>
      <c r="F36" s="201">
        <v>22280.882456898162</v>
      </c>
      <c r="G36" s="201">
        <v>24544.019794197535</v>
      </c>
      <c r="H36" s="201">
        <v>1196.9994067477326</v>
      </c>
      <c r="I36" s="201">
        <v>2410.856830545546</v>
      </c>
      <c r="J36" s="201">
        <v>2526.6530766006049</v>
      </c>
      <c r="K36" s="162">
        <f t="shared" si="3"/>
        <v>64197.278633921946</v>
      </c>
      <c r="L36" s="168">
        <f t="shared" si="4"/>
        <v>64197278.633921944</v>
      </c>
      <c r="M36" s="50">
        <v>497807.55131435796</v>
      </c>
      <c r="N36" s="171">
        <f t="shared" si="2"/>
        <v>64695086.185236305</v>
      </c>
      <c r="O36" s="58"/>
      <c r="P36" s="133">
        <v>2049</v>
      </c>
      <c r="Q36" s="145">
        <v>-115.34489000000121</v>
      </c>
      <c r="R36" s="134">
        <v>-7.4022500000000946</v>
      </c>
      <c r="S36" s="134">
        <v>-6.9390000000000285E-2</v>
      </c>
      <c r="T36" s="197">
        <v>-120.81064999999853</v>
      </c>
      <c r="U36" s="197">
        <f t="shared" si="5"/>
        <v>-243.62717999999984</v>
      </c>
      <c r="V36" s="150">
        <v>-18.215899016097637</v>
      </c>
      <c r="X36" s="136">
        <v>1614.4299999999998</v>
      </c>
      <c r="Y36" s="137">
        <f t="shared" si="1"/>
        <v>1614429.9999999998</v>
      </c>
      <c r="Z36" s="52"/>
      <c r="AA36" s="9"/>
      <c r="AC36" s="9"/>
      <c r="AK36" s="15"/>
      <c r="AL36" s="15"/>
      <c r="AM36" s="15"/>
      <c r="AN36" s="15"/>
      <c r="AO36" s="15"/>
    </row>
    <row r="37" spans="1:41" x14ac:dyDescent="0.35">
      <c r="A37">
        <f t="shared" si="6"/>
        <v>29</v>
      </c>
      <c r="C37" s="175">
        <v>749</v>
      </c>
      <c r="D37" s="6">
        <v>2050</v>
      </c>
      <c r="E37" s="200">
        <v>10843.00639758404</v>
      </c>
      <c r="F37" s="201">
        <v>21569.809283465358</v>
      </c>
      <c r="G37" s="201">
        <v>23821.863005670395</v>
      </c>
      <c r="H37" s="201">
        <v>1163.0170747264326</v>
      </c>
      <c r="I37" s="201">
        <v>2344.6983186955722</v>
      </c>
      <c r="J37" s="201">
        <v>2459.0739671564593</v>
      </c>
      <c r="K37" s="162">
        <f t="shared" si="3"/>
        <v>62201.468047298258</v>
      </c>
      <c r="L37" s="168">
        <f t="shared" si="4"/>
        <v>62201468.04729826</v>
      </c>
      <c r="M37" s="50">
        <v>487795.42935378873</v>
      </c>
      <c r="N37" s="171">
        <f t="shared" si="2"/>
        <v>62689263.476652049</v>
      </c>
      <c r="O37" s="58"/>
      <c r="P37" s="133">
        <v>2050</v>
      </c>
      <c r="Q37" s="145">
        <v>-118.62908000000107</v>
      </c>
      <c r="R37" s="134">
        <v>-7.495230000000106</v>
      </c>
      <c r="S37" s="134">
        <v>-6.65300000000002E-2</v>
      </c>
      <c r="T37" s="197">
        <v>-128.27224999999999</v>
      </c>
      <c r="U37" s="197">
        <f t="shared" si="5"/>
        <v>-254.46309000000116</v>
      </c>
      <c r="V37" s="150">
        <v>-18.263280132443015</v>
      </c>
      <c r="X37" s="136">
        <v>1606.38</v>
      </c>
      <c r="Y37" s="137">
        <f t="shared" si="1"/>
        <v>1606380</v>
      </c>
      <c r="Z37" s="52"/>
      <c r="AA37" s="9"/>
      <c r="AC37" s="9"/>
      <c r="AK37" s="15"/>
      <c r="AL37" s="15"/>
      <c r="AM37" s="15"/>
      <c r="AN37" s="15"/>
      <c r="AO37" s="15"/>
    </row>
    <row r="38" spans="1:41" x14ac:dyDescent="0.35">
      <c r="A38">
        <f t="shared" si="6"/>
        <v>30</v>
      </c>
      <c r="C38" s="175">
        <v>749</v>
      </c>
      <c r="D38" s="6">
        <v>2051</v>
      </c>
      <c r="E38" s="200">
        <v>14056.643638094789</v>
      </c>
      <c r="F38" s="201">
        <v>20862.160685835603</v>
      </c>
      <c r="G38" s="201">
        <v>23165.922780282919</v>
      </c>
      <c r="H38" s="201">
        <v>1129.0862249909615</v>
      </c>
      <c r="I38" s="201">
        <v>2278.6381893729395</v>
      </c>
      <c r="J38" s="201">
        <v>2391.592285069486</v>
      </c>
      <c r="K38" s="162">
        <f t="shared" si="3"/>
        <v>63884.043803646702</v>
      </c>
      <c r="L38" s="168">
        <f t="shared" si="4"/>
        <v>63884043.803646699</v>
      </c>
      <c r="M38" s="50">
        <v>524112.94373440236</v>
      </c>
      <c r="N38" s="171">
        <f t="shared" si="2"/>
        <v>64408156.747381099</v>
      </c>
      <c r="O38" s="58"/>
      <c r="P38" s="133">
        <v>2051</v>
      </c>
      <c r="Q38" s="145">
        <v>-128.11868000000004</v>
      </c>
      <c r="R38" s="134">
        <v>5.9693399999999883</v>
      </c>
      <c r="S38" s="134">
        <v>-6.7769999999999886E-2</v>
      </c>
      <c r="T38" s="197">
        <v>-143.87662000000046</v>
      </c>
      <c r="U38" s="197">
        <f t="shared" si="5"/>
        <v>-266.09373000000051</v>
      </c>
      <c r="V38" s="150">
        <v>-18.284073020743563</v>
      </c>
      <c r="X38" s="136">
        <v>1598.3600000000001</v>
      </c>
      <c r="Y38" s="137">
        <f t="shared" si="1"/>
        <v>1598360.0000000002</v>
      </c>
      <c r="Z38" s="52"/>
      <c r="AA38" s="9"/>
      <c r="AC38" s="9"/>
    </row>
    <row r="39" spans="1:41" x14ac:dyDescent="0.35">
      <c r="A39">
        <f t="shared" si="6"/>
        <v>31</v>
      </c>
      <c r="C39" s="175">
        <v>599.20000000000005</v>
      </c>
      <c r="D39" s="6">
        <v>2052</v>
      </c>
      <c r="E39" s="200">
        <v>0</v>
      </c>
      <c r="F39" s="201">
        <v>27341.017305597405</v>
      </c>
      <c r="G39" s="201">
        <v>22513.450898488343</v>
      </c>
      <c r="H39" s="201">
        <v>0</v>
      </c>
      <c r="I39" s="201">
        <v>2212.6793940534671</v>
      </c>
      <c r="J39" s="201">
        <v>2324.2109531604005</v>
      </c>
      <c r="K39" s="162">
        <f t="shared" si="3"/>
        <v>54391.358551299614</v>
      </c>
      <c r="L39" s="168">
        <f t="shared" si="4"/>
        <v>54391358.551299617</v>
      </c>
      <c r="M39" s="50">
        <v>493160.99354643445</v>
      </c>
      <c r="N39" s="171">
        <f t="shared" si="2"/>
        <v>54884519.54484605</v>
      </c>
      <c r="O39" s="58"/>
      <c r="P39" s="133">
        <v>2052</v>
      </c>
      <c r="Q39" s="145">
        <v>-108.30690999999933</v>
      </c>
      <c r="R39" s="134">
        <v>-6.1734299999998257</v>
      </c>
      <c r="S39" s="134">
        <v>-5.3170000000000162E-2</v>
      </c>
      <c r="T39" s="197">
        <v>-123.26956000000064</v>
      </c>
      <c r="U39" s="197">
        <f t="shared" si="5"/>
        <v>-237.80306999999979</v>
      </c>
      <c r="V39" s="150">
        <v>-18.182401787908702</v>
      </c>
      <c r="X39" s="136">
        <v>1276.79</v>
      </c>
      <c r="Y39" s="137">
        <f t="shared" si="1"/>
        <v>1276790</v>
      </c>
      <c r="Z39" s="52"/>
      <c r="AA39" s="9"/>
    </row>
    <row r="40" spans="1:41" ht="15" thickBot="1" x14ac:dyDescent="0.4">
      <c r="A40">
        <f t="shared" si="6"/>
        <v>32</v>
      </c>
      <c r="C40" s="175">
        <v>299.60000000000002</v>
      </c>
      <c r="D40" s="6">
        <v>2053</v>
      </c>
      <c r="E40" s="200">
        <v>0</v>
      </c>
      <c r="F40" s="201">
        <v>0</v>
      </c>
      <c r="G40" s="201">
        <v>29017.067039013611</v>
      </c>
      <c r="H40" s="201">
        <v>0</v>
      </c>
      <c r="I40" s="201">
        <v>0</v>
      </c>
      <c r="J40" s="201">
        <v>2256.9329819345394</v>
      </c>
      <c r="K40" s="162">
        <f t="shared" si="3"/>
        <v>31274.000020948151</v>
      </c>
      <c r="L40" s="168">
        <f t="shared" si="4"/>
        <v>31274000.020948153</v>
      </c>
      <c r="M40" s="50">
        <v>494949.76455282746</v>
      </c>
      <c r="N40" s="171">
        <f t="shared" si="2"/>
        <v>31768949.785500981</v>
      </c>
      <c r="P40" s="133">
        <v>2053</v>
      </c>
      <c r="Q40" s="146">
        <v>-56.079070000000684</v>
      </c>
      <c r="R40" s="147">
        <v>-5.0114400000001069</v>
      </c>
      <c r="S40" s="147">
        <v>-2.7479999999999727E-2</v>
      </c>
      <c r="T40" s="198">
        <v>-65.116620000000694</v>
      </c>
      <c r="U40" s="198">
        <f t="shared" si="5"/>
        <v>-126.23461000000148</v>
      </c>
      <c r="V40" s="150">
        <v>-18.074452463202761</v>
      </c>
      <c r="X40" s="136">
        <v>633.96</v>
      </c>
      <c r="Y40" s="137">
        <f t="shared" si="1"/>
        <v>633960</v>
      </c>
      <c r="Z40" s="52"/>
      <c r="AA40" s="9"/>
      <c r="AK40" s="13"/>
      <c r="AL40" s="13"/>
      <c r="AM40" s="13"/>
      <c r="AN40" s="13"/>
    </row>
    <row r="41" spans="1:41" ht="15" thickBot="1" x14ac:dyDescent="0.4">
      <c r="A41">
        <f t="shared" si="6"/>
        <v>33</v>
      </c>
      <c r="C41" s="175">
        <v>0</v>
      </c>
      <c r="D41" s="6">
        <v>2054</v>
      </c>
      <c r="E41" s="202"/>
      <c r="F41" s="203"/>
      <c r="G41" s="204">
        <v>0</v>
      </c>
      <c r="H41" s="203"/>
      <c r="I41" s="203"/>
      <c r="J41" s="204">
        <v>0</v>
      </c>
      <c r="K41" s="163">
        <f t="shared" si="3"/>
        <v>0</v>
      </c>
      <c r="L41" s="168">
        <v>0</v>
      </c>
      <c r="M41" s="41">
        <v>0</v>
      </c>
      <c r="N41" s="171">
        <v>0</v>
      </c>
      <c r="AK41" s="13"/>
    </row>
    <row r="42" spans="1:41" ht="15" thickBot="1" x14ac:dyDescent="0.4">
      <c r="D42" s="138" t="s">
        <v>4</v>
      </c>
      <c r="E42" s="139">
        <f t="shared" ref="E42:I42" si="7">(NPV($A$1,E8:E40)+E7)/1000</f>
        <v>235.2373740625363</v>
      </c>
      <c r="F42" s="139">
        <f t="shared" si="7"/>
        <v>410.89221787086063</v>
      </c>
      <c r="G42" s="139">
        <f t="shared" si="7"/>
        <v>385.32487333318335</v>
      </c>
      <c r="H42" s="139">
        <f t="shared" si="7"/>
        <v>23.676441400003519</v>
      </c>
      <c r="I42" s="139">
        <f t="shared" si="7"/>
        <v>43.542689021413743</v>
      </c>
      <c r="J42" s="139">
        <f>(NPV($A$1,J8:J40)+J7)/1000</f>
        <v>41.624688661520182</v>
      </c>
      <c r="K42" s="164">
        <f t="shared" ref="K42" si="8">(NPV($A$1,K8:K40)+K7)/1000000</f>
        <v>1.140298284349518</v>
      </c>
      <c r="L42" s="169">
        <f t="shared" ref="L42:M42" si="9">(NPV($A$1,L8:L40)+L7)/1000000</f>
        <v>1140.2982843495174</v>
      </c>
      <c r="M42" s="140">
        <f t="shared" si="9"/>
        <v>7.3252053641616293</v>
      </c>
      <c r="N42" s="164">
        <f>(NPV($A$1,N8:N40)+N7)/1000000</f>
        <v>1147.6234897136799</v>
      </c>
      <c r="P42" s="138" t="s">
        <v>4</v>
      </c>
      <c r="Q42" s="139">
        <f>NPV($A$1,Q8:Q40)+Q7</f>
        <v>-826.8766028548481</v>
      </c>
      <c r="R42" s="139">
        <f t="shared" ref="R42:V42" si="10">NPV($A$1,R8:R40)+R7</f>
        <v>-64.55253650544455</v>
      </c>
      <c r="S42" s="139">
        <f t="shared" si="10"/>
        <v>-1.3477861704066041</v>
      </c>
      <c r="T42" s="139">
        <f t="shared" si="10"/>
        <v>-434.11859762716506</v>
      </c>
      <c r="U42" s="164">
        <f t="shared" si="10"/>
        <v>-1326.8955231578648</v>
      </c>
      <c r="V42" s="140">
        <f t="shared" si="10"/>
        <v>-353.45877738175625</v>
      </c>
      <c r="W42" s="13"/>
    </row>
    <row r="46" spans="1:41" x14ac:dyDescent="0.35">
      <c r="J46" s="62"/>
    </row>
  </sheetData>
  <mergeCells count="6">
    <mergeCell ref="E3:K3"/>
    <mergeCell ref="E4:K4"/>
    <mergeCell ref="Q3:U3"/>
    <mergeCell ref="L3:N3"/>
    <mergeCell ref="Q1:V1"/>
    <mergeCell ref="E1:K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641E-7FF3-41BF-9D99-6CF1B5308F1E}">
  <dimension ref="B3:I38"/>
  <sheetViews>
    <sheetView workbookViewId="0"/>
  </sheetViews>
  <sheetFormatPr defaultColWidth="9.1796875" defaultRowHeight="14.5" x14ac:dyDescent="0.35"/>
  <cols>
    <col min="1" max="1" width="9.1796875" style="179"/>
    <col min="2" max="2" width="15.453125" style="179" customWidth="1"/>
    <col min="3" max="3" width="16.1796875" style="179" customWidth="1"/>
    <col min="4" max="4" width="15.453125" style="179" customWidth="1"/>
    <col min="5" max="5" width="10.453125" style="179" customWidth="1"/>
    <col min="6" max="6" width="9.1796875" style="179"/>
    <col min="7" max="7" width="12.81640625" style="179" customWidth="1"/>
    <col min="8" max="8" width="16.54296875" style="179" customWidth="1"/>
    <col min="9" max="9" width="16.453125" style="179" customWidth="1"/>
    <col min="10" max="16384" width="9.1796875" style="179"/>
  </cols>
  <sheetData>
    <row r="3" spans="2:9" x14ac:dyDescent="0.35">
      <c r="C3" s="221" t="s">
        <v>114</v>
      </c>
      <c r="D3" s="221"/>
      <c r="E3" s="221"/>
      <c r="G3" s="221" t="s">
        <v>116</v>
      </c>
      <c r="H3" s="221"/>
      <c r="I3" s="221"/>
    </row>
    <row r="5" spans="2:9" x14ac:dyDescent="0.35">
      <c r="B5" s="180"/>
      <c r="C5" s="181" t="s">
        <v>33</v>
      </c>
      <c r="D5" s="181" t="s">
        <v>34</v>
      </c>
      <c r="E5" s="182" t="s">
        <v>56</v>
      </c>
      <c r="G5" s="180"/>
      <c r="H5" s="181" t="s">
        <v>33</v>
      </c>
      <c r="I5" s="181" t="s">
        <v>34</v>
      </c>
    </row>
    <row r="6" spans="2:9" x14ac:dyDescent="0.35">
      <c r="B6" s="183" t="s">
        <v>113</v>
      </c>
      <c r="C6" s="183" t="s">
        <v>82</v>
      </c>
      <c r="D6" s="183" t="s">
        <v>42</v>
      </c>
      <c r="E6" s="184" t="s">
        <v>115</v>
      </c>
      <c r="G6" s="183" t="s">
        <v>55</v>
      </c>
      <c r="H6" s="183" t="s">
        <v>82</v>
      </c>
      <c r="I6" s="183" t="s">
        <v>82</v>
      </c>
    </row>
    <row r="7" spans="2:9" x14ac:dyDescent="0.35">
      <c r="B7" s="185">
        <v>1</v>
      </c>
      <c r="C7" s="185">
        <f>'Results - C&amp;I and Residential'!W8</f>
        <v>8.35</v>
      </c>
      <c r="D7" s="185">
        <f>-'Results - C&amp;I and Residential'!X8</f>
        <v>4.0369999999999999</v>
      </c>
      <c r="E7" s="186"/>
      <c r="G7" s="187" t="s">
        <v>117</v>
      </c>
      <c r="H7" s="188">
        <f>'Results - LMI'!T5</f>
        <v>8.35</v>
      </c>
      <c r="I7" s="188">
        <f>ROUND(-'Results - LMI'!T6,2)</f>
        <v>9.0299999999999994</v>
      </c>
    </row>
    <row r="8" spans="2:9" x14ac:dyDescent="0.35">
      <c r="B8" s="189">
        <v>2</v>
      </c>
      <c r="C8" s="189">
        <f>'Results - C&amp;I and Residential'!W9</f>
        <v>8.35</v>
      </c>
      <c r="D8" s="189">
        <f>-'Results - C&amp;I and Residential'!X9</f>
        <v>4.0369999999999999</v>
      </c>
      <c r="E8" s="190">
        <f>'Results - C&amp;I and Residential'!Y9</f>
        <v>0</v>
      </c>
    </row>
    <row r="9" spans="2:9" x14ac:dyDescent="0.35">
      <c r="B9" s="189">
        <v>3</v>
      </c>
      <c r="C9" s="189">
        <f>'Results - C&amp;I and Residential'!W10</f>
        <v>8.35</v>
      </c>
      <c r="D9" s="189">
        <f>-'Results - C&amp;I and Residential'!X10</f>
        <v>4.0369999999999999</v>
      </c>
      <c r="E9" s="190">
        <f>'Results - C&amp;I and Residential'!Y10</f>
        <v>0</v>
      </c>
    </row>
    <row r="10" spans="2:9" x14ac:dyDescent="0.35">
      <c r="B10" s="189">
        <v>4</v>
      </c>
      <c r="C10" s="189">
        <f>'Results - C&amp;I and Residential'!W11</f>
        <v>8.35</v>
      </c>
      <c r="D10" s="189">
        <f>-'Results - C&amp;I and Residential'!X11</f>
        <v>4.0979999999999999</v>
      </c>
      <c r="E10" s="190">
        <f>'Results - C&amp;I and Residential'!Y11</f>
        <v>1.5110230369085986E-2</v>
      </c>
    </row>
    <row r="11" spans="2:9" x14ac:dyDescent="0.35">
      <c r="B11" s="189">
        <v>5</v>
      </c>
      <c r="C11" s="189">
        <f>'Results - C&amp;I and Residential'!W12</f>
        <v>8.35</v>
      </c>
      <c r="D11" s="189">
        <f>-'Results - C&amp;I and Residential'!X12</f>
        <v>4.1589999999999998</v>
      </c>
      <c r="E11" s="190">
        <f>'Results - C&amp;I and Residential'!Y12</f>
        <v>1.4885309907271882E-2</v>
      </c>
    </row>
    <row r="12" spans="2:9" x14ac:dyDescent="0.35">
      <c r="B12" s="189">
        <v>6</v>
      </c>
      <c r="C12" s="189">
        <f>'Results - C&amp;I and Residential'!W13</f>
        <v>8.35</v>
      </c>
      <c r="D12" s="189">
        <f>-'Results - C&amp;I and Residential'!X13</f>
        <v>4.2210000000000001</v>
      </c>
      <c r="E12" s="190">
        <f>'Results - C&amp;I and Residential'!Y13</f>
        <v>1.4907429670593997E-2</v>
      </c>
    </row>
    <row r="13" spans="2:9" x14ac:dyDescent="0.35">
      <c r="B13" s="189">
        <v>7</v>
      </c>
      <c r="C13" s="189">
        <f>'Results - C&amp;I and Residential'!W14</f>
        <v>8.35</v>
      </c>
      <c r="D13" s="189">
        <f>-'Results - C&amp;I and Residential'!X14</f>
        <v>4.2839999999999998</v>
      </c>
      <c r="E13" s="190">
        <f>'Results - C&amp;I and Residential'!Y14</f>
        <v>1.4925373134328401E-2</v>
      </c>
    </row>
    <row r="14" spans="2:9" x14ac:dyDescent="0.35">
      <c r="B14" s="189">
        <v>8</v>
      </c>
      <c r="C14" s="189">
        <f>'Results - C&amp;I and Residential'!W15</f>
        <v>8.35</v>
      </c>
      <c r="D14" s="189">
        <f>-'Results - C&amp;I and Residential'!X15</f>
        <v>4.3479999999999999</v>
      </c>
      <c r="E14" s="190">
        <f>'Results - C&amp;I and Residential'!Y15</f>
        <v>1.4939309056956063E-2</v>
      </c>
    </row>
    <row r="15" spans="2:9" x14ac:dyDescent="0.35">
      <c r="B15" s="189">
        <v>9</v>
      </c>
      <c r="C15" s="189">
        <f>'Results - C&amp;I and Residential'!W16</f>
        <v>8.35</v>
      </c>
      <c r="D15" s="189">
        <f>-'Results - C&amp;I and Residential'!X16</f>
        <v>4.4130000000000003</v>
      </c>
      <c r="E15" s="190">
        <f>'Results - C&amp;I and Residential'!Y16</f>
        <v>1.4949402023919145E-2</v>
      </c>
    </row>
    <row r="16" spans="2:9" x14ac:dyDescent="0.35">
      <c r="B16" s="189">
        <v>10</v>
      </c>
      <c r="C16" s="189">
        <f>'Results - C&amp;I and Residential'!W17</f>
        <v>8.35</v>
      </c>
      <c r="D16" s="189">
        <f>-'Results - C&amp;I and Residential'!X17</f>
        <v>4.4790000000000001</v>
      </c>
      <c r="E16" s="190">
        <f>'Results - C&amp;I and Residential'!Y17</f>
        <v>1.4955812372535737E-2</v>
      </c>
    </row>
    <row r="17" spans="2:5" x14ac:dyDescent="0.35">
      <c r="B17" s="189">
        <v>11</v>
      </c>
      <c r="C17" s="189">
        <f>'Results - C&amp;I and Residential'!W18</f>
        <v>8.35</v>
      </c>
      <c r="D17" s="189">
        <f>-'Results - C&amp;I and Residential'!X18</f>
        <v>4.5460000000000003</v>
      </c>
      <c r="E17" s="190">
        <f>'Results - C&amp;I and Residential'!Y18</f>
        <v>1.4958696137530758E-2</v>
      </c>
    </row>
    <row r="18" spans="2:5" x14ac:dyDescent="0.35">
      <c r="B18" s="189">
        <v>12</v>
      </c>
      <c r="C18" s="189">
        <f>'Results - C&amp;I and Residential'!W19</f>
        <v>8.35</v>
      </c>
      <c r="D18" s="189">
        <f>-'Results - C&amp;I and Residential'!X19</f>
        <v>4.6139999999999999</v>
      </c>
      <c r="E18" s="190">
        <f>'Results - C&amp;I and Residential'!Y19</f>
        <v>1.4958205015398018E-2</v>
      </c>
    </row>
    <row r="19" spans="2:5" x14ac:dyDescent="0.35">
      <c r="B19" s="189">
        <v>13</v>
      </c>
      <c r="C19" s="189">
        <f>'Results - C&amp;I and Residential'!W20</f>
        <v>8.35</v>
      </c>
      <c r="D19" s="189">
        <f>-'Results - C&amp;I and Residential'!X20</f>
        <v>4.6829999999999998</v>
      </c>
      <c r="E19" s="190">
        <f>'Results - C&amp;I and Residential'!Y20</f>
        <v>1.4954486345903684E-2</v>
      </c>
    </row>
    <row r="20" spans="2:5" x14ac:dyDescent="0.35">
      <c r="B20" s="189">
        <v>14</v>
      </c>
      <c r="C20" s="189">
        <f>'Results - C&amp;I and Residential'!W21</f>
        <v>8.35</v>
      </c>
      <c r="D20" s="189">
        <f>-'Results - C&amp;I and Residential'!X21</f>
        <v>4.7530000000000001</v>
      </c>
      <c r="E20" s="190">
        <f>'Results - C&amp;I and Residential'!Y21</f>
        <v>1.4947683109118204E-2</v>
      </c>
    </row>
    <row r="21" spans="2:5" x14ac:dyDescent="0.35">
      <c r="B21" s="189">
        <v>15</v>
      </c>
      <c r="C21" s="189">
        <f>'Results - C&amp;I and Residential'!W22</f>
        <v>8.35</v>
      </c>
      <c r="D21" s="189">
        <f>-'Results - C&amp;I and Residential'!X22</f>
        <v>4.8239999999999998</v>
      </c>
      <c r="E21" s="190">
        <f>'Results - C&amp;I and Residential'!Y22</f>
        <v>1.4937933936461034E-2</v>
      </c>
    </row>
    <row r="22" spans="2:5" x14ac:dyDescent="0.35">
      <c r="B22" s="189">
        <v>16</v>
      </c>
      <c r="C22" s="189">
        <f>'Results - C&amp;I and Residential'!W23</f>
        <v>8.35</v>
      </c>
      <c r="D22" s="189">
        <f>-'Results - C&amp;I and Residential'!X23</f>
        <v>4.8959999999999999</v>
      </c>
      <c r="E22" s="190">
        <f>'Results - C&amp;I and Residential'!Y23</f>
        <v>1.4925373134328401E-2</v>
      </c>
    </row>
    <row r="23" spans="2:5" x14ac:dyDescent="0.35">
      <c r="B23" s="189">
        <v>17</v>
      </c>
      <c r="C23" s="189">
        <f>'Results - C&amp;I and Residential'!W24</f>
        <v>8.35</v>
      </c>
      <c r="D23" s="189">
        <f>-'Results - C&amp;I and Residential'!X24</f>
        <v>4.9690000000000003</v>
      </c>
      <c r="E23" s="190">
        <f>'Results - C&amp;I and Residential'!Y24</f>
        <v>1.4910130718954306E-2</v>
      </c>
    </row>
    <row r="24" spans="2:5" x14ac:dyDescent="0.35">
      <c r="B24" s="189">
        <v>18</v>
      </c>
      <c r="C24" s="189">
        <f>'Results - C&amp;I and Residential'!W25</f>
        <v>8.35</v>
      </c>
      <c r="D24" s="189">
        <f>-'Results - C&amp;I and Residential'!X25</f>
        <v>5.0439999999999996</v>
      </c>
      <c r="E24" s="190">
        <f>'Results - C&amp;I and Residential'!Y25</f>
        <v>1.5093580197222733E-2</v>
      </c>
    </row>
    <row r="25" spans="2:5" x14ac:dyDescent="0.35">
      <c r="B25" s="189">
        <v>19</v>
      </c>
      <c r="C25" s="189">
        <f>'Results - C&amp;I and Residential'!W26</f>
        <v>8.35</v>
      </c>
      <c r="D25" s="189">
        <f>-'Results - C&amp;I and Residential'!X26</f>
        <v>5.12</v>
      </c>
      <c r="E25" s="190">
        <f>'Results - C&amp;I and Residential'!Y26</f>
        <v>1.5067406819984308E-2</v>
      </c>
    </row>
    <row r="26" spans="2:5" x14ac:dyDescent="0.35">
      <c r="B26" s="189">
        <v>20</v>
      </c>
      <c r="C26" s="189">
        <f>'Results - C&amp;I and Residential'!W27</f>
        <v>8.35</v>
      </c>
      <c r="D26" s="189">
        <f>-'Results - C&amp;I and Residential'!X27</f>
        <v>5.1970000000000001</v>
      </c>
      <c r="E26" s="190">
        <f>'Results - C&amp;I and Residential'!Y27</f>
        <v>1.5039062500000089E-2</v>
      </c>
    </row>
    <row r="27" spans="2:5" x14ac:dyDescent="0.35">
      <c r="B27" s="189">
        <v>21</v>
      </c>
      <c r="C27" s="189">
        <f>'Results - C&amp;I and Residential'!W28</f>
        <v>8.35</v>
      </c>
      <c r="D27" s="189">
        <f>-'Results - C&amp;I and Residential'!X28</f>
        <v>5.2750000000000004</v>
      </c>
      <c r="E27" s="190">
        <f>'Results - C&amp;I and Residential'!Y28</f>
        <v>1.5008658841639377E-2</v>
      </c>
    </row>
    <row r="28" spans="2:5" x14ac:dyDescent="0.35">
      <c r="B28" s="189">
        <v>22</v>
      </c>
      <c r="C28" s="189">
        <f>'Results - C&amp;I and Residential'!W29</f>
        <v>8.35</v>
      </c>
      <c r="D28" s="189">
        <f>-'Results - C&amp;I and Residential'!X29</f>
        <v>5.3540000000000001</v>
      </c>
      <c r="E28" s="190">
        <f>'Results - C&amp;I and Residential'!Y29</f>
        <v>1.4976303317535411E-2</v>
      </c>
    </row>
    <row r="29" spans="2:5" x14ac:dyDescent="0.35">
      <c r="B29" s="189">
        <v>23</v>
      </c>
      <c r="C29" s="189">
        <f>'Results - C&amp;I and Residential'!W30</f>
        <v>8.35</v>
      </c>
      <c r="D29" s="189">
        <f>-'Results - C&amp;I and Residential'!X30</f>
        <v>5.4340000000000002</v>
      </c>
      <c r="E29" s="190">
        <f>'Results - C&amp;I and Residential'!Y30</f>
        <v>1.4942099364960715E-2</v>
      </c>
    </row>
    <row r="30" spans="2:5" x14ac:dyDescent="0.35">
      <c r="B30" s="189">
        <v>24</v>
      </c>
      <c r="C30" s="189">
        <f>'Results - C&amp;I and Residential'!W31</f>
        <v>8.35</v>
      </c>
      <c r="D30" s="189">
        <f>-'Results - C&amp;I and Residential'!X31</f>
        <v>5.516</v>
      </c>
      <c r="E30" s="190">
        <f>'Results - C&amp;I and Residential'!Y31</f>
        <v>1.5090172984909778E-2</v>
      </c>
    </row>
    <row r="31" spans="2:5" x14ac:dyDescent="0.35">
      <c r="B31" s="189">
        <v>25</v>
      </c>
      <c r="C31" s="189">
        <f>'Results - C&amp;I and Residential'!W32</f>
        <v>8.35</v>
      </c>
      <c r="D31" s="189">
        <f>-'Results - C&amp;I and Residential'!X32</f>
        <v>5.5990000000000002</v>
      </c>
      <c r="E31" s="190">
        <f>'Results - C&amp;I and Residential'!Y32</f>
        <v>1.5047135605511297E-2</v>
      </c>
    </row>
    <row r="32" spans="2:5" x14ac:dyDescent="0.35">
      <c r="B32" s="189">
        <v>26</v>
      </c>
      <c r="C32" s="189">
        <f>'Results - C&amp;I and Residential'!W33</f>
        <v>8.35</v>
      </c>
      <c r="D32" s="189">
        <f>-'Results - C&amp;I and Residential'!X33</f>
        <v>5.6829999999999998</v>
      </c>
      <c r="E32" s="190">
        <f>'Results - C&amp;I and Residential'!Y33</f>
        <v>1.5002679049830325E-2</v>
      </c>
    </row>
    <row r="33" spans="2:5" x14ac:dyDescent="0.35">
      <c r="B33" s="189">
        <v>27</v>
      </c>
      <c r="C33" s="189">
        <f>'Results - C&amp;I and Residential'!W34</f>
        <v>8.35</v>
      </c>
      <c r="D33" s="189">
        <f>-'Results - C&amp;I and Residential'!X34</f>
        <v>5.7679999999999998</v>
      </c>
      <c r="E33" s="190">
        <f>'Results - C&amp;I and Residential'!Y34</f>
        <v>1.4956888967094795E-2</v>
      </c>
    </row>
    <row r="34" spans="2:5" x14ac:dyDescent="0.35">
      <c r="B34" s="189">
        <v>28</v>
      </c>
      <c r="C34" s="189">
        <f>'Results - C&amp;I and Residential'!W35</f>
        <v>8.35</v>
      </c>
      <c r="D34" s="189">
        <f>-'Results - C&amp;I and Residential'!X35</f>
        <v>5.8550000000000004</v>
      </c>
      <c r="E34" s="190">
        <f>'Results - C&amp;I and Residential'!Y35</f>
        <v>1.5083217753120826E-2</v>
      </c>
    </row>
    <row r="35" spans="2:5" x14ac:dyDescent="0.35">
      <c r="B35" s="189">
        <v>29</v>
      </c>
      <c r="C35" s="189">
        <f>'Results - C&amp;I and Residential'!W36</f>
        <v>8.35</v>
      </c>
      <c r="D35" s="189">
        <f>-'Results - C&amp;I and Residential'!X36</f>
        <v>5.9429999999999996</v>
      </c>
      <c r="E35" s="190">
        <f>'Results - C&amp;I and Residential'!Y36</f>
        <v>1.5029888983774331E-2</v>
      </c>
    </row>
    <row r="36" spans="2:5" x14ac:dyDescent="0.35">
      <c r="B36" s="189">
        <v>30</v>
      </c>
      <c r="C36" s="189">
        <f>'Results - C&amp;I and Residential'!W37</f>
        <v>8.35</v>
      </c>
      <c r="D36" s="189">
        <f>-'Results - C&amp;I and Residential'!X37</f>
        <v>6.032</v>
      </c>
      <c r="E36" s="190">
        <f>'Results - C&amp;I and Residential'!Y37</f>
        <v>1.4975601548039785E-2</v>
      </c>
    </row>
    <row r="37" spans="2:5" x14ac:dyDescent="0.35">
      <c r="B37" s="189">
        <v>31</v>
      </c>
      <c r="C37" s="189">
        <f>'Results - C&amp;I and Residential'!W38</f>
        <v>8.35</v>
      </c>
      <c r="D37" s="189">
        <f>-'Results - C&amp;I and Residential'!X38</f>
        <v>6.032</v>
      </c>
      <c r="E37" s="190">
        <f>'Results - C&amp;I and Residential'!Y38</f>
        <v>0</v>
      </c>
    </row>
    <row r="38" spans="2:5" x14ac:dyDescent="0.35">
      <c r="B38" s="191">
        <v>32</v>
      </c>
      <c r="C38" s="191">
        <f>'Results - C&amp;I and Residential'!W39</f>
        <v>8.35</v>
      </c>
      <c r="D38" s="191">
        <f>-'Results - C&amp;I and Residential'!X39</f>
        <v>6.032</v>
      </c>
      <c r="E38" s="192">
        <f>'Results - C&amp;I and Residential'!Y39</f>
        <v>0</v>
      </c>
    </row>
  </sheetData>
  <mergeCells count="2">
    <mergeCell ref="C3:E3"/>
    <mergeCell ref="G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7E68B-BB5B-4E9A-9543-2387AE51A4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EEE8C-961A-4E76-8F93-8FA1C81F57CD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d141e5e5-1b43-410d-a484-11a90557d3b4"/>
    <ds:schemaRef ds:uri="http://schemas.microsoft.com/office/2006/documentManagement/types"/>
    <ds:schemaRef ds:uri="6876d069-b68e-425a-9557-1f4444bac999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DB5946-6044-4D7C-8755-F268D8531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Results - C&amp;I and Residential</vt:lpstr>
      <vt:lpstr>Results - LMI</vt:lpstr>
      <vt:lpstr>Results - TOTAL</vt:lpstr>
      <vt:lpstr>Rev Rq_Benefits</vt:lpstr>
      <vt:lpstr>CEC Tariff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Knight, Gary</dc:creator>
  <cp:keywords/>
  <dc:description/>
  <cp:lastModifiedBy>Dean, Gary</cp:lastModifiedBy>
  <cp:revision/>
  <dcterms:created xsi:type="dcterms:W3CDTF">2019-03-27T17:19:26Z</dcterms:created>
  <dcterms:modified xsi:type="dcterms:W3CDTF">2020-10-12T19:56:49Z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