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bookViews>
    <workbookView xWindow="1950" yWindow="1530" windowWidth="21600" windowHeight="12210" tabRatio="810" activeTab="1"/>
  </bookViews>
  <sheets>
    <sheet name="GSD MFR GULF  A 2" sheetId="11" r:id="rId1"/>
    <sheet name="Transition Factors" sheetId="19" r:id="rId2"/>
  </sheets>
  <definedNames>
    <definedName name="cdradder">#REF!</definedName>
    <definedName name="cdrcredit">#REF!</definedName>
    <definedName name="cilcfirm">#REF!</definedName>
    <definedName name="cilcldc">#REF!</definedName>
    <definedName name="cilcmax">#REF!</definedName>
    <definedName name="curtdmd">#REF!</definedName>
    <definedName name="demand">#REF!</definedName>
    <definedName name="e_RateCode_m3011">#REF!</definedName>
    <definedName name="e_RevenueClass_18171">#REF!</definedName>
    <definedName name="ID_sorted">#REF!</definedName>
    <definedName name="l_RevenueForecastForMFRwide_123603">#REF!</definedName>
    <definedName name="l_RevenueForecastToUsewide_115808">#REF!</definedName>
    <definedName name="newrates">#REF!</definedName>
    <definedName name="offtou">#REF!</definedName>
    <definedName name="ondmd">#REF!</definedName>
    <definedName name="ontou">#REF!</definedName>
    <definedName name="_xlnm.Print_Area" localSheetId="0">'GSD MFR GULF  A 2'!$A$1:$AE$51</definedName>
    <definedName name="_xlnm.Print_Area" localSheetId="1">'Transition Factors'!$A$2:$K$23</definedName>
    <definedName name="_xlnm.Print_Titles" localSheetId="0">'GSD MFR GULF  A 2'!$A:$C,'GSD MFR GULF  A 2'!$1:$17</definedName>
    <definedName name="sstcsd">#REF!</definedName>
    <definedName name="sstdaily">#REF!</definedName>
    <definedName name="sstoncsd">#REF!</definedName>
    <definedName name="sstres">#REF!</definedName>
    <definedName name="transdmd">#REF!</definedName>
    <definedName name="UI_Entity_Groups">#REF!</definedName>
    <definedName name="UI_Reports">#REF!</definedName>
    <definedName name="UI_Scenarios">#REF!</definedName>
  </definedNames>
  <calcPr fullCalcOnLoad="1"/>
  <extLst/>
</workbook>
</file>

<file path=xl/sharedStrings.xml><?xml version="1.0" encoding="utf-8"?>
<sst xmlns="http://schemas.openxmlformats.org/spreadsheetml/2006/main" count="154" uniqueCount="123">
  <si>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</si>
  <si>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</si>
  <si>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</si>
  <si>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</si>
  <si>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</si>
  <si>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</si>
  <si>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</si>
  <si>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</si>
  <si>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</si>
  <si>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</si>
  <si>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</si>
  <si>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</si>
  <si>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</si>
  <si>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</si>
  <si>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</si>
  <si>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</si>
  <si>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</si>
  <si>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</si>
  <si>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</si>
  <si>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</si>
  <si>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</si>
  <si>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</si>
  <si>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Line No.</t>
  </si>
  <si>
    <t>kW</t>
  </si>
  <si>
    <t>Typical kWh</t>
  </si>
  <si>
    <t>BILL UNDER PRESENT RATES</t>
  </si>
  <si>
    <t>BILL UNDER PROPOSED RATES</t>
  </si>
  <si>
    <t>INCREASE (DECREASE)</t>
  </si>
  <si>
    <t>Base Rate</t>
  </si>
  <si>
    <t>Fuel Charge</t>
  </si>
  <si>
    <t>ECCR Charge</t>
  </si>
  <si>
    <t>Capacity Charge</t>
  </si>
  <si>
    <t>ECRC Charge</t>
  </si>
  <si>
    <t>GRT Charge</t>
  </si>
  <si>
    <t>Total</t>
  </si>
  <si>
    <t>1</t>
  </si>
  <si>
    <t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</si>
  <si>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</si>
  <si>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</si>
  <si>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</si>
  <si>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</si>
  <si>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</si>
  <si>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</si>
  <si>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</si>
  <si>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</si>
  <si>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</si>
  <si>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</si>
  <si>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</si>
  <si>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</si>
  <si>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</si>
  <si>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</si>
  <si>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PRESENT</t>
  </si>
  <si>
    <t>PROPOSED</t>
  </si>
  <si>
    <t>16</t>
  </si>
  <si>
    <t>CUSTOMER CHARGE</t>
  </si>
  <si>
    <t>17</t>
  </si>
  <si>
    <t>ENERGY CHARGE</t>
  </si>
  <si>
    <t>18</t>
  </si>
  <si>
    <t>19</t>
  </si>
  <si>
    <t>20</t>
  </si>
  <si>
    <t>FUEL CHARGE</t>
  </si>
  <si>
    <t>21</t>
  </si>
  <si>
    <t>22</t>
  </si>
  <si>
    <t>23</t>
  </si>
  <si>
    <t>CONSERVATION CHARGE</t>
  </si>
  <si>
    <t>24</t>
  </si>
  <si>
    <t>CAPACITY CHARGE</t>
  </si>
  <si>
    <t>25</t>
  </si>
  <si>
    <t>ENVIRONMENTAL CHARGE</t>
  </si>
  <si>
    <t>26</t>
  </si>
  <si>
    <t>27</t>
  </si>
  <si>
    <t>DEMAND</t>
  </si>
  <si>
    <t>$/KW</t>
  </si>
  <si>
    <t>SPP Charge</t>
  </si>
  <si>
    <t>STORM PROTECTION CHARGE</t>
  </si>
  <si>
    <t>Storm Charge</t>
  </si>
  <si>
    <t>COST IN CENTS/kWh</t>
  </si>
  <si>
    <t>(23)</t>
  </si>
  <si>
    <t>(24)</t>
  </si>
  <si>
    <t>STORM CHARGE</t>
  </si>
  <si>
    <t>(25)</t>
  </si>
  <si>
    <t>(26)</t>
  </si>
  <si>
    <t>Dollars (22)-(12)</t>
  </si>
  <si>
    <t>Percent (23)/(12)</t>
  </si>
  <si>
    <t>Present (12)/(2)</t>
  </si>
  <si>
    <t>Proposed (22)/(2)</t>
  </si>
  <si>
    <t>CENTS/kWh</t>
  </si>
  <si>
    <t>CENTS/kWh and $/KW</t>
  </si>
  <si>
    <t>Transition Rider</t>
  </si>
  <si>
    <t>TRANSITION RIDER</t>
  </si>
  <si>
    <t>28</t>
  </si>
  <si>
    <t>29</t>
  </si>
  <si>
    <t>30</t>
  </si>
  <si>
    <t>Recap Schedules:</t>
  </si>
  <si>
    <t>Rate Schedule - GSD-1 (Gulf $kW Rider Charge )</t>
  </si>
  <si>
    <t>FPL Rate Class</t>
  </si>
  <si>
    <t>Revenue Requirement</t>
  </si>
  <si>
    <t>% Allocation</t>
  </si>
  <si>
    <t>kWh</t>
  </si>
  <si>
    <t>KW</t>
  </si>
  <si>
    <t>RS(T)-1</t>
  </si>
  <si>
    <t>GS(T)-1</t>
  </si>
  <si>
    <t>GSD(T)-1</t>
  </si>
  <si>
    <t>OS-2</t>
  </si>
  <si>
    <t>GSLD(T)-1</t>
  </si>
  <si>
    <t>GSLD(T)-2</t>
  </si>
  <si>
    <t>GSLD(T)-3</t>
  </si>
  <si>
    <t>SST-TST</t>
  </si>
  <si>
    <t>SST-DST</t>
  </si>
  <si>
    <t>OL1/SL1/SL1M</t>
  </si>
  <si>
    <t>SL2/SL2M/GSCU1</t>
  </si>
  <si>
    <t>TOTAL</t>
  </si>
  <si>
    <t>c/kWh Factor</t>
  </si>
  <si>
    <t>$/kW Factor</t>
  </si>
  <si>
    <t>DDC</t>
  </si>
  <si>
    <t>RDC</t>
  </si>
  <si>
    <t>Florida Power &amp; Light Company</t>
  </si>
  <si>
    <t>Docket No. 20210015-EI</t>
  </si>
  <si>
    <t>Staff's's Twenty-Second Set of Interrogatories</t>
  </si>
  <si>
    <t>Interrogatory No: 229</t>
  </si>
  <si>
    <t>Attachment No. 1 of 1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</si>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</sst>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\$#,##0.00_);[Red]\(\$#,##0.00\);&quot; &quot;"/>
    <numFmt numFmtId="166" formatCode="#,##0.00%_);[Red]\(#,##0.00%\);&quot; &quot;"/>
    <numFmt numFmtId="167" formatCode="#,##0.00_);[Red]\(#,##0.00\);&quot; &quot;"/>
    <numFmt numFmtId="168" formatCode="#,##0.000_);[Red]\(#,##0.000\);&quot;0&quot;"/>
    <numFmt numFmtId="169" formatCode="\$#,##0_);[Red]\(\$#,##0\);&quot; &quot;"/>
    <numFmt numFmtId="170" formatCode="#,##0.000_);[Red]\(#,##0.000\);#,##0.000_)"/>
    <numFmt numFmtId="171" formatCode="\$#,##0_);[Red]\(\$#,##0\)"/>
    <numFmt numFmtId="172" formatCode="#,##0.00%_);\(#,##0.00%\);&quot; &quot;"/>
    <numFmt numFmtId="173" formatCode="0.0%"/>
    <numFmt numFmtId="174" formatCode="_(* #,##0_);_(* \(#,##0\);_(* &quot;-&quot;??_);_(@_)"/>
    <numFmt numFmtId="175" formatCode="&quot;$&quot;#,##0.00000_);\(&quot;$&quot;#,##0.00000\)"/>
    <numFmt numFmtId="176" formatCode="&quot;$&quot;#,##0.00"/>
  </numFmts>
  <fonts count="14"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u val="single"/>
      <sz val="9"/>
      <name val="Arial"/>
      <family val="2"/>
    </font>
    <font>
      <b/>
      <sz val="9"/>
      <name val="Arial"/>
      <family val="2"/>
    </font>
    <font>
      <sz val="9"/>
      <color rgb="FFFFFFFE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/>
    </fill>
    <fill>
      <patternFill patternType="gray125"/>
    </fill>
    <fill>
      <patternFill patternType="solid">
        <fgColor rgb="FF0048B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8"/>
      </bottom>
    </border>
    <border>
      <left/>
      <right/>
      <top/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/>
      <bottom style="thin">
        <color auto="1"/>
      </bottom>
    </border>
  </borders>
  <cellStyleXfs count="5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9" fontId="2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43" fontId="2" fillId="0" borderId="0" applyFont="0" applyFill="0" applyBorder="0" applyAlignment="0" applyProtection="0"/>
    <xf numFmtId="0" fontId="1" fillId="0" borderId="0">
      <alignment/>
      <protection/>
    </xf>
    <xf numFmtId="0" fontId="2" fillId="0" borderId="0">
      <alignment/>
      <protection/>
    </xf>
    <xf numFmtId="44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>
      <alignment/>
      <protection/>
    </xf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9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7" fillId="0" borderId="0" xfId="0" applyFont="1" applyAlignment="1">
      <alignment horizontal="left" indent="1"/>
    </xf>
    <xf numFmtId="0" fontId="5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3" fillId="0" borderId="0" xfId="0" applyFont="1" applyBorder="1"/>
    <xf numFmtId="0" fontId="3" fillId="0" borderId="2" xfId="0" applyFont="1" applyBorder="1"/>
    <xf numFmtId="0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168" fontId="4" fillId="0" borderId="0" xfId="0" applyNumberFormat="1" applyFont="1" applyAlignment="1">
      <alignment horizontal="right"/>
    </xf>
    <xf numFmtId="0" fontId="3" fillId="0" borderId="0" xfId="0" applyFont="1" quotePrefix="1"/>
    <xf numFmtId="165" fontId="4" fillId="0" borderId="0" xfId="0" applyNumberFormat="1" applyFont="1" applyFill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170" fontId="4" fillId="0" borderId="0" xfId="0" applyNumberFormat="1" applyFont="1" applyFill="1" applyAlignment="1">
      <alignment horizontal="right"/>
    </xf>
    <xf numFmtId="171" fontId="4" fillId="0" borderId="0" xfId="0" applyNumberFormat="1" applyFont="1" applyAlignment="1">
      <alignment horizontal="right"/>
    </xf>
    <xf numFmtId="0" fontId="8" fillId="0" borderId="4" xfId="0" applyFont="1" applyBorder="1"/>
    <xf numFmtId="49" fontId="4" fillId="0" borderId="4" xfId="0" applyNumberFormat="1" applyFont="1" applyBorder="1" applyAlignment="1">
      <alignment horizontal="center"/>
    </xf>
    <xf numFmtId="0" fontId="8" fillId="0" borderId="2" xfId="0" applyFont="1" applyBorder="1"/>
    <xf numFmtId="168" fontId="4" fillId="0" borderId="0" xfId="0" applyNumberFormat="1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16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72" fontId="4" fillId="0" borderId="0" xfId="0" applyNumberFormat="1" applyFont="1" applyAlignment="1">
      <alignment horizontal="right"/>
    </xf>
    <xf numFmtId="5" fontId="4" fillId="0" borderId="0" xfId="0" applyNumberFormat="1" applyFont="1" applyAlignment="1">
      <alignment horizontal="right"/>
    </xf>
    <xf numFmtId="0" fontId="3" fillId="0" borderId="0" xfId="0" applyFont="1" applyFill="1" applyAlignment="1">
      <alignment vertical="center"/>
    </xf>
    <xf numFmtId="165" fontId="4" fillId="0" borderId="0" xfId="0" applyNumberFormat="1" applyFont="1" applyFill="1" applyAlignment="1">
      <alignment horizontal="right"/>
    </xf>
    <xf numFmtId="0" fontId="9" fillId="0" borderId="0" xfId="32" applyFont="1" applyAlignment="1">
      <alignment horizontal="right"/>
      <protection/>
    </xf>
    <xf numFmtId="0" fontId="10" fillId="0" borderId="0" xfId="32" applyFont="1" applyAlignment="1">
      <alignment vertical="top" wrapText="1"/>
      <protection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right"/>
    </xf>
    <xf numFmtId="0" fontId="11" fillId="2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8" xfId="0" applyFont="1" applyBorder="1" applyAlignment="1">
      <alignment horizontal="left"/>
    </xf>
    <xf numFmtId="5" fontId="13" fillId="0" borderId="9" xfId="18" applyNumberFormat="1" applyFont="1" applyBorder="1" applyAlignment="1">
      <alignment horizontal="right"/>
    </xf>
    <xf numFmtId="173" fontId="13" fillId="0" borderId="9" xfId="15" applyNumberFormat="1" applyFont="1" applyBorder="1" applyAlignment="1">
      <alignment horizontal="right"/>
    </xf>
    <xf numFmtId="174" fontId="13" fillId="0" borderId="9" xfId="18" applyNumberFormat="1" applyFont="1" applyBorder="1" applyAlignment="1">
      <alignment horizontal="right"/>
    </xf>
    <xf numFmtId="7" fontId="13" fillId="0" borderId="10" xfId="18" applyNumberFormat="1" applyFont="1" applyBorder="1" applyAlignment="1">
      <alignment horizontal="righ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5" fontId="13" fillId="0" borderId="13" xfId="18" applyNumberFormat="1" applyFont="1" applyBorder="1" applyAlignment="1">
      <alignment horizontal="right"/>
    </xf>
    <xf numFmtId="173" fontId="13" fillId="0" borderId="13" xfId="15" applyNumberFormat="1" applyFont="1" applyBorder="1" applyAlignment="1">
      <alignment horizontal="right"/>
    </xf>
    <xf numFmtId="174" fontId="13" fillId="0" borderId="13" xfId="18" applyNumberFormat="1" applyFont="1" applyBorder="1" applyAlignment="1">
      <alignment horizontal="center"/>
    </xf>
    <xf numFmtId="0" fontId="11" fillId="2" borderId="14" xfId="0" applyFont="1" applyFill="1" applyBorder="1" applyAlignment="1">
      <alignment horizontal="center" vertical="center" wrapText="1"/>
    </xf>
    <xf numFmtId="174" fontId="13" fillId="0" borderId="15" xfId="18" applyNumberFormat="1" applyFont="1" applyBorder="1" applyAlignment="1">
      <alignment horizontal="right"/>
    </xf>
    <xf numFmtId="174" fontId="13" fillId="0" borderId="16" xfId="18" applyNumberFormat="1" applyFont="1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175" fontId="13" fillId="0" borderId="0" xfId="18" applyNumberFormat="1" applyFont="1" applyBorder="1" applyAlignment="1">
      <alignment horizontal="right"/>
    </xf>
    <xf numFmtId="175" fontId="13" fillId="0" borderId="17" xfId="18" applyNumberFormat="1" applyFont="1" applyBorder="1" applyAlignment="1">
      <alignment horizontal="right"/>
    </xf>
    <xf numFmtId="0" fontId="0" fillId="0" borderId="9" xfId="0" applyBorder="1"/>
    <xf numFmtId="7" fontId="13" fillId="0" borderId="9" xfId="18" applyNumberFormat="1" applyFont="1" applyBorder="1" applyAlignment="1">
      <alignment horizontal="right"/>
    </xf>
    <xf numFmtId="0" fontId="0" fillId="0" borderId="13" xfId="0" applyBorder="1"/>
    <xf numFmtId="0" fontId="12" fillId="0" borderId="13" xfId="0" applyFont="1" applyBorder="1"/>
    <xf numFmtId="0" fontId="12" fillId="0" borderId="18" xfId="0" applyFont="1" applyBorder="1"/>
    <xf numFmtId="0" fontId="0" fillId="0" borderId="10" xfId="0" applyBorder="1"/>
    <xf numFmtId="0" fontId="12" fillId="0" borderId="0" xfId="0" applyFont="1" applyBorder="1"/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0" xfId="33" applyFont="1">
      <alignment/>
      <protection/>
    </xf>
  </cellXfs>
  <cellStyles count="3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 16" xfId="20"/>
    <cellStyle name="Normal 2" xfId="21"/>
    <cellStyle name="Normal 3" xfId="22"/>
    <cellStyle name="Normal 4" xfId="23"/>
    <cellStyle name="Normal 5" xfId="24"/>
    <cellStyle name="Normal 3 2" xfId="25"/>
    <cellStyle name="Percent 2" xfId="26"/>
    <cellStyle name="Normal 3 2 2" xfId="27"/>
    <cellStyle name="Normal 6" xfId="28"/>
    <cellStyle name="Normal 7" xfId="29"/>
    <cellStyle name="Normal 8" xfId="30"/>
    <cellStyle name="Normal 9" xfId="31"/>
    <cellStyle name="Normal 10" xfId="32"/>
    <cellStyle name="Normal 11" xfId="33"/>
    <cellStyle name="Comma 4" xfId="34"/>
    <cellStyle name="Normal 10 2" xfId="35"/>
    <cellStyle name="Normal 10 2 2" xfId="36"/>
    <cellStyle name="Currency 2" xfId="37"/>
    <cellStyle name="Comma 2" xfId="38"/>
    <cellStyle name="Normal 2 3" xfId="39"/>
    <cellStyle name="Normal 5 2" xfId="40"/>
    <cellStyle name="Normal 4 2" xfId="41"/>
    <cellStyle name="Currency 4" xfId="42"/>
    <cellStyle name="Comma 3" xfId="43"/>
    <cellStyle name="Comma 10" xfId="44"/>
    <cellStyle name="Currency 3" xfId="45"/>
    <cellStyle name="Percent 2 2" xfId="46"/>
    <cellStyle name="Percent 3" xfId="47"/>
    <cellStyle name="Normal 2 2" xfId="48"/>
    <cellStyle name="Comma 2 2" xfId="49"/>
    <cellStyle name="Currency 2 2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theme" Target="theme/theme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3.xml" /><Relationship Id="rId4" Type="http://schemas.openxmlformats.org/officeDocument/2006/relationships/sharedStrings" Target="sharedStrings.xml" /><Relationship Id="rId6" Type="http://schemas.openxmlformats.org/officeDocument/2006/relationships/customXml" Target="../customXml/item1.xml" /><Relationship Id="rId3" Type="http://schemas.openxmlformats.org/officeDocument/2006/relationships/styles" Target="styles.xml" /><Relationship Id="rId7" Type="http://schemas.openxmlformats.org/officeDocument/2006/relationships/customXml" Target="../customXml/item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51"/>
  <sheetViews>
    <sheetView view="pageBreakPreview" zoomScale="110" zoomScaleNormal="115" zoomScaleSheetLayoutView="110" workbookViewId="0" topLeftCell="A1">
      <selection pane="topLeft" activeCell="A1" sqref="A1"/>
    </sheetView>
  </sheetViews>
  <sheetFormatPr defaultColWidth="9.140625" defaultRowHeight="13"/>
  <cols>
    <col min="1" max="1" width="5.45454545454545" style="18" customWidth="1"/>
    <col min="2" max="2" width="4.54545454545455" style="18" customWidth="1"/>
    <col min="3" max="3" width="8" style="18" customWidth="1"/>
    <col min="4" max="4" width="1.27272727272727" style="18" customWidth="1"/>
    <col min="5" max="5" width="7.54545454545455" style="18" customWidth="1"/>
    <col min="6" max="6" width="8.18181818181818" style="18" customWidth="1"/>
    <col min="7" max="7" width="7.45454545454545" style="18" customWidth="1"/>
    <col min="8" max="8" width="8.72727272727273" style="18" customWidth="1"/>
    <col min="9" max="9" width="7.54545454545455" style="18" customWidth="1"/>
    <col min="10" max="10" width="7.18181818181818" style="18" customWidth="1"/>
    <col min="11" max="11" width="7.81818181818182" style="18" customWidth="1"/>
    <col min="12" max="12" width="9.54545454545455" style="18" customWidth="1"/>
    <col min="13" max="13" width="7.45454545454545" style="18" customWidth="1"/>
    <col min="14" max="14" width="8.45454545454546" style="18" bestFit="1" customWidth="1"/>
    <col min="15" max="15" width="1.27272727272727" style="18" customWidth="1"/>
    <col min="16" max="16" width="7.81818181818182" style="18" customWidth="1"/>
    <col min="17" max="18" width="7.54545454545455" style="18" customWidth="1"/>
    <col min="19" max="19" width="8.72727272727273" style="18" customWidth="1"/>
    <col min="20" max="20" width="7.27272727272727" style="18" customWidth="1"/>
    <col min="21" max="21" width="7.81818181818182" style="18" customWidth="1"/>
    <col min="22" max="22" width="7.27272727272727" style="18" customWidth="1"/>
    <col min="23" max="23" width="10.1818181818182" style="18" customWidth="1"/>
    <col min="24" max="24" width="7.72727272727273" style="18" customWidth="1"/>
    <col min="25" max="25" width="8" style="18" customWidth="1"/>
    <col min="26" max="26" width="1.18181818181818" style="18" customWidth="1"/>
    <col min="27" max="27" width="8.27272727272727" style="18" customWidth="1"/>
    <col min="28" max="28" width="8" style="18" customWidth="1"/>
    <col min="29" max="29" width="1.27272727272727" style="18" customWidth="1"/>
    <col min="30" max="30" width="7.18181818181818" style="18" customWidth="1"/>
    <col min="31" max="16384" width="9.18181818181818" style="18"/>
  </cols>
  <sheetData>
    <row r="1" spans="1:31" ht="7.5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32"/>
      <c r="AE1" s="32"/>
    </row>
    <row r="2" spans="1:31" ht="12.75">
      <c r="A2" s="77" t="s">
        <v>116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ht="12.75">
      <c r="A3" s="77" t="s">
        <v>117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12.75">
      <c r="A4" s="77" t="s">
        <v>118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4" ht="12.75">
      <c r="A5" s="77" t="s">
        <v>119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G5" s="45"/>
      <c r="AH5" s="45"/>
    </row>
    <row r="6" spans="1:34" ht="12.75">
      <c r="A6" s="77" t="s">
        <v>120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G6" s="45"/>
      <c r="AH6" s="45"/>
    </row>
    <row r="7" spans="1:29" ht="12.75">
      <c r="A7" s="77" t="s">
        <v>121</v>
      </c>
      <c r="B7" s="2"/>
      <c r="C7" s="2"/>
      <c r="D7" s="2"/>
      <c r="E7" s="2"/>
      <c r="F7" s="2"/>
      <c r="G7" s="2"/>
      <c r="H7" s="2"/>
      <c r="I7" s="2"/>
      <c r="J7" s="2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4"/>
      <c r="Y7" s="2"/>
      <c r="Z7" s="2"/>
      <c r="AA7" s="2"/>
      <c r="AB7" s="2"/>
      <c r="AC7" s="2"/>
    </row>
    <row r="8" spans="1:29" ht="12.75">
      <c r="A8" s="2"/>
      <c r="B8" s="5" t="s">
        <v>94</v>
      </c>
      <c r="C8" s="2"/>
      <c r="D8" s="2"/>
      <c r="E8" s="2"/>
      <c r="F8" s="2"/>
      <c r="G8" s="2"/>
      <c r="H8" s="2"/>
      <c r="I8" s="2"/>
      <c r="J8" s="2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2"/>
      <c r="Z8" s="2"/>
      <c r="AA8" s="2"/>
      <c r="AB8" s="2"/>
      <c r="AC8" s="2"/>
    </row>
    <row r="9" spans="1:33" ht="12.7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4"/>
      <c r="R9" s="2"/>
      <c r="S9" s="2"/>
      <c r="T9" s="2"/>
      <c r="U9" s="2"/>
      <c r="V9" s="2"/>
      <c r="W9" s="2"/>
      <c r="X9" s="4"/>
      <c r="Y9" s="2"/>
      <c r="Z9" s="2"/>
      <c r="AA9" s="2"/>
      <c r="AB9" s="2"/>
      <c r="AC9" s="2"/>
      <c r="AG9" s="44"/>
    </row>
    <row r="10" spans="1:29" ht="12.75">
      <c r="A10" s="2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"/>
      <c r="Y10" s="2"/>
      <c r="Z10" s="2"/>
      <c r="AA10" s="2"/>
      <c r="AB10" s="2"/>
      <c r="AC10" s="2"/>
    </row>
    <row r="11" spans="1:29" ht="12.75">
      <c r="A11" s="2"/>
      <c r="B11" s="2"/>
      <c r="C11" s="2"/>
      <c r="D11" s="2"/>
      <c r="E11" s="2"/>
      <c r="F11" s="2"/>
      <c r="G11" s="2"/>
      <c r="H11" s="2"/>
      <c r="I11" s="2"/>
      <c r="J11" s="2"/>
      <c r="M11" s="2"/>
      <c r="N11" s="2"/>
      <c r="O11" s="2"/>
      <c r="Q11" s="2"/>
      <c r="R11" s="2"/>
      <c r="S11" s="2"/>
      <c r="T11" s="2"/>
      <c r="U11" s="2"/>
      <c r="V11" s="2"/>
      <c r="W11" s="2"/>
      <c r="X11" s="4"/>
      <c r="Y11" s="2"/>
      <c r="Z11" s="2"/>
      <c r="AA11" s="2"/>
      <c r="AB11" s="2"/>
      <c r="AC11" s="2"/>
    </row>
    <row r="12" spans="1:29" ht="12.75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4"/>
      <c r="Y12" s="2"/>
      <c r="Z12" s="2"/>
      <c r="AA12" s="2"/>
      <c r="AB12" s="2"/>
      <c r="AC12" s="2"/>
    </row>
    <row r="13" spans="1:29" ht="13.5" thickBo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19"/>
      <c r="AA13" s="3"/>
      <c r="AB13" s="3"/>
      <c r="AC13" s="2"/>
    </row>
    <row r="14" spans="1:31" ht="12.75">
      <c r="A14" s="2"/>
      <c r="B14" s="6" t="s">
        <v>0</v>
      </c>
      <c r="C14" s="6" t="s">
        <v>1</v>
      </c>
      <c r="D14" s="6"/>
      <c r="E14" s="6" t="s">
        <v>2</v>
      </c>
      <c r="F14" s="6" t="s">
        <v>3</v>
      </c>
      <c r="G14" s="6" t="s">
        <v>4</v>
      </c>
      <c r="H14" s="6" t="s">
        <v>5</v>
      </c>
      <c r="I14" s="6" t="s">
        <v>6</v>
      </c>
      <c r="J14" s="6" t="s">
        <v>7</v>
      </c>
      <c r="K14" s="6" t="s">
        <v>8</v>
      </c>
      <c r="L14" s="6" t="s">
        <v>9</v>
      </c>
      <c r="M14" s="6" t="s">
        <v>10</v>
      </c>
      <c r="N14" s="6" t="s">
        <v>11</v>
      </c>
      <c r="O14" s="30"/>
      <c r="P14" s="6" t="s">
        <v>12</v>
      </c>
      <c r="Q14" s="6" t="s">
        <v>13</v>
      </c>
      <c r="R14" s="6" t="s">
        <v>14</v>
      </c>
      <c r="S14" s="6" t="s">
        <v>15</v>
      </c>
      <c r="T14" s="6" t="s">
        <v>16</v>
      </c>
      <c r="U14" s="6" t="s">
        <v>17</v>
      </c>
      <c r="V14" s="6" t="s">
        <v>18</v>
      </c>
      <c r="W14" s="6" t="s">
        <v>19</v>
      </c>
      <c r="X14" s="6" t="s">
        <v>20</v>
      </c>
      <c r="Y14" s="6" t="s">
        <v>21</v>
      </c>
      <c r="Z14" s="30"/>
      <c r="AA14" s="27" t="s">
        <v>77</v>
      </c>
      <c r="AB14" s="31" t="s">
        <v>78</v>
      </c>
      <c r="AC14" s="30"/>
      <c r="AD14" s="31" t="s">
        <v>80</v>
      </c>
      <c r="AE14" s="31" t="s">
        <v>81</v>
      </c>
    </row>
    <row r="15" spans="1:31" ht="12.7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"/>
    </row>
    <row r="16" spans="1:31" ht="26.25" customHeight="1">
      <c r="A16" s="75" t="s">
        <v>22</v>
      </c>
      <c r="B16" s="75" t="s">
        <v>23</v>
      </c>
      <c r="C16" s="75" t="s">
        <v>24</v>
      </c>
      <c r="D16" s="34"/>
      <c r="E16" s="74" t="s">
        <v>25</v>
      </c>
      <c r="F16" s="74"/>
      <c r="G16" s="74"/>
      <c r="H16" s="74"/>
      <c r="I16" s="74"/>
      <c r="J16" s="74"/>
      <c r="K16" s="74"/>
      <c r="L16" s="74"/>
      <c r="M16" s="74"/>
      <c r="N16" s="74"/>
      <c r="P16" s="74" t="s">
        <v>26</v>
      </c>
      <c r="Q16" s="74"/>
      <c r="R16" s="74"/>
      <c r="S16" s="74"/>
      <c r="T16" s="74"/>
      <c r="U16" s="74"/>
      <c r="V16" s="74"/>
      <c r="W16" s="74"/>
      <c r="X16" s="74"/>
      <c r="Y16" s="74"/>
      <c r="AA16" s="75" t="s">
        <v>27</v>
      </c>
      <c r="AB16" s="75"/>
      <c r="AD16" s="74" t="s">
        <v>76</v>
      </c>
      <c r="AE16" s="74"/>
    </row>
    <row r="17" spans="1:34" ht="37.5" customHeight="1" thickBot="1">
      <c r="A17" s="76"/>
      <c r="B17" s="76"/>
      <c r="C17" s="76"/>
      <c r="D17" s="35"/>
      <c r="E17" s="35" t="s">
        <v>28</v>
      </c>
      <c r="F17" s="35" t="s">
        <v>29</v>
      </c>
      <c r="G17" s="35" t="s">
        <v>30</v>
      </c>
      <c r="H17" s="35" t="s">
        <v>31</v>
      </c>
      <c r="I17" s="35" t="s">
        <v>32</v>
      </c>
      <c r="J17" s="35" t="s">
        <v>73</v>
      </c>
      <c r="K17" s="35" t="s">
        <v>75</v>
      </c>
      <c r="L17" s="36" t="s">
        <v>88</v>
      </c>
      <c r="M17" s="35" t="s">
        <v>33</v>
      </c>
      <c r="N17" s="26" t="s">
        <v>34</v>
      </c>
      <c r="O17" s="36"/>
      <c r="P17" s="26" t="s">
        <v>28</v>
      </c>
      <c r="Q17" s="26" t="s">
        <v>29</v>
      </c>
      <c r="R17" s="26" t="s">
        <v>30</v>
      </c>
      <c r="S17" s="26" t="s">
        <v>31</v>
      </c>
      <c r="T17" s="26" t="s">
        <v>32</v>
      </c>
      <c r="U17" s="26" t="s">
        <v>73</v>
      </c>
      <c r="V17" s="26" t="s">
        <v>75</v>
      </c>
      <c r="W17" s="26" t="s">
        <v>88</v>
      </c>
      <c r="X17" s="26" t="s">
        <v>33</v>
      </c>
      <c r="Y17" s="26" t="s">
        <v>34</v>
      </c>
      <c r="Z17" s="35"/>
      <c r="AA17" s="26" t="s">
        <v>82</v>
      </c>
      <c r="AB17" s="26" t="s">
        <v>83</v>
      </c>
      <c r="AC17" s="32"/>
      <c r="AD17" s="35" t="s">
        <v>84</v>
      </c>
      <c r="AE17" s="35" t="s">
        <v>85</v>
      </c>
      <c r="AH17" s="2"/>
    </row>
    <row r="18" spans="1:34" ht="12.75">
      <c r="A18" s="6" t="s">
        <v>35</v>
      </c>
      <c r="B18" s="7" t="s">
        <v>36</v>
      </c>
      <c r="C18" s="7" t="s">
        <v>36</v>
      </c>
      <c r="D18" s="7"/>
      <c r="E18" s="9"/>
      <c r="F18" s="9"/>
      <c r="G18" s="9"/>
      <c r="H18" s="9"/>
      <c r="I18" s="9"/>
      <c r="J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D18" s="9"/>
      <c r="AE18" s="9"/>
      <c r="AH18" s="2"/>
    </row>
    <row r="19" spans="1:34" ht="12.75">
      <c r="A19" s="6" t="s">
        <v>37</v>
      </c>
      <c r="B19" s="10">
        <v>50</v>
      </c>
      <c r="C19" s="22">
        <v>11000</v>
      </c>
      <c r="D19" s="10"/>
      <c r="E19" s="41">
        <f>$K$26+ROUND(($B19*$K$27),2)+ROUND(($C19*($K$28/100)),2)</f>
        <v>597.42000000000007</v>
      </c>
      <c r="F19" s="41">
        <f>+ROUND($C19*($K$29/100),2)</f>
        <v>337.70</v>
      </c>
      <c r="G19" s="41">
        <f>ROUND($C19*$K$30/100,2)</f>
        <v>9.35</v>
      </c>
      <c r="H19" s="41">
        <f>ROUND(($C19*$K$31)/100,2)</f>
        <v>80.63</v>
      </c>
      <c r="I19" s="41">
        <f>+ROUND($C19*($K$32/100),2)</f>
        <v>145.41999999999999</v>
      </c>
      <c r="J19" s="41">
        <f>ROUND($B19*$K$33,2)</f>
        <v>4.50</v>
      </c>
      <c r="K19" s="41">
        <f>ROUND($C19*($K$34/100),2)</f>
        <v>67.099999999999994</v>
      </c>
      <c r="L19" s="41">
        <f>ROUND($C19*($K$35/100),2)</f>
        <v>0</v>
      </c>
      <c r="M19" s="41">
        <f>ROUND(SUM($E19:$L19)*0.02566,2)</f>
        <v>31.87</v>
      </c>
      <c r="N19" s="41">
        <f>SUM(E19:M19)</f>
        <v>1273.99</v>
      </c>
      <c r="O19" s="41"/>
      <c r="P19" s="41">
        <f>$P$26+ROUND(($B19*$P$27),2)+ROUND(($C19*($P$28/100)),2)</f>
        <v>927.51</v>
      </c>
      <c r="Q19" s="41">
        <f>+ROUND($C19*($P$29/100),2)</f>
        <v>274.23</v>
      </c>
      <c r="R19" s="41">
        <f>ROUND($B19*$P$30,2)</f>
        <v>24</v>
      </c>
      <c r="S19" s="41">
        <f>ROUND($B19*$P$31,2)</f>
        <v>44</v>
      </c>
      <c r="T19" s="41">
        <f>+ROUND($C19*($P$32/100),2)</f>
        <v>35.64</v>
      </c>
      <c r="U19" s="41">
        <f>ROUND($B19*$P$33,2)</f>
        <v>34</v>
      </c>
      <c r="V19" s="41">
        <f>+ROUND($C19*($P$34/100),2)</f>
        <v>67.099999999999994</v>
      </c>
      <c r="W19" s="41">
        <f>+ROUND($B19*$P$35,2)</f>
        <v>249.50</v>
      </c>
      <c r="X19" s="41">
        <f>ROUND(SUM($P19:$W19)*0.025641,2)</f>
        <v>42.46</v>
      </c>
      <c r="Y19" s="41">
        <f>SUM(P19:X19)</f>
        <v>1698.44</v>
      </c>
      <c r="Z19" s="41"/>
      <c r="AA19" s="41">
        <f>+Y19-N19</f>
        <v>424.45000000000005</v>
      </c>
      <c r="AB19" s="40">
        <f>+AA19/N19</f>
        <v>0.33316588042292328</v>
      </c>
      <c r="AD19" s="12">
        <f>+N19/$C19*100</f>
        <v>11.581727272727273</v>
      </c>
      <c r="AE19" s="12">
        <f>+Y19/$C19*100</f>
        <v>15.440363636363639</v>
      </c>
      <c r="AH19" s="2"/>
    </row>
    <row r="20" spans="1:34" ht="12.75">
      <c r="A20" s="6" t="s">
        <v>38</v>
      </c>
      <c r="B20" s="21">
        <v>50</v>
      </c>
      <c r="C20" s="22">
        <v>32850</v>
      </c>
      <c r="D20" s="10"/>
      <c r="E20" s="41">
        <f>$K$26+ROUND(($B20*$K$27),2)+ROUND(($C20*($K$28/100)),2)</f>
        <v>990.72</v>
      </c>
      <c r="F20" s="41">
        <f>+ROUND($C20*($K$29/100),2)</f>
        <v>1008.50</v>
      </c>
      <c r="G20" s="41">
        <f>ROUND($C20*$K$30/100,2)</f>
        <v>27.92</v>
      </c>
      <c r="H20" s="41">
        <f>ROUND(($C20*$K$31)/100,2)</f>
        <v>240.79</v>
      </c>
      <c r="I20" s="41">
        <f>+ROUND($C20*($K$32/100),2)</f>
        <v>434.28</v>
      </c>
      <c r="J20" s="41">
        <f>ROUND($B20*$K$33,2)</f>
        <v>4.50</v>
      </c>
      <c r="K20" s="41">
        <f>ROUND($C20*($K$34/100),2)</f>
        <v>200.39</v>
      </c>
      <c r="L20" s="41">
        <f t="shared" si="0" ref="L20:L23">ROUND($C20*($K$35/100),2)</f>
        <v>0</v>
      </c>
      <c r="M20" s="41">
        <f t="shared" si="1" ref="M20:M23">ROUND(SUM($E20:$L20)*0.02566,2)</f>
        <v>74.599999999999994</v>
      </c>
      <c r="N20" s="41">
        <f>SUM(E20:M20)</f>
        <v>2981.70</v>
      </c>
      <c r="O20" s="41"/>
      <c r="P20" s="41">
        <f>$P$26+ROUND(($B20*$P$27),2)+ROUND(($C20*($P$28/100)),2)</f>
        <v>1512.65</v>
      </c>
      <c r="Q20" s="41">
        <f>+ROUND($C20*($P$29/100),2)</f>
        <v>818.95</v>
      </c>
      <c r="R20" s="41">
        <f>ROUND($B20*$P$30,2)</f>
        <v>24</v>
      </c>
      <c r="S20" s="41">
        <f>ROUND($B20*$P$31,2)</f>
        <v>44</v>
      </c>
      <c r="T20" s="41">
        <f>+ROUND($C20*($P$32/100),2)</f>
        <v>106.43</v>
      </c>
      <c r="U20" s="41">
        <f>ROUND($B20*$P$33,2)</f>
        <v>34</v>
      </c>
      <c r="V20" s="41">
        <f t="shared" si="2" ref="V20:V23">+ROUND($C20*($P$34/100),2)</f>
        <v>200.39</v>
      </c>
      <c r="W20" s="41">
        <f>+ROUND($B20*$P$35,2)</f>
        <v>249.50</v>
      </c>
      <c r="X20" s="41">
        <f>ROUND(SUM($P20:$W20)*0.025641,2)</f>
        <v>76.66</v>
      </c>
      <c r="Y20" s="41">
        <f>SUM(P20:X20)</f>
        <v>3066.58</v>
      </c>
      <c r="Z20" s="41"/>
      <c r="AA20" s="41">
        <f>+Y20-N20</f>
        <v>84.880000000000109</v>
      </c>
      <c r="AB20" s="40">
        <f>+AA20/N20</f>
        <v>0.028466981923064062</v>
      </c>
      <c r="AD20" s="12">
        <f>+N20/$C20*100</f>
        <v>9.0767123287671225</v>
      </c>
      <c r="AE20" s="12">
        <f>+Y20/$C20*100</f>
        <v>9.3350989345509898</v>
      </c>
      <c r="AH20" s="2"/>
    </row>
    <row r="21" spans="1:34" ht="12.75">
      <c r="A21" s="6" t="s">
        <v>39</v>
      </c>
      <c r="B21" s="21">
        <v>250</v>
      </c>
      <c r="C21" s="22">
        <v>73000</v>
      </c>
      <c r="D21" s="10"/>
      <c r="E21" s="41">
        <f>$K$26+ROUND(($B21*$K$27),2)+ROUND(($C21*($K$28/100)),2)</f>
        <v>3123.42</v>
      </c>
      <c r="F21" s="41">
        <f>+ROUND($C21*($K$29/100),2)</f>
        <v>2241.10</v>
      </c>
      <c r="G21" s="41">
        <f>ROUND($C21*$K$30/100,2)</f>
        <v>62.05</v>
      </c>
      <c r="H21" s="41">
        <f>ROUND(($C21*$K$31)/100,2)</f>
        <v>535.09</v>
      </c>
      <c r="I21" s="41">
        <f>+ROUND($C21*($K$32/100),2)</f>
        <v>965.06</v>
      </c>
      <c r="J21" s="41">
        <f>ROUND($B21*$K$33,2)</f>
        <v>22.50</v>
      </c>
      <c r="K21" s="41">
        <f>ROUND($C21*($K$34/100),2)</f>
        <v>445.30</v>
      </c>
      <c r="L21" s="41">
        <f t="shared" si="0"/>
        <v>0</v>
      </c>
      <c r="M21" s="41">
        <f t="shared" si="1"/>
        <v>189.74</v>
      </c>
      <c r="N21" s="41">
        <f>SUM(E21:M21)</f>
        <v>7584.2600000000011</v>
      </c>
      <c r="O21" s="41"/>
      <c r="P21" s="41">
        <f>$P$26+ROUND(($B21*$P$27),2)+ROUND(($C21*($P$28/100)),2)</f>
        <v>4991.87</v>
      </c>
      <c r="Q21" s="41">
        <f>+ROUND($C21*($P$29/100),2)</f>
        <v>1819.89</v>
      </c>
      <c r="R21" s="41">
        <f>ROUND($B21*$P$30,2)</f>
        <v>120</v>
      </c>
      <c r="S21" s="41">
        <f>ROUND($B21*$P$31,2)</f>
        <v>220</v>
      </c>
      <c r="T21" s="41">
        <f>+ROUND($C21*($P$32/100),2)</f>
        <v>236.52</v>
      </c>
      <c r="U21" s="41">
        <f>ROUND($B21*$P$33,2)</f>
        <v>170</v>
      </c>
      <c r="V21" s="41">
        <f t="shared" si="2"/>
        <v>445.30</v>
      </c>
      <c r="W21" s="41">
        <f>+ROUND($B21*$P$35,2)</f>
        <v>1247.50</v>
      </c>
      <c r="X21" s="41">
        <f>ROUND(SUM($P21:$W21)*0.025641,2)</f>
        <v>237.21</v>
      </c>
      <c r="Y21" s="41">
        <f>SUM(P21:X21)</f>
        <v>9488.2900000000009</v>
      </c>
      <c r="Z21" s="41"/>
      <c r="AA21" s="41">
        <f>+Y21-N21</f>
        <v>1904.0299999999998</v>
      </c>
      <c r="AB21" s="40">
        <f>+AA21/N21</f>
        <v>0.25105020133803424</v>
      </c>
      <c r="AD21" s="12">
        <f>+N21/$C21*100</f>
        <v>10.389397260273976</v>
      </c>
      <c r="AE21" s="12">
        <f>+Y21/$C21*100</f>
        <v>12.997657534246576</v>
      </c>
      <c r="AH21" s="2"/>
    </row>
    <row r="22" spans="1:34" ht="12.75">
      <c r="A22" s="6" t="s">
        <v>40</v>
      </c>
      <c r="B22" s="21">
        <v>250</v>
      </c>
      <c r="C22" s="22">
        <v>109500</v>
      </c>
      <c r="D22" s="10"/>
      <c r="E22" s="41">
        <f>$K$26+ROUND(($B22*$K$27),2)+ROUND(($C22*($K$28/100)),2)</f>
        <v>3780.42</v>
      </c>
      <c r="F22" s="41">
        <f>+ROUND($C22*($K$29/100),2)</f>
        <v>3361.65</v>
      </c>
      <c r="G22" s="41">
        <f>ROUND($C22*$K$30/100,2)</f>
        <v>93.08</v>
      </c>
      <c r="H22" s="41">
        <f>ROUND(($C22*$K$31)/100,2)</f>
        <v>802.64</v>
      </c>
      <c r="I22" s="41">
        <f>+ROUND($C22*($K$32/100),2)</f>
        <v>1447.59</v>
      </c>
      <c r="J22" s="41">
        <f>ROUND($B22*$K$33,2)</f>
        <v>22.50</v>
      </c>
      <c r="K22" s="41">
        <f>ROUND($C22*($K$34/100),2)</f>
        <v>667.95</v>
      </c>
      <c r="L22" s="41">
        <f t="shared" si="0"/>
        <v>0</v>
      </c>
      <c r="M22" s="41">
        <f t="shared" si="1"/>
        <v>261.11</v>
      </c>
      <c r="N22" s="41">
        <f>SUM(E22:M22)</f>
        <v>10436.94</v>
      </c>
      <c r="O22" s="41"/>
      <c r="P22" s="41">
        <f>$P$26+ROUND(($B22*$P$27),2)+ROUND(($C22*($P$28/100)),2)</f>
        <v>5969.34</v>
      </c>
      <c r="Q22" s="41">
        <f>+ROUND($C22*($P$29/100),2)</f>
        <v>2729.84</v>
      </c>
      <c r="R22" s="41">
        <f>ROUND($B22*$P$30,2)</f>
        <v>120</v>
      </c>
      <c r="S22" s="41">
        <f>ROUND($B22*$P$31,2)</f>
        <v>220</v>
      </c>
      <c r="T22" s="41">
        <f>+ROUND($C22*($P$32/100),2)</f>
        <v>354.78</v>
      </c>
      <c r="U22" s="41">
        <f>ROUND($B22*$P$33,2)</f>
        <v>170</v>
      </c>
      <c r="V22" s="41">
        <f t="shared" si="2"/>
        <v>667.95</v>
      </c>
      <c r="W22" s="41">
        <f>+ROUND($B22*$P$35,2)</f>
        <v>1247.50</v>
      </c>
      <c r="X22" s="41">
        <f>ROUND(SUM($P22:$W22)*0.025641,2)</f>
        <v>294.33999999999997</v>
      </c>
      <c r="Y22" s="41">
        <f>SUM(P22:X22)</f>
        <v>11773.750000000002</v>
      </c>
      <c r="Z22" s="41"/>
      <c r="AA22" s="41">
        <f>+Y22-N22</f>
        <v>1336.8100000000013</v>
      </c>
      <c r="AB22" s="40">
        <f>+AA22/N22</f>
        <v>0.12808447686774105</v>
      </c>
      <c r="AD22" s="12">
        <f>+N22/$C22*100</f>
        <v>9.5314520547945225</v>
      </c>
      <c r="AE22" s="12">
        <f>+Y22/$C22*100</f>
        <v>10.752283105022832</v>
      </c>
      <c r="AH22" s="2"/>
    </row>
    <row r="23" spans="1:34" ht="12.75">
      <c r="A23" s="6" t="s">
        <v>41</v>
      </c>
      <c r="B23" s="21">
        <v>250</v>
      </c>
      <c r="C23" s="22">
        <v>164250</v>
      </c>
      <c r="D23" s="10"/>
      <c r="E23" s="41">
        <f>$K$26+ROUND(($B23*$K$27),2)+ROUND(($C23*($K$28/100)),2)</f>
        <v>4765.92</v>
      </c>
      <c r="F23" s="41">
        <f>+ROUND($C23*($K$29/100),2)</f>
        <v>5042.4799999999996</v>
      </c>
      <c r="G23" s="41">
        <f>ROUND($C23*$K$30/100,2)</f>
        <v>139.61000000000001</v>
      </c>
      <c r="H23" s="41">
        <f>ROUND(($C23*$K$31)/100,2)</f>
        <v>1203.95</v>
      </c>
      <c r="I23" s="41">
        <f>+ROUND($C23*($K$32/100),2)</f>
        <v>2171.39</v>
      </c>
      <c r="J23" s="41">
        <f>ROUND($B23*$K$33,2)</f>
        <v>22.50</v>
      </c>
      <c r="K23" s="41">
        <f>ROUND($C23*($K$34/100),2)</f>
        <v>1001.93</v>
      </c>
      <c r="L23" s="41">
        <f t="shared" si="0"/>
        <v>0</v>
      </c>
      <c r="M23" s="41">
        <f t="shared" si="1"/>
        <v>368.16</v>
      </c>
      <c r="N23" s="41">
        <f>SUM(E23:M23)</f>
        <v>14715.94</v>
      </c>
      <c r="O23" s="41"/>
      <c r="P23" s="41">
        <f>$P$26+ROUND(($B23*$P$27),2)+ROUND(($C23*($P$28/100)),2)</f>
        <v>7435.5499999999993</v>
      </c>
      <c r="Q23" s="41">
        <f>+ROUND($C23*($P$29/100),2)</f>
        <v>4094.75</v>
      </c>
      <c r="R23" s="41">
        <f>ROUND($B23*$P$30,2)</f>
        <v>120</v>
      </c>
      <c r="S23" s="41">
        <f>ROUND($B23*$P$31,2)</f>
        <v>220</v>
      </c>
      <c r="T23" s="41">
        <f>+ROUND($C23*($P$32/100),2)</f>
        <v>532.16999999999996</v>
      </c>
      <c r="U23" s="41">
        <f>ROUND($B23*$P$33,2)</f>
        <v>170</v>
      </c>
      <c r="V23" s="41">
        <f t="shared" si="2"/>
        <v>1001.93</v>
      </c>
      <c r="W23" s="41">
        <f>+ROUND($B23*$P$35,2)</f>
        <v>1247.50</v>
      </c>
      <c r="X23" s="41">
        <f>ROUND(SUM($P23:$W23)*0.025641,2)</f>
        <v>380.05</v>
      </c>
      <c r="Y23" s="41">
        <f>SUM(P23:X23)</f>
        <v>15201.949999999999</v>
      </c>
      <c r="Z23" s="41"/>
      <c r="AA23" s="41">
        <f>+Y23-N23</f>
        <v>486.0099999999984</v>
      </c>
      <c r="AB23" s="40">
        <f>+AA23/N23</f>
        <v>0.033026092794615797</v>
      </c>
      <c r="AD23" s="12">
        <f>+N23/$C23*100</f>
        <v>8.9594764079147637</v>
      </c>
      <c r="AE23" s="12">
        <f>+Y23/$C23*100</f>
        <v>9.2553729071537276</v>
      </c>
      <c r="AH23" s="2"/>
    </row>
    <row r="24" spans="1:31" ht="12.75">
      <c r="A24" s="6" t="s">
        <v>42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9"/>
      <c r="W24" s="29"/>
      <c r="X24" s="2"/>
      <c r="Y24" s="2"/>
      <c r="Z24" s="2"/>
      <c r="AA24" s="2"/>
      <c r="AB24" s="2"/>
      <c r="AC24" s="2"/>
      <c r="AD24" s="2"/>
      <c r="AE24" s="2"/>
    </row>
    <row r="25" spans="1:31" ht="12.75">
      <c r="A25" s="6" t="s">
        <v>43</v>
      </c>
      <c r="B25" s="13" t="s">
        <v>36</v>
      </c>
      <c r="C25" s="13"/>
      <c r="D25" s="13"/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/>
      <c r="K25" s="14" t="s">
        <v>51</v>
      </c>
      <c r="L25" s="14"/>
      <c r="M25" s="14"/>
      <c r="N25" s="8"/>
      <c r="O25" s="8"/>
      <c r="P25" s="14" t="s">
        <v>52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/>
      <c r="X25" s="8">
        <v>0</v>
      </c>
      <c r="Y25" s="8"/>
      <c r="Z25" s="8">
        <v>0</v>
      </c>
      <c r="AA25" s="11">
        <v>0</v>
      </c>
      <c r="AB25" s="11"/>
      <c r="AC25" s="12">
        <v>0</v>
      </c>
      <c r="AD25" s="12">
        <v>0</v>
      </c>
      <c r="AE25" s="2"/>
    </row>
    <row r="26" spans="1:31" ht="12.75">
      <c r="A26" s="6" t="s">
        <v>44</v>
      </c>
      <c r="B26" s="10" t="s">
        <v>36</v>
      </c>
      <c r="C26" s="10" t="s">
        <v>54</v>
      </c>
      <c r="D26" s="10"/>
      <c r="E26" s="8"/>
      <c r="F26" s="8"/>
      <c r="G26" s="8">
        <v>0</v>
      </c>
      <c r="H26" s="8">
        <v>0</v>
      </c>
      <c r="I26" s="8"/>
      <c r="J26" s="8"/>
      <c r="K26" s="15">
        <v>46.92</v>
      </c>
      <c r="L26" s="15"/>
      <c r="M26" s="15"/>
      <c r="N26" s="8">
        <v>0</v>
      </c>
      <c r="O26" s="8"/>
      <c r="P26" s="15">
        <v>31.93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/>
      <c r="X26" s="8">
        <v>0</v>
      </c>
      <c r="Y26" s="8"/>
      <c r="Z26" s="8">
        <v>0</v>
      </c>
      <c r="AA26" s="11">
        <v>0</v>
      </c>
      <c r="AB26" s="11"/>
      <c r="AC26" s="12">
        <v>0</v>
      </c>
      <c r="AD26" s="12">
        <v>0</v>
      </c>
      <c r="AE26" s="2"/>
    </row>
    <row r="27" spans="1:31" ht="12.75">
      <c r="A27" s="6" t="s">
        <v>45</v>
      </c>
      <c r="B27" s="10" t="s">
        <v>36</v>
      </c>
      <c r="C27" s="10" t="s">
        <v>71</v>
      </c>
      <c r="D27" s="10"/>
      <c r="E27" s="8"/>
      <c r="F27" s="8"/>
      <c r="G27" s="8"/>
      <c r="H27" s="38" t="s">
        <v>72</v>
      </c>
      <c r="I27" s="8"/>
      <c r="J27" s="8"/>
      <c r="K27" s="15">
        <v>7.05</v>
      </c>
      <c r="L27" s="15"/>
      <c r="M27" s="15"/>
      <c r="N27" s="8">
        <v>0</v>
      </c>
      <c r="O27" s="8"/>
      <c r="P27" s="15">
        <v>12.02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/>
      <c r="X27" s="8">
        <v>0</v>
      </c>
      <c r="Y27" s="8"/>
      <c r="Z27" s="8">
        <v>0</v>
      </c>
      <c r="AA27" s="11">
        <v>0</v>
      </c>
      <c r="AB27" s="11"/>
      <c r="AC27" s="12">
        <v>0</v>
      </c>
      <c r="AD27" s="12">
        <v>0</v>
      </c>
      <c r="AE27" s="2"/>
    </row>
    <row r="28" spans="1:31" ht="12.75">
      <c r="A28" s="6" t="s">
        <v>46</v>
      </c>
      <c r="B28" s="10" t="s">
        <v>36</v>
      </c>
      <c r="C28" s="10" t="s">
        <v>56</v>
      </c>
      <c r="D28" s="10"/>
      <c r="E28" s="8"/>
      <c r="F28" s="8"/>
      <c r="G28" s="8"/>
      <c r="H28" s="16" t="s">
        <v>86</v>
      </c>
      <c r="I28" s="8"/>
      <c r="J28" s="8"/>
      <c r="K28" s="23">
        <v>1.7999999999999998</v>
      </c>
      <c r="L28" s="23"/>
      <c r="M28" s="23"/>
      <c r="N28" s="8">
        <v>0</v>
      </c>
      <c r="O28" s="8"/>
      <c r="P28" s="23">
        <v>2.6780000000000004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/>
      <c r="X28" s="8">
        <v>0</v>
      </c>
      <c r="Y28" s="8"/>
      <c r="Z28" s="8">
        <v>0</v>
      </c>
      <c r="AA28" s="11">
        <v>0</v>
      </c>
      <c r="AB28" s="11"/>
      <c r="AC28" s="12">
        <v>0</v>
      </c>
      <c r="AD28" s="12">
        <v>0</v>
      </c>
      <c r="AE28" s="2"/>
    </row>
    <row r="29" spans="1:31" ht="12.75">
      <c r="A29" s="6" t="s">
        <v>47</v>
      </c>
      <c r="B29" s="10" t="s">
        <v>36</v>
      </c>
      <c r="C29" s="10" t="s">
        <v>60</v>
      </c>
      <c r="D29" s="10"/>
      <c r="E29" s="8"/>
      <c r="F29" s="8"/>
      <c r="G29" s="8"/>
      <c r="H29" s="16" t="s">
        <v>86</v>
      </c>
      <c r="I29" s="8"/>
      <c r="J29" s="8"/>
      <c r="K29" s="23">
        <v>3.0700000000000003</v>
      </c>
      <c r="L29" s="23"/>
      <c r="M29" s="23"/>
      <c r="N29" s="8">
        <v>0</v>
      </c>
      <c r="O29" s="8"/>
      <c r="P29" s="23">
        <v>2.4929999999999999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/>
      <c r="X29" s="8">
        <v>0</v>
      </c>
      <c r="Y29" s="8"/>
      <c r="Z29" s="8">
        <v>0</v>
      </c>
      <c r="AA29" s="11">
        <v>0</v>
      </c>
      <c r="AB29" s="11"/>
      <c r="AC29" s="12">
        <v>0</v>
      </c>
      <c r="AD29" s="12">
        <v>0</v>
      </c>
      <c r="AE29" s="2"/>
    </row>
    <row r="30" spans="1:31" ht="12.75">
      <c r="A30" s="6" t="s">
        <v>48</v>
      </c>
      <c r="B30" s="10" t="s">
        <v>36</v>
      </c>
      <c r="C30" s="10" t="s">
        <v>64</v>
      </c>
      <c r="D30" s="10"/>
      <c r="E30" s="8"/>
      <c r="F30" s="8"/>
      <c r="G30" s="8"/>
      <c r="H30" s="16" t="s">
        <v>87</v>
      </c>
      <c r="I30" s="8"/>
      <c r="J30" s="8"/>
      <c r="K30" s="23">
        <v>0.085</v>
      </c>
      <c r="L30" s="15"/>
      <c r="M30" s="15"/>
      <c r="N30" s="8">
        <v>0</v>
      </c>
      <c r="O30" s="8"/>
      <c r="P30" s="15">
        <v>0.48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/>
      <c r="X30" s="8">
        <v>0</v>
      </c>
      <c r="Y30" s="8"/>
      <c r="Z30" s="8">
        <v>0</v>
      </c>
      <c r="AA30" s="11">
        <v>0</v>
      </c>
      <c r="AB30" s="11"/>
      <c r="AC30" s="12">
        <v>0</v>
      </c>
      <c r="AD30" s="12">
        <v>0</v>
      </c>
      <c r="AE30" s="2"/>
    </row>
    <row r="31" spans="1:29" ht="12.75">
      <c r="A31" s="6" t="s">
        <v>49</v>
      </c>
      <c r="B31" s="10" t="s">
        <v>36</v>
      </c>
      <c r="C31" s="10" t="s">
        <v>66</v>
      </c>
      <c r="D31" s="10"/>
      <c r="E31" s="8"/>
      <c r="F31" s="8"/>
      <c r="G31" s="8"/>
      <c r="H31" s="16" t="s">
        <v>87</v>
      </c>
      <c r="I31" s="8"/>
      <c r="J31" s="8"/>
      <c r="K31" s="33">
        <v>0.73299999999999998</v>
      </c>
      <c r="L31" s="23"/>
      <c r="M31" s="8">
        <v>0</v>
      </c>
      <c r="N31" s="8"/>
      <c r="P31" s="15">
        <v>0.88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/>
      <c r="X31" s="8">
        <v>0</v>
      </c>
      <c r="Y31" s="11">
        <v>0</v>
      </c>
      <c r="Z31" s="11"/>
      <c r="AA31" s="12">
        <v>0</v>
      </c>
      <c r="AB31" s="12">
        <v>0</v>
      </c>
      <c r="AC31" s="2"/>
    </row>
    <row r="32" spans="1:29" ht="12.75">
      <c r="A32" s="6" t="s">
        <v>50</v>
      </c>
      <c r="B32" s="10" t="s">
        <v>36</v>
      </c>
      <c r="C32" s="10" t="s">
        <v>68</v>
      </c>
      <c r="D32" s="10"/>
      <c r="E32" s="15"/>
      <c r="F32" s="15"/>
      <c r="G32" s="15"/>
      <c r="H32" s="16" t="s">
        <v>86</v>
      </c>
      <c r="I32" s="15"/>
      <c r="J32" s="15"/>
      <c r="K32" s="33">
        <v>1.3220000000000001</v>
      </c>
      <c r="L32" s="25"/>
      <c r="M32" s="25"/>
      <c r="N32" s="25"/>
      <c r="O32" s="28">
        <v>0</v>
      </c>
      <c r="P32" s="23">
        <v>0.32399999999999995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/>
      <c r="X32" s="8">
        <v>0</v>
      </c>
      <c r="Y32" s="11">
        <v>0</v>
      </c>
      <c r="Z32" s="11"/>
      <c r="AA32" s="12">
        <v>0</v>
      </c>
      <c r="AB32" s="12">
        <v>0</v>
      </c>
      <c r="AC32" s="2"/>
    </row>
    <row r="33" spans="1:29" ht="12.75">
      <c r="A33" s="6" t="s">
        <v>53</v>
      </c>
      <c r="B33" s="10" t="s">
        <v>36</v>
      </c>
      <c r="C33" s="10" t="s">
        <v>74</v>
      </c>
      <c r="D33" s="2"/>
      <c r="E33" s="2"/>
      <c r="F33" s="2"/>
      <c r="G33" s="2"/>
      <c r="H33" s="16" t="s">
        <v>72</v>
      </c>
      <c r="I33" s="2"/>
      <c r="J33" s="2"/>
      <c r="K33" s="43">
        <v>0.09</v>
      </c>
      <c r="L33" s="23"/>
      <c r="M33" s="8"/>
      <c r="N33" s="8"/>
      <c r="P33" s="15">
        <v>0.68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/>
      <c r="X33" s="8">
        <v>0</v>
      </c>
      <c r="Y33" s="11">
        <v>0</v>
      </c>
      <c r="Z33" s="11"/>
      <c r="AA33" s="12">
        <v>0</v>
      </c>
      <c r="AB33" s="12">
        <v>0</v>
      </c>
      <c r="AC33" s="2"/>
    </row>
    <row r="34" spans="1:29" ht="12.75">
      <c r="A34" s="6" t="s">
        <v>55</v>
      </c>
      <c r="B34" s="2"/>
      <c r="C34" s="10" t="s">
        <v>79</v>
      </c>
      <c r="D34" s="1"/>
      <c r="E34" s="2"/>
      <c r="F34" s="2"/>
      <c r="G34" s="2"/>
      <c r="H34" s="16" t="s">
        <v>86</v>
      </c>
      <c r="I34" s="2"/>
      <c r="J34" s="2"/>
      <c r="K34" s="33">
        <v>0.61</v>
      </c>
      <c r="L34" s="2"/>
      <c r="M34" s="2"/>
      <c r="N34" s="2"/>
      <c r="O34" s="2"/>
      <c r="P34" s="28">
        <v>0.61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2.75">
      <c r="A35" s="6" t="s">
        <v>57</v>
      </c>
      <c r="B35" s="2"/>
      <c r="C35" s="2" t="s">
        <v>89</v>
      </c>
      <c r="H35" s="16" t="s">
        <v>72</v>
      </c>
      <c r="K35" s="48">
        <v>0</v>
      </c>
      <c r="L35" s="23"/>
      <c r="M35" s="8">
        <v>0</v>
      </c>
      <c r="N35" s="8"/>
      <c r="O35" s="23"/>
      <c r="P35" s="15">
        <v>4.99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2.75">
      <c r="A36" s="6" t="s">
        <v>58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2.75">
      <c r="A37" s="6" t="s">
        <v>59</v>
      </c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2.75">
      <c r="A38" s="6" t="s">
        <v>61</v>
      </c>
      <c r="B38" s="2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2.75">
      <c r="A39" s="6" t="s">
        <v>62</v>
      </c>
      <c r="B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2.75">
      <c r="A40" s="6" t="s">
        <v>63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2.75">
      <c r="A41" s="6" t="s">
        <v>65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2.75">
      <c r="A42" s="6" t="s">
        <v>67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2.75">
      <c r="A43" s="6" t="s">
        <v>69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2.75">
      <c r="A44" s="6" t="s">
        <v>70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31" ht="12.75">
      <c r="A45" s="6" t="s">
        <v>90</v>
      </c>
      <c r="B45" s="19"/>
      <c r="C45" s="37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37"/>
      <c r="AD45" s="37"/>
      <c r="AE45" s="37"/>
    </row>
    <row r="46" ht="12.75">
      <c r="A46" s="6" t="s">
        <v>91</v>
      </c>
    </row>
    <row r="47" spans="1:3" ht="12.75">
      <c r="A47" s="6" t="s">
        <v>92</v>
      </c>
      <c r="C47" s="42"/>
    </row>
    <row r="48" spans="1:3" ht="12.75">
      <c r="A48" s="6">
        <v>31</v>
      </c>
      <c r="C48" s="19"/>
    </row>
    <row r="49" spans="1:31" ht="13.5" thickBo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32"/>
      <c r="AC49" s="32"/>
      <c r="AD49" s="32"/>
      <c r="AE49" s="32"/>
    </row>
    <row r="50" ht="5.25" customHeight="1"/>
    <row r="51" s="2" customFormat="1" ht="12">
      <c r="AE51" s="39" t="s">
        <v>93</v>
      </c>
    </row>
  </sheetData>
  <mergeCells count="7">
    <mergeCell ref="AD16:AE16"/>
    <mergeCell ref="A16:A17"/>
    <mergeCell ref="B16:B17"/>
    <mergeCell ref="C16:C17"/>
    <mergeCell ref="AA16:AB16"/>
    <mergeCell ref="E16:N16"/>
    <mergeCell ref="P16:Y16"/>
  </mergeCells>
  <pageMargins left="0.5" right="0.676666666666667" top="0.75" bottom="0.5" header="0.6" footer="3"/>
  <pageSetup orientation="landscape" scale="58" r:id="rId1"/>
  <headerFooter>
    <oddHeader>&amp;L&amp;"Arial,Regular"&amp;10 Schedule: A-2 (with RSAM)&amp;C&amp;"Arial,Regular"&amp;10 FULL REVENUE REQUIREMENTS BILL COMPARISON - TYPICAL MONTHLY BILLS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6F94B-3852-403E-A9DD-5CAFAA5FE357}">
  <dimension ref="A2:J20"/>
  <sheetViews>
    <sheetView tabSelected="1" view="pageBreakPreview" zoomScale="145" zoomScaleSheetLayoutView="145" workbookViewId="0" topLeftCell="A1">
      <selection pane="topLeft" activeCell="A1" sqref="A1"/>
    </sheetView>
  </sheetViews>
  <sheetFormatPr defaultColWidth="8.72727272727273" defaultRowHeight="15"/>
  <cols>
    <col min="1" max="1" width="3.54545454545455" style="50" customWidth="1"/>
    <col min="2" max="2" width="18.5454545454545" style="50" bestFit="1" customWidth="1"/>
    <col min="3" max="3" width="22.2727272727273" style="50" customWidth="1"/>
    <col min="4" max="4" width="18.4545454545455" style="50" customWidth="1"/>
    <col min="5" max="5" width="20.7272727272727" style="50" customWidth="1"/>
    <col min="6" max="6" width="16.5454545454545" style="50" customWidth="1"/>
    <col min="7" max="7" width="17" customWidth="1"/>
    <col min="8" max="10" width="17" style="50" customWidth="1"/>
    <col min="11" max="16384" width="9.18181818181818" style="50"/>
  </cols>
  <sheetData>
    <row r="2" ht="15">
      <c r="A2" s="77" t="s">
        <v>116</v>
      </c>
    </row>
    <row r="3" ht="15">
      <c r="A3" s="77" t="s">
        <v>117</v>
      </c>
    </row>
    <row r="4" ht="15">
      <c r="A4" s="77" t="s">
        <v>118</v>
      </c>
    </row>
    <row r="5" ht="15">
      <c r="A5" s="77" t="s">
        <v>119</v>
      </c>
    </row>
    <row r="6" ht="15">
      <c r="A6" s="77" t="s">
        <v>120</v>
      </c>
    </row>
    <row r="7" ht="15.75" thickBot="1">
      <c r="A7" s="77" t="s">
        <v>122</v>
      </c>
    </row>
    <row r="8" spans="2:10" ht="30">
      <c r="B8" s="46" t="s">
        <v>95</v>
      </c>
      <c r="C8" s="47" t="s">
        <v>96</v>
      </c>
      <c r="D8" s="47" t="s">
        <v>97</v>
      </c>
      <c r="E8" s="47" t="s">
        <v>98</v>
      </c>
      <c r="F8" s="61" t="s">
        <v>99</v>
      </c>
      <c r="G8" s="47" t="s">
        <v>113</v>
      </c>
      <c r="H8" s="64" t="s">
        <v>112</v>
      </c>
      <c r="I8" s="47" t="s">
        <v>115</v>
      </c>
      <c r="J8" s="49" t="s">
        <v>114</v>
      </c>
    </row>
    <row r="9" spans="2:10" ht="15">
      <c r="B9" s="51" t="s">
        <v>100</v>
      </c>
      <c r="C9" s="52">
        <v>113791839.52177845</v>
      </c>
      <c r="D9" s="53">
        <v>0.57660307911222264</v>
      </c>
      <c r="E9" s="54">
        <v>5402988325.6556292</v>
      </c>
      <c r="F9" s="62"/>
      <c r="G9" s="67"/>
      <c r="H9" s="65">
        <f>+ROUND(C9/E9,5)</f>
        <v>0.021059999999999999</v>
      </c>
      <c r="I9" s="67"/>
      <c r="J9" s="72"/>
    </row>
    <row r="10" spans="2:10" ht="15">
      <c r="B10" s="51" t="s">
        <v>101</v>
      </c>
      <c r="C10" s="52">
        <v>8854808.4945925102</v>
      </c>
      <c r="D10" s="53">
        <v>0.044868857594607493</v>
      </c>
      <c r="E10" s="54">
        <v>365196875.96741843</v>
      </c>
      <c r="F10" s="62"/>
      <c r="G10" s="67"/>
      <c r="H10" s="65">
        <f>+ROUND(C10/E10,5)</f>
        <v>0.024250000000000001</v>
      </c>
      <c r="I10" s="67"/>
      <c r="J10" s="72"/>
    </row>
    <row r="11" spans="2:10" ht="15">
      <c r="B11" s="51" t="s">
        <v>102</v>
      </c>
      <c r="C11" s="52">
        <v>43695090.0251977</v>
      </c>
      <c r="D11" s="53">
        <v>0.22141063503760988</v>
      </c>
      <c r="E11" s="54">
        <v>2703206787.4084849</v>
      </c>
      <c r="F11" s="62">
        <v>8749548.0454682112</v>
      </c>
      <c r="G11" s="68">
        <f>+ROUND(C11/F11,3)</f>
        <v>4.9939999999999998</v>
      </c>
      <c r="H11" s="73"/>
      <c r="I11" s="68"/>
      <c r="J11" s="55"/>
    </row>
    <row r="12" spans="2:10" ht="15">
      <c r="B12" s="51" t="s">
        <v>103</v>
      </c>
      <c r="C12" s="52">
        <v>15991.154902234814</v>
      </c>
      <c r="D12" s="53">
        <v>8.1029968352206837E-05</v>
      </c>
      <c r="E12" s="54">
        <v>977277.21300258907</v>
      </c>
      <c r="F12" s="62"/>
      <c r="G12" s="67"/>
      <c r="H12" s="65">
        <f>+ROUND(C12/E12,5)</f>
        <v>0.01636</v>
      </c>
      <c r="I12" s="67"/>
      <c r="J12" s="72"/>
    </row>
    <row r="13" spans="2:10" ht="15">
      <c r="B13" s="51" t="s">
        <v>104</v>
      </c>
      <c r="C13" s="52">
        <v>7522853.8128152937</v>
      </c>
      <c r="D13" s="53">
        <v>0.038119611128619085</v>
      </c>
      <c r="E13" s="54">
        <v>587855971.07923961</v>
      </c>
      <c r="F13" s="62">
        <v>1325844.1478935755</v>
      </c>
      <c r="G13" s="68">
        <f>+ROUND(C13/F13,3)</f>
        <v>5.6740000000000004</v>
      </c>
      <c r="H13" s="73"/>
      <c r="I13" s="68"/>
      <c r="J13" s="55"/>
    </row>
    <row r="14" spans="2:10" ht="15">
      <c r="B14" s="51" t="s">
        <v>105</v>
      </c>
      <c r="C14" s="52">
        <v>12039135.781215968</v>
      </c>
      <c r="D14" s="53">
        <v>0.061004398825723172</v>
      </c>
      <c r="E14" s="54">
        <v>946460125.34322786</v>
      </c>
      <c r="F14" s="62">
        <v>1823106.6640289384</v>
      </c>
      <c r="G14" s="68">
        <f>+ROUND(C14/F14,3)</f>
        <v>6.6040000000000001</v>
      </c>
      <c r="H14" s="73"/>
      <c r="I14" s="68"/>
      <c r="J14" s="55"/>
    </row>
    <row r="15" spans="2:10" ht="15">
      <c r="B15" s="51" t="s">
        <v>106</v>
      </c>
      <c r="C15" s="52">
        <v>8905293.0854761936</v>
      </c>
      <c r="D15" s="53">
        <v>0.045124671813567212</v>
      </c>
      <c r="E15" s="54">
        <v>747427077.6433754</v>
      </c>
      <c r="F15" s="62">
        <v>1810758.1427245999</v>
      </c>
      <c r="G15" s="68">
        <f>+ROUND(C15/F15,3)</f>
        <v>4.9180000000000001</v>
      </c>
      <c r="H15" s="73"/>
      <c r="I15" s="68"/>
      <c r="J15" s="55"/>
    </row>
    <row r="16" spans="2:10" ht="15">
      <c r="B16" s="51" t="s">
        <v>107</v>
      </c>
      <c r="C16" s="52">
        <v>7919.0928933655023</v>
      </c>
      <c r="D16" s="53">
        <v>4.0127423594521957E-05</v>
      </c>
      <c r="E16" s="54">
        <v>664654.65</v>
      </c>
      <c r="F16" s="62"/>
      <c r="G16" s="67"/>
      <c r="H16" s="65"/>
      <c r="I16" s="68">
        <f>+ROUND((C20/2011329*0.1*1.03118)/12,2)</f>
        <v>0.84</v>
      </c>
      <c r="J16" s="55">
        <f>+ROUND((C20/2011329/21*1.03118)/12,2)</f>
        <v>0.40</v>
      </c>
    </row>
    <row r="17" spans="2:10" ht="15">
      <c r="B17" s="51" t="s">
        <v>108</v>
      </c>
      <c r="C17" s="52">
        <v>16078.158298651169</v>
      </c>
      <c r="D17" s="53">
        <v>8.1470829722211243E-05</v>
      </c>
      <c r="E17" s="54">
        <v>1349450.3499999999</v>
      </c>
      <c r="F17" s="62"/>
      <c r="G17" s="67"/>
      <c r="H17" s="65"/>
      <c r="I17" s="68">
        <f>+I16</f>
        <v>0.84</v>
      </c>
      <c r="J17" s="55">
        <f>+J16</f>
        <v>0.40</v>
      </c>
    </row>
    <row r="18" spans="2:10" ht="15">
      <c r="B18" s="56" t="s">
        <v>109</v>
      </c>
      <c r="C18" s="52">
        <v>2454280.1297273487</v>
      </c>
      <c r="D18" s="53">
        <v>0.012436265076230638</v>
      </c>
      <c r="E18" s="54">
        <v>85332879.039391145</v>
      </c>
      <c r="F18" s="62"/>
      <c r="G18" s="67"/>
      <c r="H18" s="65">
        <f>+ROUND(C18/E18,5)</f>
        <v>0.028760000000000001</v>
      </c>
      <c r="I18" s="67"/>
      <c r="J18" s="72"/>
    </row>
    <row r="19" spans="2:10" ht="15.75" thickBot="1">
      <c r="B19" s="56" t="s">
        <v>110</v>
      </c>
      <c r="C19" s="52">
        <v>45361.216804452342</v>
      </c>
      <c r="D19" s="53">
        <v>0.00022985318975108466</v>
      </c>
      <c r="E19" s="54">
        <v>1577164.3912074312</v>
      </c>
      <c r="F19" s="62"/>
      <c r="G19" s="67"/>
      <c r="H19" s="65">
        <f>+ROUND(C19/E19,5)</f>
        <v>0.028760000000000001</v>
      </c>
      <c r="I19" s="67"/>
      <c r="J19" s="72"/>
    </row>
    <row r="20" spans="2:10" ht="15.75" thickBot="1">
      <c r="B20" s="57" t="s">
        <v>111</v>
      </c>
      <c r="C20" s="58">
        <v>197348650.47370213</v>
      </c>
      <c r="D20" s="59">
        <v>1</v>
      </c>
      <c r="E20" s="60">
        <v>10843036588.740974</v>
      </c>
      <c r="F20" s="63">
        <v>13709257.000115326</v>
      </c>
      <c r="G20" s="69"/>
      <c r="H20" s="66">
        <f>+ROUND(C20/E20,5)</f>
        <v>0.018200000000000001</v>
      </c>
      <c r="I20" s="70"/>
      <c r="J20" s="71"/>
    </row>
  </sheetData>
  <pageMargins left="0.7" right="0.7" top="0.75" bottom="0.75" header="0.3" footer="0.3"/>
  <pageSetup horizontalDpi="90" verticalDpi="90" orientation="portrait" scale="51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490E02A0D5E042ABBA1C3E86B7E064" ma:contentTypeVersion="" ma:contentTypeDescription="Create a new document." ma:contentTypeScope="" ma:versionID="d5ae32690f40a99c43d9a19e47a0f242">
  <xsd:schema xmlns:xsd="http://www.w3.org/2001/XMLSchema" xmlns:xs="http://www.w3.org/2001/XMLSchema" xmlns:p="http://schemas.microsoft.com/office/2006/metadata/properties" xmlns:ns2="c85253b9-0a55-49a1-98ad-b5b6252d7079" xmlns:ns3="EA5D5852-DA40-478E-A599-D03197ED8C5E" xmlns:ns4="8b86ae58-4ff9-4300-8876-bb89783e485c" xmlns:ns5="3a6ed07f-74d3-4d6b-b2d6-faf8761c8676" targetNamespace="http://schemas.microsoft.com/office/2006/metadata/properties" ma:root="true" ma:fieldsID="509e2df913e7e4499ea4a9ed6c360007" ns2:_="" ns3:_="" ns4:_="" ns5:_="">
    <xsd:import namespace="c85253b9-0a55-49a1-98ad-b5b6252d7079"/>
    <xsd:import namespace="EA5D5852-DA40-478E-A599-D03197ED8C5E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D5852-DA40-478E-A599-D03197ED8C5E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MB xmlns="EA5D5852-DA40-478E-A599-D03197ED8C5E" xsi:nil="true"/>
    <CaseStatus xmlns="8b86ae58-4ff9-4300-8876-bb89783e485c" xsi:nil="true"/>
    <IsKeyDocket xmlns="8b86ae58-4ff9-4300-8876-bb89783e485c">false</IsKeyDocket>
    <Sequence_x0020_Number xmlns="EA5D5852-DA40-478E-A599-D03197ED8C5E" xsi:nil="true"/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Pgs xmlns="EA5D5852-DA40-478E-A599-D03197ED8C5E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9F0131C9-BACC-448B-9F52-4AF87A604B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D934EC-6EB2-41DF-913A-4941DBB524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EA5D5852-DA40-478E-A599-D03197ED8C5E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A6E984-74E3-4F7B-A516-3B3D926DA76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c85253b9-0a55-49a1-98ad-b5b6252d7079"/>
    <ds:schemaRef ds:uri="EA5D5852-DA40-478E-A599-D03197ED8C5E"/>
    <ds:schemaRef ds:uri="http://purl.org/dc/terms/"/>
    <ds:schemaRef ds:uri="8b86ae58-4ff9-4300-8876-bb89783e485c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