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81795E5F-6FF7-48CC-B147-F20C16C0D961}" xr6:coauthVersionLast="47" xr6:coauthVersionMax="47" xr10:uidLastSave="{00000000-0000-0000-0000-000000000000}"/>
  <bookViews>
    <workbookView xWindow="6945" yWindow="1125" windowWidth="21600" windowHeight="11385" xr2:uid="{C8FF2CF6-7FB9-42F6-9C91-9FF15345C6F8}"/>
  </bookViews>
  <sheets>
    <sheet name="Summary" sheetId="14" r:id="rId1"/>
    <sheet name="Annual Cost Estimate" sheetId="15" r:id="rId2"/>
    <sheet name="Access Bridge" sheetId="12" r:id="rId3"/>
    <sheet name="Access Road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4" i="13" l="1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5" i="13"/>
  <c r="H5" i="14" l="1"/>
  <c r="R34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5" i="13"/>
  <c r="H4" i="14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4" i="12"/>
  <c r="O29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5" i="12"/>
  <c r="O4" i="12"/>
  <c r="E10" i="13"/>
  <c r="F59" i="15"/>
  <c r="H33" i="13"/>
  <c r="G58" i="15" s="1"/>
  <c r="B58" i="15"/>
  <c r="C58" i="15"/>
  <c r="D58" i="15"/>
  <c r="A58" i="15"/>
  <c r="P33" i="13"/>
  <c r="O33" i="13"/>
  <c r="N33" i="13"/>
  <c r="F33" i="13"/>
  <c r="AC33" i="13" s="1"/>
  <c r="J33" i="13"/>
  <c r="K33" i="13"/>
  <c r="L33" i="13"/>
  <c r="M33" i="13"/>
  <c r="T33" i="13"/>
  <c r="U33" i="13"/>
  <c r="V33" i="13"/>
  <c r="W33" i="13"/>
  <c r="X33" i="13"/>
  <c r="AB33" i="13"/>
  <c r="M58" i="15" l="1"/>
  <c r="K58" i="15"/>
  <c r="J58" i="15"/>
  <c r="H58" i="15"/>
  <c r="P58" i="15"/>
  <c r="Y33" i="13"/>
  <c r="I58" i="15"/>
  <c r="AD33" i="13"/>
  <c r="S33" i="13"/>
  <c r="O58" i="15"/>
  <c r="N58" i="15"/>
  <c r="H27" i="13"/>
  <c r="H28" i="13"/>
  <c r="H29" i="13"/>
  <c r="H30" i="13"/>
  <c r="H31" i="13"/>
  <c r="H32" i="13"/>
  <c r="H26" i="13"/>
  <c r="G15" i="15"/>
  <c r="G16" i="15"/>
  <c r="G18" i="15"/>
  <c r="G19" i="15"/>
  <c r="H15" i="15"/>
  <c r="H16" i="15"/>
  <c r="H18" i="15"/>
  <c r="H19" i="15"/>
  <c r="I16" i="15"/>
  <c r="I17" i="15"/>
  <c r="I26" i="15"/>
  <c r="I27" i="15"/>
  <c r="J15" i="15"/>
  <c r="J16" i="15"/>
  <c r="J18" i="15"/>
  <c r="J19" i="15"/>
  <c r="K15" i="15"/>
  <c r="K16" i="15"/>
  <c r="K18" i="15"/>
  <c r="K19" i="15"/>
  <c r="A52" i="15"/>
  <c r="B52" i="15"/>
  <c r="C52" i="15"/>
  <c r="D52" i="15"/>
  <c r="A53" i="15"/>
  <c r="B53" i="15"/>
  <c r="C53" i="15"/>
  <c r="D53" i="15"/>
  <c r="A54" i="15"/>
  <c r="B54" i="15"/>
  <c r="C54" i="15"/>
  <c r="D54" i="15"/>
  <c r="A55" i="15"/>
  <c r="B55" i="15"/>
  <c r="C55" i="15"/>
  <c r="D55" i="15"/>
  <c r="A56" i="15"/>
  <c r="B56" i="15"/>
  <c r="C56" i="15"/>
  <c r="D56" i="15"/>
  <c r="A57" i="15"/>
  <c r="B57" i="15"/>
  <c r="C57" i="15"/>
  <c r="D57" i="15"/>
  <c r="B51" i="15"/>
  <c r="C51" i="15"/>
  <c r="D51" i="15"/>
  <c r="A51" i="15"/>
  <c r="H56" i="15" l="1"/>
  <c r="I56" i="15"/>
  <c r="J56" i="15"/>
  <c r="K56" i="15"/>
  <c r="L56" i="15"/>
  <c r="M56" i="15"/>
  <c r="N56" i="15"/>
  <c r="P56" i="15"/>
  <c r="G56" i="15"/>
  <c r="K53" i="15"/>
  <c r="L53" i="15"/>
  <c r="J53" i="15"/>
  <c r="N53" i="15"/>
  <c r="O53" i="15"/>
  <c r="P53" i="15"/>
  <c r="H53" i="15"/>
  <c r="I53" i="15"/>
  <c r="G53" i="15"/>
  <c r="P52" i="15"/>
  <c r="H52" i="15"/>
  <c r="G52" i="15"/>
  <c r="I52" i="15"/>
  <c r="J52" i="15"/>
  <c r="K52" i="15"/>
  <c r="L52" i="15"/>
  <c r="M52" i="15"/>
  <c r="N52" i="15"/>
  <c r="N54" i="15"/>
  <c r="O54" i="15"/>
  <c r="K54" i="15"/>
  <c r="L54" i="15"/>
  <c r="G54" i="15"/>
  <c r="H54" i="15"/>
  <c r="M54" i="15"/>
  <c r="I54" i="15"/>
  <c r="J54" i="15"/>
  <c r="K57" i="15"/>
  <c r="L57" i="15"/>
  <c r="I57" i="15"/>
  <c r="M57" i="15"/>
  <c r="P57" i="15"/>
  <c r="O57" i="15"/>
  <c r="H57" i="15"/>
  <c r="G57" i="15"/>
  <c r="J57" i="15"/>
  <c r="G55" i="15"/>
  <c r="H55" i="15"/>
  <c r="I55" i="15"/>
  <c r="J55" i="15"/>
  <c r="K55" i="15"/>
  <c r="P55" i="15"/>
  <c r="L55" i="15"/>
  <c r="M55" i="15"/>
  <c r="O55" i="15"/>
  <c r="AA33" i="13"/>
  <c r="L58" i="15" s="1"/>
  <c r="P51" i="15"/>
  <c r="N51" i="15"/>
  <c r="M51" i="15"/>
  <c r="L51" i="15"/>
  <c r="K51" i="15"/>
  <c r="J51" i="15"/>
  <c r="H51" i="15"/>
  <c r="G51" i="15"/>
  <c r="I51" i="15"/>
  <c r="O15" i="15"/>
  <c r="O16" i="15"/>
  <c r="O18" i="15"/>
  <c r="O19" i="15"/>
  <c r="N15" i="15"/>
  <c r="N16" i="15"/>
  <c r="N18" i="15"/>
  <c r="N19" i="15"/>
  <c r="M15" i="15"/>
  <c r="M16" i="15"/>
  <c r="M18" i="15"/>
  <c r="M19" i="15"/>
  <c r="L15" i="15"/>
  <c r="L16" i="15"/>
  <c r="L18" i="15"/>
  <c r="L19" i="15"/>
  <c r="G22" i="12"/>
  <c r="G23" i="12"/>
  <c r="G24" i="12"/>
  <c r="G25" i="12"/>
  <c r="G26" i="12"/>
  <c r="G27" i="12"/>
  <c r="G28" i="12"/>
  <c r="G21" i="12"/>
  <c r="P15" i="15"/>
  <c r="P16" i="15"/>
  <c r="P18" i="15"/>
  <c r="P19" i="15"/>
  <c r="F28" i="15"/>
  <c r="A21" i="15"/>
  <c r="A22" i="15"/>
  <c r="A23" i="15"/>
  <c r="A24" i="15"/>
  <c r="A25" i="15"/>
  <c r="A26" i="15"/>
  <c r="A27" i="15"/>
  <c r="A20" i="15"/>
  <c r="F32" i="13"/>
  <c r="AC32" i="13" s="1"/>
  <c r="J32" i="13"/>
  <c r="K32" i="13"/>
  <c r="L32" i="13"/>
  <c r="M32" i="13"/>
  <c r="N32" i="13"/>
  <c r="O32" i="13"/>
  <c r="P32" i="13"/>
  <c r="T32" i="13"/>
  <c r="U32" i="13"/>
  <c r="V32" i="13"/>
  <c r="W32" i="13"/>
  <c r="X32" i="13"/>
  <c r="AB32" i="13"/>
  <c r="AB26" i="13"/>
  <c r="AB27" i="13"/>
  <c r="AB28" i="13"/>
  <c r="AB29" i="13"/>
  <c r="AB30" i="13"/>
  <c r="AB31" i="13"/>
  <c r="X26" i="13"/>
  <c r="X27" i="13"/>
  <c r="X28" i="13"/>
  <c r="X29" i="13"/>
  <c r="X30" i="13"/>
  <c r="X31" i="13"/>
  <c r="W26" i="13"/>
  <c r="W27" i="13"/>
  <c r="W28" i="13"/>
  <c r="W29" i="13"/>
  <c r="W30" i="13"/>
  <c r="W31" i="13"/>
  <c r="V26" i="13"/>
  <c r="V27" i="13"/>
  <c r="V28" i="13"/>
  <c r="V29" i="13"/>
  <c r="V30" i="13"/>
  <c r="V31" i="13"/>
  <c r="U26" i="13"/>
  <c r="U27" i="13"/>
  <c r="U28" i="13"/>
  <c r="U29" i="13"/>
  <c r="U30" i="13"/>
  <c r="U31" i="13"/>
  <c r="T26" i="13"/>
  <c r="T27" i="13"/>
  <c r="T28" i="13"/>
  <c r="T29" i="13"/>
  <c r="T30" i="13"/>
  <c r="T31" i="13"/>
  <c r="P31" i="13"/>
  <c r="P30" i="13"/>
  <c r="P29" i="13"/>
  <c r="P28" i="13"/>
  <c r="P27" i="13"/>
  <c r="P26" i="13"/>
  <c r="O31" i="13"/>
  <c r="O30" i="13"/>
  <c r="O29" i="13"/>
  <c r="O28" i="13"/>
  <c r="O27" i="13"/>
  <c r="O26" i="13"/>
  <c r="O6" i="13"/>
  <c r="O5" i="13"/>
  <c r="N27" i="13"/>
  <c r="N28" i="13"/>
  <c r="N29" i="13"/>
  <c r="N30" i="13"/>
  <c r="N31" i="13"/>
  <c r="N26" i="13"/>
  <c r="M26" i="13"/>
  <c r="M27" i="13"/>
  <c r="M28" i="13"/>
  <c r="M29" i="13"/>
  <c r="M30" i="13"/>
  <c r="M31" i="13"/>
  <c r="L26" i="13"/>
  <c r="L27" i="13"/>
  <c r="L28" i="13"/>
  <c r="L29" i="13"/>
  <c r="L30" i="13"/>
  <c r="L31" i="13"/>
  <c r="K26" i="13"/>
  <c r="K27" i="13"/>
  <c r="K28" i="13"/>
  <c r="K29" i="13"/>
  <c r="K30" i="13"/>
  <c r="K31" i="13"/>
  <c r="J26" i="13"/>
  <c r="J27" i="13"/>
  <c r="J28" i="13"/>
  <c r="J29" i="13"/>
  <c r="J30" i="13"/>
  <c r="J31" i="13"/>
  <c r="F26" i="13"/>
  <c r="AC26" i="13" s="1"/>
  <c r="F27" i="13"/>
  <c r="AC27" i="13" s="1"/>
  <c r="F28" i="13"/>
  <c r="AC28" i="13" s="1"/>
  <c r="F29" i="13"/>
  <c r="AC29" i="13" s="1"/>
  <c r="F30" i="13"/>
  <c r="AC30" i="13" s="1"/>
  <c r="F31" i="13"/>
  <c r="AC31" i="13" s="1"/>
  <c r="P24" i="15" l="1"/>
  <c r="G24" i="15"/>
  <c r="H24" i="15"/>
  <c r="K24" i="15"/>
  <c r="J24" i="15"/>
  <c r="I22" i="15"/>
  <c r="N20" i="15"/>
  <c r="K20" i="15"/>
  <c r="J20" i="15"/>
  <c r="I18" i="15"/>
  <c r="H20" i="15"/>
  <c r="G20" i="15"/>
  <c r="N21" i="15"/>
  <c r="G21" i="15"/>
  <c r="H21" i="15"/>
  <c r="K21" i="15"/>
  <c r="J21" i="15"/>
  <c r="I19" i="15"/>
  <c r="H25" i="15"/>
  <c r="G25" i="15"/>
  <c r="J25" i="15"/>
  <c r="I23" i="15"/>
  <c r="K25" i="15"/>
  <c r="L27" i="15"/>
  <c r="H27" i="15"/>
  <c r="J27" i="15"/>
  <c r="K27" i="15"/>
  <c r="G27" i="15"/>
  <c r="I25" i="15"/>
  <c r="L26" i="15"/>
  <c r="I24" i="15"/>
  <c r="G26" i="15"/>
  <c r="K26" i="15"/>
  <c r="H26" i="15"/>
  <c r="J26" i="15"/>
  <c r="G23" i="15"/>
  <c r="I21" i="15"/>
  <c r="H23" i="15"/>
  <c r="J23" i="15"/>
  <c r="K23" i="15"/>
  <c r="G22" i="15"/>
  <c r="I20" i="15"/>
  <c r="K22" i="15"/>
  <c r="H22" i="15"/>
  <c r="J22" i="15"/>
  <c r="P25" i="15"/>
  <c r="L24" i="15"/>
  <c r="L23" i="15"/>
  <c r="P23" i="15"/>
  <c r="P21" i="15"/>
  <c r="M24" i="15"/>
  <c r="L25" i="15"/>
  <c r="M27" i="15"/>
  <c r="O21" i="15"/>
  <c r="M26" i="15"/>
  <c r="O20" i="15"/>
  <c r="M25" i="15"/>
  <c r="L22" i="15"/>
  <c r="P22" i="15"/>
  <c r="P20" i="15"/>
  <c r="Y26" i="13"/>
  <c r="S27" i="13"/>
  <c r="S32" i="13"/>
  <c r="AD32" i="13"/>
  <c r="AD30" i="13"/>
  <c r="Y30" i="13"/>
  <c r="S29" i="13"/>
  <c r="Y32" i="13"/>
  <c r="Y28" i="13"/>
  <c r="S26" i="13"/>
  <c r="AD26" i="13"/>
  <c r="S31" i="13"/>
  <c r="AD28" i="13"/>
  <c r="Y31" i="13"/>
  <c r="AD31" i="13"/>
  <c r="S30" i="13"/>
  <c r="AD29" i="13"/>
  <c r="Y29" i="13"/>
  <c r="S28" i="13"/>
  <c r="Y27" i="13"/>
  <c r="AD27" i="13"/>
  <c r="AA29" i="13" l="1"/>
  <c r="P54" i="15" l="1"/>
  <c r="AA26" i="13"/>
  <c r="O51" i="15" s="1"/>
  <c r="AA28" i="13"/>
  <c r="M53" i="15" s="1"/>
  <c r="AA27" i="13"/>
  <c r="O52" i="15" s="1"/>
  <c r="AA32" i="13"/>
  <c r="N57" i="15" s="1"/>
  <c r="AA31" i="13"/>
  <c r="O56" i="15" s="1"/>
  <c r="AA30" i="13"/>
  <c r="N55" i="15" s="1"/>
  <c r="AG23" i="12"/>
  <c r="AG21" i="12"/>
  <c r="AF28" i="12"/>
  <c r="AF27" i="12"/>
  <c r="AF26" i="12"/>
  <c r="AF25" i="12"/>
  <c r="AF24" i="12"/>
  <c r="AF22" i="12"/>
  <c r="AF21" i="12"/>
  <c r="AE28" i="12"/>
  <c r="AE27" i="12"/>
  <c r="AE26" i="12"/>
  <c r="AG26" i="12" s="1"/>
  <c r="AE25" i="12"/>
  <c r="AG25" i="12" s="1"/>
  <c r="AE24" i="12"/>
  <c r="AG24" i="12" s="1"/>
  <c r="AE22" i="12"/>
  <c r="AG22" i="12" s="1"/>
  <c r="AE21" i="12"/>
  <c r="U29" i="12"/>
  <c r="V28" i="12"/>
  <c r="W28" i="12"/>
  <c r="X28" i="12"/>
  <c r="Y28" i="12"/>
  <c r="Z28" i="12"/>
  <c r="AA28" i="12"/>
  <c r="V27" i="12"/>
  <c r="W27" i="12"/>
  <c r="X27" i="12"/>
  <c r="Y27" i="12"/>
  <c r="Z27" i="12"/>
  <c r="AA27" i="12"/>
  <c r="V26" i="12"/>
  <c r="W26" i="12" s="1"/>
  <c r="X26" i="12"/>
  <c r="Y26" i="12"/>
  <c r="Z26" i="12"/>
  <c r="AA26" i="12"/>
  <c r="V25" i="12"/>
  <c r="W25" i="12" s="1"/>
  <c r="X25" i="12"/>
  <c r="Y25" i="12"/>
  <c r="Z25" i="12"/>
  <c r="AA25" i="12"/>
  <c r="V24" i="12"/>
  <c r="W24" i="12" s="1"/>
  <c r="X24" i="12"/>
  <c r="Y24" i="12"/>
  <c r="Z24" i="12"/>
  <c r="AA24" i="12"/>
  <c r="V23" i="12"/>
  <c r="W23" i="12" s="1"/>
  <c r="X23" i="12"/>
  <c r="Y23" i="12"/>
  <c r="Z23" i="12"/>
  <c r="AA23" i="12"/>
  <c r="V22" i="12"/>
  <c r="W22" i="12" s="1"/>
  <c r="X22" i="12"/>
  <c r="Y22" i="12"/>
  <c r="Z22" i="12"/>
  <c r="AA22" i="12"/>
  <c r="V21" i="12"/>
  <c r="W21" i="12" s="1"/>
  <c r="X21" i="12"/>
  <c r="Y21" i="12"/>
  <c r="Z21" i="12"/>
  <c r="AA21" i="12"/>
  <c r="R22" i="12"/>
  <c r="R23" i="12"/>
  <c r="R24" i="12"/>
  <c r="R25" i="12"/>
  <c r="R26" i="12"/>
  <c r="R27" i="12"/>
  <c r="R28" i="12"/>
  <c r="S28" i="12"/>
  <c r="S27" i="12"/>
  <c r="S26" i="12"/>
  <c r="S25" i="12"/>
  <c r="S24" i="12"/>
  <c r="S22" i="12"/>
  <c r="S21" i="12"/>
  <c r="Q28" i="12"/>
  <c r="Q27" i="12"/>
  <c r="Q26" i="12"/>
  <c r="Q25" i="12"/>
  <c r="Q24" i="12"/>
  <c r="Q23" i="12"/>
  <c r="Q22" i="12"/>
  <c r="Q21" i="12"/>
  <c r="J28" i="12"/>
  <c r="K28" i="12" s="1"/>
  <c r="L28" i="12"/>
  <c r="M28" i="12"/>
  <c r="J27" i="12"/>
  <c r="K27" i="12" s="1"/>
  <c r="L27" i="12"/>
  <c r="M27" i="12"/>
  <c r="J26" i="12"/>
  <c r="L26" i="12"/>
  <c r="M26" i="12"/>
  <c r="J25" i="12"/>
  <c r="K25" i="12" s="1"/>
  <c r="L25" i="12"/>
  <c r="M25" i="12"/>
  <c r="J24" i="12"/>
  <c r="K24" i="12"/>
  <c r="L24" i="12"/>
  <c r="M24" i="12"/>
  <c r="J23" i="12"/>
  <c r="K23" i="12" s="1"/>
  <c r="L23" i="12"/>
  <c r="M23" i="12"/>
  <c r="J22" i="12"/>
  <c r="K22" i="12"/>
  <c r="L22" i="12"/>
  <c r="M22" i="12"/>
  <c r="J21" i="12"/>
  <c r="K21" i="12" s="1"/>
  <c r="L21" i="12"/>
  <c r="M21" i="12"/>
  <c r="P29" i="12"/>
  <c r="R21" i="12"/>
  <c r="AG27" i="12" l="1"/>
  <c r="AG28" i="12"/>
  <c r="T21" i="12"/>
  <c r="AB21" i="12" s="1"/>
  <c r="T27" i="12"/>
  <c r="AB27" i="12" s="1"/>
  <c r="T26" i="12"/>
  <c r="T24" i="12"/>
  <c r="T22" i="12"/>
  <c r="K26" i="12"/>
  <c r="AB28" i="12"/>
  <c r="AB24" i="12"/>
  <c r="AB26" i="12"/>
  <c r="AB22" i="12"/>
  <c r="T25" i="12"/>
  <c r="AB25" i="12" s="1"/>
  <c r="T23" i="12"/>
  <c r="I4" i="12"/>
  <c r="I29" i="12" s="1"/>
  <c r="AD26" i="12" l="1"/>
  <c r="N25" i="15" s="1"/>
  <c r="AD21" i="12"/>
  <c r="L20" i="15" s="1"/>
  <c r="AD28" i="12"/>
  <c r="O27" i="15" s="1"/>
  <c r="AD22" i="12"/>
  <c r="L21" i="15" s="1"/>
  <c r="AD24" i="12"/>
  <c r="N23" i="15" s="1"/>
  <c r="M23" i="15"/>
  <c r="AD27" i="12"/>
  <c r="O26" i="15" s="1"/>
  <c r="AB23" i="12"/>
  <c r="H19" i="13"/>
  <c r="H20" i="13"/>
  <c r="H21" i="13"/>
  <c r="H22" i="13"/>
  <c r="H23" i="13"/>
  <c r="H24" i="13"/>
  <c r="H25" i="13"/>
  <c r="H17" i="13"/>
  <c r="H11" i="13"/>
  <c r="H12" i="13"/>
  <c r="H13" i="13"/>
  <c r="H14" i="13"/>
  <c r="H15" i="13"/>
  <c r="H10" i="13"/>
  <c r="H6" i="13"/>
  <c r="H7" i="13"/>
  <c r="H5" i="13"/>
  <c r="G5" i="12"/>
  <c r="G6" i="12"/>
  <c r="G7" i="12"/>
  <c r="G8" i="12"/>
  <c r="G9" i="12"/>
  <c r="G10" i="12"/>
  <c r="G11" i="12"/>
  <c r="G12" i="12"/>
  <c r="H11" i="15" s="1"/>
  <c r="G13" i="12"/>
  <c r="G14" i="12"/>
  <c r="G15" i="12"/>
  <c r="G4" i="12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30" i="15"/>
  <c r="A4" i="15"/>
  <c r="A5" i="15"/>
  <c r="A6" i="15"/>
  <c r="A7" i="15"/>
  <c r="A8" i="15"/>
  <c r="A9" i="15"/>
  <c r="A10" i="15"/>
  <c r="A11" i="15"/>
  <c r="A12" i="15"/>
  <c r="A13" i="15"/>
  <c r="A14" i="15"/>
  <c r="A15" i="15"/>
  <c r="A3" i="15"/>
  <c r="E20" i="13"/>
  <c r="T20" i="13" s="1"/>
  <c r="E7" i="13"/>
  <c r="J7" i="13" s="1"/>
  <c r="E24" i="13"/>
  <c r="U24" i="13" s="1"/>
  <c r="E19" i="13"/>
  <c r="T19" i="13" s="1"/>
  <c r="E17" i="13"/>
  <c r="W17" i="13" s="1"/>
  <c r="E13" i="13"/>
  <c r="AB13" i="13" s="1"/>
  <c r="C19" i="14"/>
  <c r="AB25" i="13"/>
  <c r="X25" i="13"/>
  <c r="W25" i="13"/>
  <c r="V25" i="13"/>
  <c r="U25" i="13"/>
  <c r="T25" i="13"/>
  <c r="M25" i="13"/>
  <c r="L25" i="13"/>
  <c r="K25" i="13"/>
  <c r="J25" i="13"/>
  <c r="F25" i="13"/>
  <c r="AC25" i="13" s="1"/>
  <c r="P24" i="13"/>
  <c r="P23" i="13"/>
  <c r="E23" i="13"/>
  <c r="W23" i="13" s="1"/>
  <c r="P22" i="13"/>
  <c r="E22" i="13"/>
  <c r="J22" i="13" s="1"/>
  <c r="AB21" i="13"/>
  <c r="X21" i="13"/>
  <c r="W21" i="13"/>
  <c r="V21" i="13"/>
  <c r="U21" i="13"/>
  <c r="T21" i="13"/>
  <c r="P21" i="13"/>
  <c r="M21" i="13"/>
  <c r="L21" i="13"/>
  <c r="K21" i="13"/>
  <c r="J21" i="13"/>
  <c r="F21" i="13"/>
  <c r="AC21" i="13" s="1"/>
  <c r="P20" i="13"/>
  <c r="P19" i="13"/>
  <c r="AB18" i="13"/>
  <c r="X18" i="13"/>
  <c r="W18" i="13"/>
  <c r="V18" i="13"/>
  <c r="U18" i="13"/>
  <c r="T18" i="13"/>
  <c r="M18" i="13"/>
  <c r="L18" i="13"/>
  <c r="K18" i="13"/>
  <c r="J18" i="13"/>
  <c r="F18" i="13"/>
  <c r="AC18" i="13" s="1"/>
  <c r="P17" i="13"/>
  <c r="N17" i="13"/>
  <c r="AB16" i="13"/>
  <c r="X16" i="13"/>
  <c r="W16" i="13"/>
  <c r="V16" i="13"/>
  <c r="U16" i="13"/>
  <c r="T16" i="13"/>
  <c r="M16" i="13"/>
  <c r="L16" i="13"/>
  <c r="K16" i="13"/>
  <c r="J16" i="13"/>
  <c r="F16" i="13"/>
  <c r="AC16" i="13" s="1"/>
  <c r="AB15" i="13"/>
  <c r="X15" i="13"/>
  <c r="W15" i="13"/>
  <c r="V15" i="13"/>
  <c r="U15" i="13"/>
  <c r="T15" i="13"/>
  <c r="P15" i="13"/>
  <c r="N15" i="13"/>
  <c r="M15" i="13"/>
  <c r="L15" i="13"/>
  <c r="K15" i="13"/>
  <c r="J15" i="13"/>
  <c r="F15" i="13"/>
  <c r="AC15" i="13" s="1"/>
  <c r="P14" i="13"/>
  <c r="N14" i="13"/>
  <c r="E14" i="13"/>
  <c r="L14" i="13" s="1"/>
  <c r="P13" i="13"/>
  <c r="N13" i="13"/>
  <c r="P12" i="13"/>
  <c r="N12" i="13"/>
  <c r="E12" i="13"/>
  <c r="AB12" i="13" s="1"/>
  <c r="P11" i="13"/>
  <c r="N11" i="13"/>
  <c r="E11" i="13"/>
  <c r="K11" i="13" s="1"/>
  <c r="P10" i="13"/>
  <c r="O10" i="13"/>
  <c r="N10" i="13"/>
  <c r="U10" i="13"/>
  <c r="AB9" i="13"/>
  <c r="X9" i="13"/>
  <c r="W9" i="13"/>
  <c r="U9" i="13"/>
  <c r="T9" i="13"/>
  <c r="M9" i="13"/>
  <c r="L9" i="13"/>
  <c r="K9" i="13"/>
  <c r="J9" i="13"/>
  <c r="F9" i="13"/>
  <c r="AC9" i="13" s="1"/>
  <c r="AB8" i="13"/>
  <c r="X8" i="13"/>
  <c r="W8" i="13"/>
  <c r="U8" i="13"/>
  <c r="T8" i="13"/>
  <c r="M8" i="13"/>
  <c r="L8" i="13"/>
  <c r="K8" i="13"/>
  <c r="J8" i="13"/>
  <c r="F8" i="13"/>
  <c r="AC8" i="13" s="1"/>
  <c r="W7" i="13"/>
  <c r="P7" i="13"/>
  <c r="N7" i="13"/>
  <c r="AB6" i="13"/>
  <c r="X6" i="13"/>
  <c r="W6" i="13"/>
  <c r="U6" i="13"/>
  <c r="T6" i="13"/>
  <c r="P6" i="13"/>
  <c r="N6" i="13"/>
  <c r="M6" i="13"/>
  <c r="L6" i="13"/>
  <c r="K6" i="13"/>
  <c r="J6" i="13"/>
  <c r="F6" i="13"/>
  <c r="AC6" i="13" s="1"/>
  <c r="P5" i="13"/>
  <c r="N5" i="13"/>
  <c r="E5" i="13"/>
  <c r="AG20" i="12"/>
  <c r="AA20" i="12"/>
  <c r="Z20" i="12"/>
  <c r="Y20" i="12"/>
  <c r="X20" i="12"/>
  <c r="V20" i="12"/>
  <c r="W20" i="12" s="1"/>
  <c r="R20" i="12"/>
  <c r="T20" i="12" s="1"/>
  <c r="M20" i="12"/>
  <c r="L20" i="12"/>
  <c r="J20" i="12"/>
  <c r="K20" i="12" s="1"/>
  <c r="AG19" i="12"/>
  <c r="AA19" i="12"/>
  <c r="Z19" i="12"/>
  <c r="Y19" i="12"/>
  <c r="X19" i="12"/>
  <c r="V19" i="12"/>
  <c r="W19" i="12" s="1"/>
  <c r="R19" i="12"/>
  <c r="T19" i="12" s="1"/>
  <c r="M19" i="12"/>
  <c r="L19" i="12"/>
  <c r="J19" i="12"/>
  <c r="AA18" i="12"/>
  <c r="Z18" i="12"/>
  <c r="Y18" i="12"/>
  <c r="X18" i="12"/>
  <c r="V18" i="12"/>
  <c r="W18" i="12" s="1"/>
  <c r="R18" i="12"/>
  <c r="M18" i="12"/>
  <c r="L18" i="12"/>
  <c r="J18" i="12"/>
  <c r="AG17" i="12"/>
  <c r="AA17" i="12"/>
  <c r="Z17" i="12"/>
  <c r="Y17" i="12"/>
  <c r="X17" i="12"/>
  <c r="V17" i="12"/>
  <c r="W17" i="12" s="1"/>
  <c r="R17" i="12"/>
  <c r="Q17" i="12"/>
  <c r="M17" i="12"/>
  <c r="L17" i="12"/>
  <c r="J17" i="12"/>
  <c r="AA16" i="12"/>
  <c r="Z16" i="12"/>
  <c r="Y16" i="12"/>
  <c r="X16" i="12"/>
  <c r="V16" i="12"/>
  <c r="W16" i="12" s="1"/>
  <c r="R16" i="12"/>
  <c r="Q16" i="12"/>
  <c r="M16" i="12"/>
  <c r="L16" i="12"/>
  <c r="J16" i="12"/>
  <c r="AF15" i="12"/>
  <c r="AE15" i="12"/>
  <c r="AA15" i="12"/>
  <c r="Z15" i="12"/>
  <c r="Y15" i="12"/>
  <c r="X15" i="12"/>
  <c r="V15" i="12"/>
  <c r="S15" i="12"/>
  <c r="R15" i="12"/>
  <c r="Q15" i="12"/>
  <c r="M15" i="12"/>
  <c r="L15" i="12"/>
  <c r="J15" i="12"/>
  <c r="AF14" i="12"/>
  <c r="AE14" i="12"/>
  <c r="AA14" i="12"/>
  <c r="Z14" i="12"/>
  <c r="Y14" i="12"/>
  <c r="X14" i="12"/>
  <c r="V14" i="12"/>
  <c r="S14" i="12"/>
  <c r="R14" i="12"/>
  <c r="Q14" i="12"/>
  <c r="M14" i="12"/>
  <c r="L14" i="12"/>
  <c r="J14" i="12"/>
  <c r="AF13" i="12"/>
  <c r="AE13" i="12"/>
  <c r="AG13" i="12" s="1"/>
  <c r="AA13" i="12"/>
  <c r="Z13" i="12"/>
  <c r="Y13" i="12"/>
  <c r="X13" i="12"/>
  <c r="V13" i="12"/>
  <c r="S13" i="12"/>
  <c r="R13" i="12"/>
  <c r="Q13" i="12"/>
  <c r="M13" i="12"/>
  <c r="L13" i="12"/>
  <c r="J13" i="12"/>
  <c r="AF12" i="12"/>
  <c r="AE12" i="12"/>
  <c r="AA12" i="12"/>
  <c r="Z12" i="12"/>
  <c r="Y12" i="12"/>
  <c r="X12" i="12"/>
  <c r="V12" i="12"/>
  <c r="S12" i="12"/>
  <c r="R12" i="12"/>
  <c r="Q12" i="12"/>
  <c r="M12" i="12"/>
  <c r="L12" i="12"/>
  <c r="J12" i="12"/>
  <c r="AF11" i="12"/>
  <c r="AE11" i="12"/>
  <c r="AA11" i="12"/>
  <c r="Z11" i="12"/>
  <c r="Y11" i="12"/>
  <c r="X11" i="12"/>
  <c r="V11" i="12"/>
  <c r="S11" i="12"/>
  <c r="R11" i="12"/>
  <c r="Q11" i="12"/>
  <c r="M11" i="12"/>
  <c r="L11" i="12"/>
  <c r="J11" i="12"/>
  <c r="AF10" i="12"/>
  <c r="AE10" i="12"/>
  <c r="AA10" i="12"/>
  <c r="Z10" i="12"/>
  <c r="Y10" i="12"/>
  <c r="X10" i="12"/>
  <c r="V10" i="12"/>
  <c r="S10" i="12"/>
  <c r="R10" i="12"/>
  <c r="Q10" i="12"/>
  <c r="M10" i="12"/>
  <c r="L10" i="12"/>
  <c r="J10" i="12"/>
  <c r="AF9" i="12"/>
  <c r="AE9" i="12"/>
  <c r="AA9" i="12"/>
  <c r="Z9" i="12"/>
  <c r="Y9" i="12"/>
  <c r="X9" i="12"/>
  <c r="V9" i="12"/>
  <c r="S9" i="12"/>
  <c r="R9" i="12"/>
  <c r="Q9" i="12"/>
  <c r="M9" i="12"/>
  <c r="L9" i="12"/>
  <c r="J9" i="12"/>
  <c r="AF8" i="12"/>
  <c r="AE8" i="12"/>
  <c r="AA8" i="12"/>
  <c r="Z8" i="12"/>
  <c r="Y8" i="12"/>
  <c r="X8" i="12"/>
  <c r="V8" i="12"/>
  <c r="S8" i="12"/>
  <c r="R8" i="12"/>
  <c r="Q8" i="12"/>
  <c r="M8" i="12"/>
  <c r="L8" i="12"/>
  <c r="J8" i="12"/>
  <c r="AF7" i="12"/>
  <c r="AE7" i="12"/>
  <c r="AA7" i="12"/>
  <c r="Z7" i="12"/>
  <c r="Y7" i="12"/>
  <c r="X7" i="12"/>
  <c r="V7" i="12"/>
  <c r="S7" i="12"/>
  <c r="R7" i="12"/>
  <c r="Q7" i="12"/>
  <c r="M7" i="12"/>
  <c r="L7" i="12"/>
  <c r="J7" i="12"/>
  <c r="AF6" i="12"/>
  <c r="AE6" i="12"/>
  <c r="AA6" i="12"/>
  <c r="Z6" i="12"/>
  <c r="Y6" i="12"/>
  <c r="X6" i="12"/>
  <c r="V6" i="12"/>
  <c r="S6" i="12"/>
  <c r="R6" i="12"/>
  <c r="Q6" i="12"/>
  <c r="M6" i="12"/>
  <c r="L6" i="12"/>
  <c r="J6" i="12"/>
  <c r="AF5" i="12"/>
  <c r="AE5" i="12"/>
  <c r="AA5" i="12"/>
  <c r="Z5" i="12"/>
  <c r="Y5" i="12"/>
  <c r="X5" i="12"/>
  <c r="V5" i="12"/>
  <c r="S5" i="12"/>
  <c r="R5" i="12"/>
  <c r="Q5" i="12"/>
  <c r="M5" i="12"/>
  <c r="L5" i="12"/>
  <c r="J5" i="12"/>
  <c r="AF4" i="12"/>
  <c r="AF29" i="12" s="1"/>
  <c r="AE4" i="12"/>
  <c r="Y4" i="12"/>
  <c r="X4" i="12"/>
  <c r="V4" i="12"/>
  <c r="S4" i="12"/>
  <c r="R4" i="12"/>
  <c r="Q4" i="12"/>
  <c r="M4" i="12"/>
  <c r="S29" i="12" l="1"/>
  <c r="Q29" i="12"/>
  <c r="N34" i="13"/>
  <c r="E34" i="13"/>
  <c r="P34" i="13"/>
  <c r="AG18" i="12"/>
  <c r="AE29" i="12"/>
  <c r="G12" i="15"/>
  <c r="H12" i="15"/>
  <c r="J17" i="15"/>
  <c r="H17" i="15"/>
  <c r="G17" i="15"/>
  <c r="K17" i="15"/>
  <c r="G14" i="15"/>
  <c r="H14" i="15"/>
  <c r="K14" i="15"/>
  <c r="G13" i="15"/>
  <c r="H13" i="15"/>
  <c r="K13" i="15"/>
  <c r="Y29" i="12"/>
  <c r="X29" i="12"/>
  <c r="W4" i="12"/>
  <c r="V29" i="12"/>
  <c r="M29" i="12"/>
  <c r="N45" i="15"/>
  <c r="O45" i="15"/>
  <c r="P45" i="15"/>
  <c r="M45" i="15"/>
  <c r="L44" i="15"/>
  <c r="P44" i="15"/>
  <c r="N44" i="15"/>
  <c r="O44" i="15"/>
  <c r="M44" i="15"/>
  <c r="H31" i="15"/>
  <c r="P31" i="15"/>
  <c r="N31" i="15"/>
  <c r="O31" i="15"/>
  <c r="M31" i="15"/>
  <c r="P43" i="15"/>
  <c r="N43" i="15"/>
  <c r="O43" i="15"/>
  <c r="M43" i="15"/>
  <c r="K33" i="15"/>
  <c r="P33" i="15"/>
  <c r="N33" i="15"/>
  <c r="O33" i="15"/>
  <c r="M33" i="15"/>
  <c r="G42" i="15"/>
  <c r="M42" i="15"/>
  <c r="P42" i="15"/>
  <c r="N42" i="15"/>
  <c r="O42" i="15"/>
  <c r="J38" i="15"/>
  <c r="O38" i="15"/>
  <c r="M38" i="15"/>
  <c r="P38" i="15"/>
  <c r="N38" i="15"/>
  <c r="L41" i="15"/>
  <c r="N41" i="15"/>
  <c r="P41" i="15"/>
  <c r="M41" i="15"/>
  <c r="O41" i="15"/>
  <c r="H40" i="15"/>
  <c r="O40" i="15"/>
  <c r="M40" i="15"/>
  <c r="P40" i="15"/>
  <c r="N40" i="15"/>
  <c r="N34" i="15"/>
  <c r="O34" i="15"/>
  <c r="M34" i="15"/>
  <c r="P34" i="15"/>
  <c r="P46" i="15"/>
  <c r="N46" i="15"/>
  <c r="O46" i="15"/>
  <c r="M46" i="15"/>
  <c r="P32" i="15"/>
  <c r="O32" i="15"/>
  <c r="N32" i="15"/>
  <c r="M32" i="15"/>
  <c r="L23" i="13"/>
  <c r="J35" i="15"/>
  <c r="M35" i="15"/>
  <c r="N35" i="15"/>
  <c r="O35" i="15"/>
  <c r="P35" i="15"/>
  <c r="G39" i="15"/>
  <c r="M39" i="15"/>
  <c r="O39" i="15"/>
  <c r="P39" i="15"/>
  <c r="N39" i="15"/>
  <c r="O37" i="15"/>
  <c r="M37" i="15"/>
  <c r="P37" i="15"/>
  <c r="N37" i="15"/>
  <c r="O36" i="15"/>
  <c r="M36" i="15"/>
  <c r="N36" i="15"/>
  <c r="P36" i="15"/>
  <c r="U7" i="13"/>
  <c r="L47" i="15"/>
  <c r="N47" i="15"/>
  <c r="M47" i="15"/>
  <c r="O47" i="15"/>
  <c r="P47" i="15"/>
  <c r="H30" i="15"/>
  <c r="P30" i="15"/>
  <c r="N30" i="15"/>
  <c r="M30" i="15"/>
  <c r="O30" i="15"/>
  <c r="R29" i="12"/>
  <c r="N27" i="15"/>
  <c r="P27" i="15"/>
  <c r="N26" i="15"/>
  <c r="O23" i="15"/>
  <c r="P26" i="15"/>
  <c r="O25" i="15"/>
  <c r="M21" i="15"/>
  <c r="M20" i="15"/>
  <c r="K47" i="15"/>
  <c r="J3" i="15"/>
  <c r="P3" i="15"/>
  <c r="O3" i="15"/>
  <c r="M17" i="15"/>
  <c r="L17" i="15"/>
  <c r="O17" i="15"/>
  <c r="N17" i="15"/>
  <c r="P17" i="15"/>
  <c r="L5" i="15"/>
  <c r="O5" i="15"/>
  <c r="P5" i="15"/>
  <c r="L14" i="15"/>
  <c r="N14" i="15"/>
  <c r="O14" i="15"/>
  <c r="P14" i="15"/>
  <c r="M14" i="15"/>
  <c r="AD23" i="12"/>
  <c r="M22" i="15" s="1"/>
  <c r="O13" i="15"/>
  <c r="N13" i="15"/>
  <c r="P13" i="15"/>
  <c r="M13" i="15"/>
  <c r="G7" i="15"/>
  <c r="O7" i="15"/>
  <c r="P7" i="15"/>
  <c r="J12" i="15"/>
  <c r="P12" i="15"/>
  <c r="O12" i="15"/>
  <c r="I4" i="15"/>
  <c r="O4" i="15"/>
  <c r="P4" i="15"/>
  <c r="O11" i="15"/>
  <c r="P11" i="15"/>
  <c r="N10" i="15"/>
  <c r="O10" i="15"/>
  <c r="P10" i="15"/>
  <c r="K9" i="15"/>
  <c r="O9" i="15"/>
  <c r="P9" i="15"/>
  <c r="M8" i="15"/>
  <c r="P8" i="15"/>
  <c r="O8" i="15"/>
  <c r="AD25" i="12"/>
  <c r="N24" i="15" s="1"/>
  <c r="J6" i="15"/>
  <c r="P6" i="15"/>
  <c r="O6" i="15"/>
  <c r="O11" i="13"/>
  <c r="O12" i="13" s="1"/>
  <c r="O13" i="13" s="1"/>
  <c r="O14" i="13" s="1"/>
  <c r="O15" i="13" s="1"/>
  <c r="O16" i="13" s="1"/>
  <c r="O17" i="13" s="1"/>
  <c r="O18" i="13" s="1"/>
  <c r="O19" i="13" s="1"/>
  <c r="O20" i="13" s="1"/>
  <c r="O21" i="13" s="1"/>
  <c r="O22" i="13" s="1"/>
  <c r="O23" i="13" s="1"/>
  <c r="O24" i="13" s="1"/>
  <c r="AB5" i="13"/>
  <c r="T7" i="13"/>
  <c r="K7" i="13"/>
  <c r="AB24" i="13"/>
  <c r="V19" i="13"/>
  <c r="K23" i="13"/>
  <c r="AB17" i="13"/>
  <c r="J34" i="15"/>
  <c r="I46" i="15"/>
  <c r="G46" i="15"/>
  <c r="AG6" i="12"/>
  <c r="I47" i="15"/>
  <c r="W11" i="12"/>
  <c r="L10" i="15"/>
  <c r="K10" i="15"/>
  <c r="I12" i="15"/>
  <c r="N9" i="15"/>
  <c r="T18" i="12"/>
  <c r="M9" i="15"/>
  <c r="L46" i="15"/>
  <c r="L9" i="15"/>
  <c r="G9" i="15"/>
  <c r="L3" i="15"/>
  <c r="J33" i="15"/>
  <c r="G33" i="15"/>
  <c r="L33" i="15"/>
  <c r="K30" i="15"/>
  <c r="K32" i="15"/>
  <c r="G31" i="15"/>
  <c r="H38" i="15"/>
  <c r="I30" i="15"/>
  <c r="J10" i="15"/>
  <c r="K3" i="15"/>
  <c r="M3" i="15"/>
  <c r="N8" i="15"/>
  <c r="K44" i="15"/>
  <c r="W6" i="12"/>
  <c r="N3" i="15"/>
  <c r="M7" i="15"/>
  <c r="G38" i="15"/>
  <c r="N7" i="15"/>
  <c r="K7" i="15"/>
  <c r="J7" i="15"/>
  <c r="L7" i="15"/>
  <c r="I7" i="15"/>
  <c r="T8" i="12"/>
  <c r="N6" i="15"/>
  <c r="G6" i="15"/>
  <c r="K6" i="15"/>
  <c r="W7" i="12"/>
  <c r="M5" i="15"/>
  <c r="W8" i="12"/>
  <c r="J36" i="15"/>
  <c r="G36" i="15"/>
  <c r="I38" i="15"/>
  <c r="J40" i="15"/>
  <c r="G40" i="15"/>
  <c r="J39" i="15"/>
  <c r="I39" i="15"/>
  <c r="I45" i="15"/>
  <c r="L45" i="15"/>
  <c r="H39" i="15"/>
  <c r="H41" i="15"/>
  <c r="I35" i="15"/>
  <c r="W13" i="12"/>
  <c r="N12" i="15"/>
  <c r="M12" i="15"/>
  <c r="L32" i="15"/>
  <c r="J11" i="15"/>
  <c r="K12" i="12"/>
  <c r="N4" i="15"/>
  <c r="W5" i="12"/>
  <c r="H4" i="15"/>
  <c r="K4" i="15"/>
  <c r="G43" i="15"/>
  <c r="M10" i="15"/>
  <c r="J9" i="15"/>
  <c r="M6" i="15"/>
  <c r="L6" i="15"/>
  <c r="K5" i="15"/>
  <c r="J41" i="15"/>
  <c r="G47" i="15"/>
  <c r="I34" i="15"/>
  <c r="W12" i="12"/>
  <c r="M11" i="15"/>
  <c r="W14" i="12"/>
  <c r="L13" i="15"/>
  <c r="T14" i="12"/>
  <c r="G10" i="15"/>
  <c r="W10" i="12"/>
  <c r="I44" i="15"/>
  <c r="H44" i="15"/>
  <c r="L42" i="15"/>
  <c r="K42" i="15"/>
  <c r="G41" i="15"/>
  <c r="L43" i="15"/>
  <c r="K43" i="15"/>
  <c r="J43" i="15"/>
  <c r="I40" i="15"/>
  <c r="I36" i="15"/>
  <c r="H36" i="15"/>
  <c r="L34" i="15"/>
  <c r="L35" i="15"/>
  <c r="H33" i="15"/>
  <c r="L31" i="15"/>
  <c r="K31" i="15"/>
  <c r="I31" i="15"/>
  <c r="J5" i="15"/>
  <c r="G8" i="15"/>
  <c r="L8" i="15"/>
  <c r="W9" i="12"/>
  <c r="N11" i="15"/>
  <c r="K8" i="15"/>
  <c r="J8" i="15"/>
  <c r="G5" i="15"/>
  <c r="L11" i="15"/>
  <c r="I8" i="15"/>
  <c r="M4" i="15"/>
  <c r="L4" i="15"/>
  <c r="I11" i="15"/>
  <c r="K9" i="12"/>
  <c r="W15" i="12"/>
  <c r="N5" i="15"/>
  <c r="H3" i="15"/>
  <c r="I3" i="15"/>
  <c r="AD6" i="13"/>
  <c r="F20" i="13"/>
  <c r="AC20" i="13" s="1"/>
  <c r="M20" i="13"/>
  <c r="V20" i="13"/>
  <c r="T17" i="12"/>
  <c r="J13" i="13"/>
  <c r="U5" i="13"/>
  <c r="AG11" i="12"/>
  <c r="F17" i="13"/>
  <c r="AC17" i="13" s="1"/>
  <c r="L10" i="13"/>
  <c r="AB19" i="13"/>
  <c r="AD25" i="13"/>
  <c r="M14" i="13"/>
  <c r="M11" i="13"/>
  <c r="T5" i="13"/>
  <c r="Y21" i="13"/>
  <c r="AB20" i="13"/>
  <c r="J20" i="13"/>
  <c r="S15" i="13"/>
  <c r="AD16" i="13"/>
  <c r="J17" i="13"/>
  <c r="K20" i="13"/>
  <c r="F23" i="13"/>
  <c r="AC23" i="13" s="1"/>
  <c r="Y25" i="13"/>
  <c r="S18" i="13"/>
  <c r="Y6" i="13"/>
  <c r="L17" i="13"/>
  <c r="L20" i="13"/>
  <c r="J23" i="13"/>
  <c r="X24" i="13"/>
  <c r="K24" i="13"/>
  <c r="K13" i="13"/>
  <c r="X17" i="13"/>
  <c r="U20" i="13"/>
  <c r="M23" i="13"/>
  <c r="Y9" i="13"/>
  <c r="W20" i="13"/>
  <c r="V23" i="13"/>
  <c r="L11" i="13"/>
  <c r="K14" i="13"/>
  <c r="X20" i="13"/>
  <c r="X23" i="13"/>
  <c r="X13" i="13"/>
  <c r="AB22" i="13"/>
  <c r="J11" i="13"/>
  <c r="F13" i="13"/>
  <c r="AC13" i="13" s="1"/>
  <c r="AD13" i="13" s="1"/>
  <c r="X19" i="13"/>
  <c r="AD21" i="13"/>
  <c r="AD9" i="13"/>
  <c r="L13" i="13"/>
  <c r="S21" i="13"/>
  <c r="K22" i="13"/>
  <c r="M13" i="13"/>
  <c r="T11" i="13"/>
  <c r="T14" i="13"/>
  <c r="M22" i="13"/>
  <c r="F22" i="13"/>
  <c r="AC22" i="13" s="1"/>
  <c r="U11" i="13"/>
  <c r="U14" i="13"/>
  <c r="S25" i="13"/>
  <c r="X11" i="13"/>
  <c r="T13" i="13"/>
  <c r="AB14" i="13"/>
  <c r="J19" i="13"/>
  <c r="T22" i="13"/>
  <c r="T23" i="13"/>
  <c r="L22" i="13"/>
  <c r="AB11" i="13"/>
  <c r="U13" i="13"/>
  <c r="U22" i="13"/>
  <c r="U23" i="13"/>
  <c r="S8" i="13"/>
  <c r="W13" i="13"/>
  <c r="Y15" i="13"/>
  <c r="U19" i="13"/>
  <c r="X22" i="13"/>
  <c r="F11" i="13"/>
  <c r="AC11" i="13" s="1"/>
  <c r="S16" i="13"/>
  <c r="K17" i="13"/>
  <c r="W19" i="13"/>
  <c r="AB23" i="13"/>
  <c r="AG10" i="12"/>
  <c r="T10" i="12"/>
  <c r="T9" i="12"/>
  <c r="AG4" i="12"/>
  <c r="T12" i="12"/>
  <c r="T6" i="12"/>
  <c r="T16" i="12"/>
  <c r="AG12" i="12"/>
  <c r="T11" i="12"/>
  <c r="AG14" i="12"/>
  <c r="T7" i="12"/>
  <c r="AG5" i="12"/>
  <c r="AG15" i="12"/>
  <c r="AG7" i="12"/>
  <c r="T13" i="12"/>
  <c r="AG8" i="12"/>
  <c r="T5" i="12"/>
  <c r="AG9" i="12"/>
  <c r="T15" i="12"/>
  <c r="AG16" i="12"/>
  <c r="X7" i="13"/>
  <c r="AB7" i="13"/>
  <c r="F7" i="13"/>
  <c r="AC7" i="13" s="1"/>
  <c r="L7" i="13"/>
  <c r="M7" i="13"/>
  <c r="J24" i="13"/>
  <c r="F24" i="13"/>
  <c r="AC24" i="13" s="1"/>
  <c r="AD24" i="13" s="1"/>
  <c r="L24" i="13"/>
  <c r="M24" i="13"/>
  <c r="T24" i="13"/>
  <c r="V24" i="13"/>
  <c r="W24" i="13"/>
  <c r="F19" i="13"/>
  <c r="AC19" i="13" s="1"/>
  <c r="K19" i="13"/>
  <c r="L19" i="13"/>
  <c r="M19" i="13"/>
  <c r="M17" i="13"/>
  <c r="T17" i="13"/>
  <c r="U17" i="13"/>
  <c r="V17" i="13"/>
  <c r="AD18" i="13"/>
  <c r="AD8" i="13"/>
  <c r="AD15" i="13"/>
  <c r="W10" i="13"/>
  <c r="S9" i="13"/>
  <c r="F10" i="13"/>
  <c r="AC10" i="13" s="1"/>
  <c r="X10" i="13"/>
  <c r="E35" i="13"/>
  <c r="Y8" i="13"/>
  <c r="J10" i="13"/>
  <c r="T12" i="13"/>
  <c r="Y16" i="13"/>
  <c r="K10" i="13"/>
  <c r="U12" i="13"/>
  <c r="M10" i="13"/>
  <c r="X12" i="13"/>
  <c r="J12" i="13"/>
  <c r="Y18" i="13"/>
  <c r="F5" i="13"/>
  <c r="AC5" i="13" s="1"/>
  <c r="X5" i="13"/>
  <c r="K12" i="13"/>
  <c r="V14" i="13"/>
  <c r="J5" i="13"/>
  <c r="W11" i="13"/>
  <c r="L12" i="13"/>
  <c r="F14" i="13"/>
  <c r="AC14" i="13" s="1"/>
  <c r="W14" i="13"/>
  <c r="V22" i="13"/>
  <c r="W12" i="13"/>
  <c r="AB10" i="13"/>
  <c r="F12" i="13"/>
  <c r="AC12" i="13" s="1"/>
  <c r="AD12" i="13" s="1"/>
  <c r="W5" i="13"/>
  <c r="K5" i="13"/>
  <c r="M12" i="13"/>
  <c r="J14" i="13"/>
  <c r="X14" i="13"/>
  <c r="W22" i="13"/>
  <c r="L5" i="13"/>
  <c r="S6" i="13"/>
  <c r="T10" i="13"/>
  <c r="M5" i="13"/>
  <c r="K17" i="12"/>
  <c r="K14" i="12"/>
  <c r="K11" i="12"/>
  <c r="K8" i="12"/>
  <c r="K5" i="12"/>
  <c r="K19" i="12"/>
  <c r="K15" i="12"/>
  <c r="AB20" i="12"/>
  <c r="AD20" i="12" s="1"/>
  <c r="K6" i="12"/>
  <c r="T4" i="12"/>
  <c r="J4" i="12"/>
  <c r="J29" i="12" s="1"/>
  <c r="Z4" i="12"/>
  <c r="Z29" i="12" s="1"/>
  <c r="AA4" i="12"/>
  <c r="AA29" i="12" s="1"/>
  <c r="K7" i="12"/>
  <c r="K10" i="12"/>
  <c r="K13" i="12"/>
  <c r="K16" i="12"/>
  <c r="L4" i="12"/>
  <c r="L29" i="12" s="1"/>
  <c r="K18" i="12"/>
  <c r="U34" i="13" l="1"/>
  <c r="M34" i="13"/>
  <c r="AG29" i="12"/>
  <c r="L34" i="13"/>
  <c r="X34" i="13"/>
  <c r="D8" i="14" s="1"/>
  <c r="AB34" i="13"/>
  <c r="D9" i="14" s="1"/>
  <c r="AC34" i="13"/>
  <c r="D10" i="14" s="1"/>
  <c r="T34" i="13"/>
  <c r="W34" i="13"/>
  <c r="K34" i="13"/>
  <c r="V34" i="13"/>
  <c r="J34" i="13"/>
  <c r="O34" i="13"/>
  <c r="D16" i="14" s="1"/>
  <c r="O59" i="15"/>
  <c r="N59" i="15"/>
  <c r="P59" i="15"/>
  <c r="P60" i="15" s="1"/>
  <c r="M59" i="15"/>
  <c r="O22" i="15"/>
  <c r="O24" i="15"/>
  <c r="N22" i="15"/>
  <c r="M28" i="15"/>
  <c r="W29" i="12"/>
  <c r="T29" i="12"/>
  <c r="AD5" i="13"/>
  <c r="AD17" i="13"/>
  <c r="AB12" i="12"/>
  <c r="K11" i="15"/>
  <c r="AA25" i="13"/>
  <c r="J47" i="15" s="1"/>
  <c r="H47" i="15"/>
  <c r="AB9" i="12"/>
  <c r="AD23" i="13"/>
  <c r="Y23" i="13"/>
  <c r="AD20" i="13"/>
  <c r="AD11" i="13"/>
  <c r="Y20" i="13"/>
  <c r="AB10" i="12"/>
  <c r="H8" i="14"/>
  <c r="D17" i="14"/>
  <c r="AB15" i="12"/>
  <c r="S22" i="13"/>
  <c r="S7" i="13"/>
  <c r="S11" i="13"/>
  <c r="AD22" i="13"/>
  <c r="Y11" i="13"/>
  <c r="Y13" i="13"/>
  <c r="AA8" i="13"/>
  <c r="AD19" i="13"/>
  <c r="S20" i="13"/>
  <c r="AA16" i="13"/>
  <c r="S13" i="13"/>
  <c r="AD14" i="13"/>
  <c r="AA9" i="13"/>
  <c r="S23" i="13"/>
  <c r="S19" i="13"/>
  <c r="Y22" i="13"/>
  <c r="Y24" i="13"/>
  <c r="S17" i="13"/>
  <c r="AB5" i="12"/>
  <c r="Y7" i="13"/>
  <c r="AD7" i="13"/>
  <c r="S24" i="13"/>
  <c r="Y19" i="13"/>
  <c r="Y17" i="13"/>
  <c r="AD10" i="13"/>
  <c r="S10" i="13"/>
  <c r="Y10" i="13"/>
  <c r="S12" i="13"/>
  <c r="Y12" i="13"/>
  <c r="Y14" i="13"/>
  <c r="S14" i="13"/>
  <c r="Y5" i="13"/>
  <c r="S5" i="13"/>
  <c r="AB11" i="12"/>
  <c r="AB14" i="12"/>
  <c r="AB18" i="12"/>
  <c r="AB16" i="12"/>
  <c r="AD16" i="12" s="1"/>
  <c r="AB19" i="12"/>
  <c r="AD19" i="12" s="1"/>
  <c r="AB6" i="12"/>
  <c r="AB8" i="12"/>
  <c r="K4" i="12"/>
  <c r="K29" i="12" s="1"/>
  <c r="AB7" i="12"/>
  <c r="AB17" i="12"/>
  <c r="AD17" i="12" s="1"/>
  <c r="AB13" i="12"/>
  <c r="D6" i="14" l="1"/>
  <c r="S34" i="13"/>
  <c r="AD34" i="13"/>
  <c r="H14" i="14" s="1"/>
  <c r="Y34" i="13"/>
  <c r="O28" i="15"/>
  <c r="O60" i="15" s="1"/>
  <c r="D7" i="14"/>
  <c r="AA20" i="13"/>
  <c r="J42" i="15" s="1"/>
  <c r="AA23" i="13"/>
  <c r="J45" i="15" s="1"/>
  <c r="AD12" i="12"/>
  <c r="G11" i="15" s="1"/>
  <c r="D12" i="14"/>
  <c r="K45" i="15"/>
  <c r="G4" i="15"/>
  <c r="I43" i="15"/>
  <c r="AA18" i="13"/>
  <c r="K40" i="15" s="1"/>
  <c r="F60" i="15"/>
  <c r="I13" i="15"/>
  <c r="G45" i="15"/>
  <c r="AA21" i="13"/>
  <c r="H43" i="15" s="1"/>
  <c r="AA15" i="13"/>
  <c r="K38" i="15" s="1"/>
  <c r="AA6" i="13"/>
  <c r="J31" i="15" s="1"/>
  <c r="AD18" i="12"/>
  <c r="N28" i="15" s="1"/>
  <c r="AD10" i="12"/>
  <c r="I9" i="15" s="1"/>
  <c r="AD7" i="12"/>
  <c r="I6" i="15" s="1"/>
  <c r="H6" i="15"/>
  <c r="AD6" i="12"/>
  <c r="I5" i="15" s="1"/>
  <c r="H5" i="15"/>
  <c r="AD5" i="12"/>
  <c r="J4" i="15" s="1"/>
  <c r="AD14" i="12"/>
  <c r="AD13" i="12"/>
  <c r="L12" i="15" s="1"/>
  <c r="L28" i="15" s="1"/>
  <c r="AD9" i="12"/>
  <c r="H8" i="15" s="1"/>
  <c r="AD8" i="12"/>
  <c r="H7" i="15" s="1"/>
  <c r="AD11" i="12"/>
  <c r="I10" i="15" s="1"/>
  <c r="AD15" i="12"/>
  <c r="I14" i="15" s="1"/>
  <c r="H13" i="14"/>
  <c r="H6" i="14"/>
  <c r="H7" i="14"/>
  <c r="D11" i="14"/>
  <c r="H9" i="14"/>
  <c r="AB4" i="12"/>
  <c r="AB29" i="12" s="1"/>
  <c r="H10" i="15" l="1"/>
  <c r="H9" i="15"/>
  <c r="H45" i="15"/>
  <c r="D18" i="14"/>
  <c r="H15" i="14"/>
  <c r="J30" i="15"/>
  <c r="L38" i="15"/>
  <c r="H42" i="15"/>
  <c r="L40" i="15"/>
  <c r="K12" i="15"/>
  <c r="K28" i="15" s="1"/>
  <c r="H37" i="15"/>
  <c r="I15" i="15"/>
  <c r="I28" i="15" s="1"/>
  <c r="I42" i="15"/>
  <c r="I37" i="15"/>
  <c r="K41" i="15"/>
  <c r="K46" i="15"/>
  <c r="J14" i="15"/>
  <c r="J13" i="15"/>
  <c r="J28" i="15" s="1"/>
  <c r="AA19" i="13"/>
  <c r="I41" i="15" s="1"/>
  <c r="AA22" i="13"/>
  <c r="G44" i="15" s="1"/>
  <c r="AA24" i="13"/>
  <c r="J46" i="15" s="1"/>
  <c r="AA17" i="13"/>
  <c r="L39" i="15" s="1"/>
  <c r="AA11" i="13"/>
  <c r="K34" i="15" s="1"/>
  <c r="AA14" i="13"/>
  <c r="K37" i="15" s="1"/>
  <c r="G37" i="15"/>
  <c r="AA12" i="13"/>
  <c r="G35" i="15" s="1"/>
  <c r="AA13" i="13"/>
  <c r="L36" i="15" s="1"/>
  <c r="AA10" i="13"/>
  <c r="I33" i="15" s="1"/>
  <c r="AA7" i="13"/>
  <c r="I32" i="15" s="1"/>
  <c r="G32" i="15"/>
  <c r="AA5" i="13"/>
  <c r="G30" i="15"/>
  <c r="AC29" i="12"/>
  <c r="H10" i="14"/>
  <c r="D14" i="14" s="1"/>
  <c r="H11" i="14"/>
  <c r="D15" i="14"/>
  <c r="I59" i="15" l="1"/>
  <c r="I60" i="15" s="1"/>
  <c r="H28" i="15"/>
  <c r="L30" i="15"/>
  <c r="AA34" i="13"/>
  <c r="N60" i="15"/>
  <c r="G34" i="15"/>
  <c r="G59" i="15" s="1"/>
  <c r="H46" i="15"/>
  <c r="H35" i="15"/>
  <c r="J44" i="15"/>
  <c r="J37" i="15"/>
  <c r="L37" i="15"/>
  <c r="J32" i="15"/>
  <c r="H34" i="15"/>
  <c r="K39" i="15"/>
  <c r="K36" i="15"/>
  <c r="M60" i="15"/>
  <c r="H32" i="15"/>
  <c r="K35" i="15"/>
  <c r="Z36" i="13"/>
  <c r="AC30" i="12"/>
  <c r="AD4" i="12"/>
  <c r="AD29" i="12" s="1"/>
  <c r="Z35" i="13"/>
  <c r="Z37" i="13" s="1"/>
  <c r="K59" i="15" l="1"/>
  <c r="K60" i="15" s="1"/>
  <c r="L59" i="15"/>
  <c r="L60" i="15" s="1"/>
  <c r="J59" i="15"/>
  <c r="J60" i="15" s="1"/>
  <c r="H59" i="15"/>
  <c r="G3" i="15"/>
  <c r="G28" i="15" s="1"/>
  <c r="Q28" i="15" s="1"/>
  <c r="H12" i="14"/>
  <c r="Q59" i="15" l="1"/>
  <c r="H60" i="15"/>
  <c r="D13" i="14"/>
  <c r="D19" i="14" s="1"/>
  <c r="H16" i="14"/>
  <c r="G60" i="15"/>
  <c r="Z38" i="13"/>
  <c r="Q60" i="15" l="1"/>
</calcChain>
</file>

<file path=xl/sharedStrings.xml><?xml version="1.0" encoding="utf-8"?>
<sst xmlns="http://schemas.openxmlformats.org/spreadsheetml/2006/main" count="603" uniqueCount="243">
  <si>
    <t>TAMPA PALMS #1</t>
  </si>
  <si>
    <t>TAMPA PALMS #2</t>
  </si>
  <si>
    <t>TAMPA PALMS #3</t>
  </si>
  <si>
    <t>TAMPA PALMS #4</t>
  </si>
  <si>
    <t>C.R. 542</t>
  </si>
  <si>
    <t>COLUMBUS DRIVE #1</t>
  </si>
  <si>
    <t>COLUMBUS DRIVE #2</t>
  </si>
  <si>
    <t>BAYSIDE STATION</t>
  </si>
  <si>
    <t>Footage</t>
  </si>
  <si>
    <t>Survey</t>
  </si>
  <si>
    <t>Survey &amp; LiDAR</t>
  </si>
  <si>
    <t>Engineering</t>
  </si>
  <si>
    <t>Total</t>
  </si>
  <si>
    <t>EAST OF SYDNEY WASHER RD</t>
  </si>
  <si>
    <t>HAMPTON SUBSTATION</t>
  </si>
  <si>
    <t>BLOUNT RD</t>
  </si>
  <si>
    <t>WEST OF FORBES RD</t>
  </si>
  <si>
    <t>MORRIS BRIDGE RD</t>
  </si>
  <si>
    <t>19TH AV NE</t>
  </si>
  <si>
    <t>Construction</t>
  </si>
  <si>
    <t>Construction (w/ Flexamat)</t>
  </si>
  <si>
    <t>Permit</t>
  </si>
  <si>
    <t>Mitigation</t>
  </si>
  <si>
    <t>Permit (Bridge + Road)</t>
  </si>
  <si>
    <t>16' Bank Stabilization (per foot)</t>
  </si>
  <si>
    <t>w/ Permit &amp; Mitigation</t>
  </si>
  <si>
    <t>Pemit &amp; Mitigation</t>
  </si>
  <si>
    <t>Mitigation (Bridge &amp; Stabilization)</t>
  </si>
  <si>
    <t>14' Road</t>
  </si>
  <si>
    <t>Acres</t>
  </si>
  <si>
    <t>Linear Feet</t>
  </si>
  <si>
    <t>R7</t>
  </si>
  <si>
    <t>Permit &amp; Mitigation</t>
  </si>
  <si>
    <t>[$50k/bridge + $60k/mi rd]</t>
  </si>
  <si>
    <t>ASSUMPTIONS:</t>
  </si>
  <si>
    <t>Estimate for Permitting $50k per bridge</t>
  </si>
  <si>
    <t>from Nate Alcoz</t>
  </si>
  <si>
    <t>Circuit</t>
  </si>
  <si>
    <t>R4 + Sub-base</t>
  </si>
  <si>
    <t>Real Estate</t>
  </si>
  <si>
    <t>Boundary Survey</t>
  </si>
  <si>
    <t>miles</t>
  </si>
  <si>
    <t>[$60k/mi rd]</t>
  </si>
  <si>
    <t>R6 (Cabled Concrete)</t>
  </si>
  <si>
    <t>Bridge Construction construction estimate from Polk Project (York Bridge Concepts)</t>
  </si>
  <si>
    <t>Estimate for Permitting $60k per road mile</t>
  </si>
  <si>
    <t>Boundary Survey costs $3.69 from GFY</t>
  </si>
  <si>
    <t xml:space="preserve">Road Type - 2.5% R6, 15% R7, 82.5% R4 </t>
  </si>
  <si>
    <t>Road Construction costs [R4 - $95.60 / R7 - $144.75 / R6 - $418.40 / sub-base - $97.81] from P&amp;J (Scotty Orr)</t>
  </si>
  <si>
    <t>Sub-base is only needed under 25% of R4 road, so $25 was used.</t>
  </si>
  <si>
    <t>Bridge ENG &amp; CON - for budget - 25% ENG &amp; 75% CON</t>
  </si>
  <si>
    <t>Proposed Bridge A</t>
  </si>
  <si>
    <t>Proposed Bridge M</t>
  </si>
  <si>
    <t>Proposed Bridge P</t>
  </si>
  <si>
    <t>[$175k * AC/2]</t>
  </si>
  <si>
    <t>Removal</t>
  </si>
  <si>
    <t>Estimate for Mitigation $175k * (AC/2)</t>
  </si>
  <si>
    <t>Bridge Removal is based on a $52k per bridge removal cost + 6% M/U</t>
  </si>
  <si>
    <t>Contingency</t>
  </si>
  <si>
    <t>Bridge ENG, RM &amp; CONST (per foot)</t>
  </si>
  <si>
    <t xml:space="preserve">Bridge Construction includes contractor installation of bridge approaches.  </t>
  </si>
  <si>
    <t>14' Bridge Approach (per foot)</t>
  </si>
  <si>
    <t>Project Management</t>
  </si>
  <si>
    <t>Construction Support</t>
  </si>
  <si>
    <t>Project &amp; Construction Management</t>
  </si>
  <si>
    <t>6% Subcontractor Markup</t>
  </si>
  <si>
    <t xml:space="preserve">York &amp; Road Contractor </t>
  </si>
  <si>
    <t>Escalation</t>
  </si>
  <si>
    <t xml:space="preserve">Road Contractor </t>
  </si>
  <si>
    <t>Culverts</t>
  </si>
  <si>
    <t>Soil Borings</t>
  </si>
  <si>
    <t xml:space="preserve">Tree Trimming </t>
  </si>
  <si>
    <t>Fencing/Gates</t>
  </si>
  <si>
    <t>Overall Project Estimate Summary</t>
  </si>
  <si>
    <t>Original Budget</t>
  </si>
  <si>
    <t xml:space="preserve">        Surveying </t>
  </si>
  <si>
    <t xml:space="preserve">        Construction Oversight</t>
  </si>
  <si>
    <t xml:space="preserve">        Permitting</t>
  </si>
  <si>
    <t xml:space="preserve">        Mitigation</t>
  </si>
  <si>
    <t xml:space="preserve">        Road Construction</t>
  </si>
  <si>
    <t xml:space="preserve">        Bridge Construction</t>
  </si>
  <si>
    <t>-</t>
  </si>
  <si>
    <t xml:space="preserve">        Subcontractor M/U (6%)</t>
  </si>
  <si>
    <t xml:space="preserve">        Escalation over time</t>
  </si>
  <si>
    <t xml:space="preserve">        Total</t>
  </si>
  <si>
    <t>6% Subcontractor M/U</t>
  </si>
  <si>
    <t>Bridge Construction Only</t>
  </si>
  <si>
    <t>Road Construction Only</t>
  </si>
  <si>
    <t xml:space="preserve">        Tree Trim / Fencing</t>
  </si>
  <si>
    <t xml:space="preserve">Base Cost per Foot </t>
  </si>
  <si>
    <t>Cost  / mile total</t>
  </si>
  <si>
    <t>Survey/LiDAR</t>
  </si>
  <si>
    <t>Engineering/Project Management</t>
  </si>
  <si>
    <t>Construction Oversight</t>
  </si>
  <si>
    <t>Tree Trimming/Fencing/Gates</t>
  </si>
  <si>
    <t>REV3 Estimate</t>
  </si>
  <si>
    <t>Escalation 
(By 1898)</t>
  </si>
  <si>
    <t>(By 1898)</t>
  </si>
  <si>
    <t>Placeholder FP</t>
  </si>
  <si>
    <t>WO</t>
  </si>
  <si>
    <t>Work Pro WR#</t>
  </si>
  <si>
    <t>TXE - TBD4</t>
  </si>
  <si>
    <t>PRE-09816.1</t>
  </si>
  <si>
    <t>WR#2313981</t>
  </si>
  <si>
    <t>TBD</t>
  </si>
  <si>
    <t>TXE - TBD12</t>
  </si>
  <si>
    <t>PRE-09837.1</t>
  </si>
  <si>
    <t>WR#2318656</t>
  </si>
  <si>
    <t>TXE - TBD16</t>
  </si>
  <si>
    <t>PRE-09841.1</t>
  </si>
  <si>
    <t>WR#2318671</t>
  </si>
  <si>
    <t>TXE - TBD14</t>
  </si>
  <si>
    <t>PRE-09839.1</t>
  </si>
  <si>
    <t>WR#2318663</t>
  </si>
  <si>
    <t>TXE - TBD17</t>
  </si>
  <si>
    <t>PRE-09842.1</t>
  </si>
  <si>
    <t>WR#2318676</t>
  </si>
  <si>
    <t>TXE - TBD6</t>
  </si>
  <si>
    <t>PRE-09818.1</t>
  </si>
  <si>
    <t>WR#2314042</t>
  </si>
  <si>
    <t>TXE - TBD13</t>
  </si>
  <si>
    <t>PRE-09838.1</t>
  </si>
  <si>
    <t>WR#2318659</t>
  </si>
  <si>
    <t>TXE - TBD11</t>
  </si>
  <si>
    <t>PRE-09836.1</t>
  </si>
  <si>
    <t>WR#2318651</t>
  </si>
  <si>
    <t>TXE - TBD2</t>
  </si>
  <si>
    <t>PRE-09814.1</t>
  </si>
  <si>
    <t>WR#2313972</t>
  </si>
  <si>
    <t>TXE - TBD10</t>
  </si>
  <si>
    <t>PRE-09822.1</t>
  </si>
  <si>
    <t>WR#2314074</t>
  </si>
  <si>
    <t>TXE - TBD8</t>
  </si>
  <si>
    <t>PRE-09820.1</t>
  </si>
  <si>
    <t>WR#2314055</t>
  </si>
  <si>
    <t>TXE - TBD5</t>
  </si>
  <si>
    <t>PRE-09817.1</t>
  </si>
  <si>
    <t>WR#2314000</t>
  </si>
  <si>
    <t>TXE - TBD1</t>
  </si>
  <si>
    <t>PRE-09813.1</t>
  </si>
  <si>
    <t>WR#2313969</t>
  </si>
  <si>
    <t>TXE - TBD9</t>
  </si>
  <si>
    <t>PRE-09821.1</t>
  </si>
  <si>
    <t>WR#2314067</t>
  </si>
  <si>
    <t>TXE - TBD7</t>
  </si>
  <si>
    <t>PRE-09819.1</t>
  </si>
  <si>
    <t>WR#2314047</t>
  </si>
  <si>
    <t>TXE - TBD15</t>
  </si>
  <si>
    <t>PRE-09840.1</t>
  </si>
  <si>
    <t>WR#2318665</t>
  </si>
  <si>
    <t>TXE - TBD18</t>
  </si>
  <si>
    <t>PRE-09843.1</t>
  </si>
  <si>
    <t>WR#2318681</t>
  </si>
  <si>
    <t>TXE - TBD3</t>
  </si>
  <si>
    <t>PRE-09815.1</t>
  </si>
  <si>
    <t>WR#2313976</t>
  </si>
  <si>
    <t>TXE - TBD20</t>
  </si>
  <si>
    <t>PRE-09872.1</t>
  </si>
  <si>
    <t>WR#2343379</t>
  </si>
  <si>
    <t>TXE - TBD21</t>
  </si>
  <si>
    <t>PRE-09873.1</t>
  </si>
  <si>
    <t>WR#2343382</t>
  </si>
  <si>
    <t>TXE - TBD22</t>
  </si>
  <si>
    <t>PRE-09874.1</t>
  </si>
  <si>
    <t>WR#2343383</t>
  </si>
  <si>
    <t>TXE - TBD23</t>
  </si>
  <si>
    <t>PRE-09875.1</t>
  </si>
  <si>
    <t>WR#2343385</t>
  </si>
  <si>
    <t>TXE - TBD24</t>
  </si>
  <si>
    <t>PRE-09876.1</t>
  </si>
  <si>
    <t>WR#2343386</t>
  </si>
  <si>
    <t>TXE - TBD25</t>
  </si>
  <si>
    <t>PRE-09877.1</t>
  </si>
  <si>
    <t>WR#2343389</t>
  </si>
  <si>
    <t>TXE - TBD26</t>
  </si>
  <si>
    <t>PRE-09878.1</t>
  </si>
  <si>
    <t>WR#2343392</t>
  </si>
  <si>
    <t>TXE - TBD27</t>
  </si>
  <si>
    <t>PRE-09879.1</t>
  </si>
  <si>
    <t>WR#2343395</t>
  </si>
  <si>
    <t>TXE - TBD28</t>
  </si>
  <si>
    <t>PRE-09880.1</t>
  </si>
  <si>
    <t>WR#2343398</t>
  </si>
  <si>
    <t>TXE - TBD30</t>
  </si>
  <si>
    <t>PRE-09881.1</t>
  </si>
  <si>
    <t>WR#2343399</t>
  </si>
  <si>
    <r>
      <t>4% Escalation (</t>
    </r>
    <r>
      <rPr>
        <i/>
        <sz val="11"/>
        <color theme="1"/>
        <rFont val="Calibri"/>
        <family val="2"/>
        <scheme val="minor"/>
      </rPr>
      <t>By 1898</t>
    </r>
    <r>
      <rPr>
        <sz val="11"/>
        <color theme="1"/>
        <rFont val="Calibri"/>
        <family val="2"/>
        <scheme val="minor"/>
      </rPr>
      <t>)</t>
    </r>
  </si>
  <si>
    <t>n/a</t>
  </si>
  <si>
    <t xml:space="preserve">        Soil Borings</t>
  </si>
  <si>
    <t xml:space="preserve">Revised Year of Const. </t>
  </si>
  <si>
    <t xml:space="preserve">1898 Year of Const. </t>
  </si>
  <si>
    <t>Revised Year of Const.</t>
  </si>
  <si>
    <t>1898 Year of Const.</t>
  </si>
  <si>
    <t>Overall Bayside SOW TBD</t>
  </si>
  <si>
    <t>Developer creating access</t>
  </si>
  <si>
    <t>Reason for Deferring</t>
  </si>
  <si>
    <t>Req's 2600' of new road</t>
  </si>
  <si>
    <t>Existing access sufficient</t>
  </si>
  <si>
    <t>Extensive Public Outreach</t>
  </si>
  <si>
    <t>Veg SPP will provide access</t>
  </si>
  <si>
    <t>BRIDGE CONSTRUCTION</t>
  </si>
  <si>
    <t>ROAD CONSTRUCTION</t>
  </si>
  <si>
    <t>TOTAL</t>
  </si>
  <si>
    <t>COMBINED ROADS &amp; BRIDGES TOTAL</t>
  </si>
  <si>
    <t>COUNTY</t>
  </si>
  <si>
    <t>POLK</t>
  </si>
  <si>
    <t>HILLSBOROUGH</t>
  </si>
  <si>
    <t>Estimated 2021 PM/Engr/ECT/BJRock</t>
  </si>
  <si>
    <t>Estimated 2021 PM/Engr/ECT/BJR</t>
  </si>
  <si>
    <t xml:space="preserve">To be accounted for by 1898. </t>
  </si>
  <si>
    <t>Comment</t>
  </si>
  <si>
    <t>Highlighted green items were not estimated in the original budget estimate.</t>
  </si>
  <si>
    <t>Estimate is based on the following:</t>
  </si>
  <si>
    <t>2. Bringing the overall project in a couple years.</t>
  </si>
  <si>
    <t xml:space="preserve">3. Somewhat balancing the annual spend for 2023 and beyond. </t>
  </si>
  <si>
    <t xml:space="preserve">4. Grouping by County for permitting purposes. </t>
  </si>
  <si>
    <t xml:space="preserve">5. Proximity of projects to each other for construction/mobilization purposes. </t>
  </si>
  <si>
    <t>1. 1.4M planned spend for 2022.</t>
  </si>
  <si>
    <t>Proposed Year of Construction</t>
  </si>
  <si>
    <t>ROADS TOTAL</t>
  </si>
  <si>
    <t>BRIDGES TOTAL</t>
  </si>
  <si>
    <t>Subtotal</t>
  </si>
  <si>
    <t>RACETRACK ROAD (KML_1)</t>
  </si>
  <si>
    <t>COUNTRYWAY BLVD (KML_2)</t>
  </si>
  <si>
    <t>PROGRESS BLVD (KML_5)</t>
  </si>
  <si>
    <t>LITTLE FISHHAWK CREEK (KML_12)</t>
  </si>
  <si>
    <t>KEYSVILLE ROAD WEST (KML_14)</t>
  </si>
  <si>
    <t>KIRKLAND ROAD (KML_18)</t>
  </si>
  <si>
    <t>KEYSVILLE ROAD EAST (KML_20)</t>
  </si>
  <si>
    <t>HOLLOWAY ROAD (KML_15)</t>
  </si>
  <si>
    <t>HILLS &amp; POLK</t>
  </si>
  <si>
    <t>Cost / ft total w/ Permit, Mitigation</t>
  </si>
  <si>
    <t xml:space="preserve">        Contingency (0%)</t>
  </si>
  <si>
    <t>0% Contingency</t>
  </si>
  <si>
    <t>Estimate Summary for Projecte Scope of Work Through 2031</t>
  </si>
  <si>
    <t xml:space="preserve">The above road unit pricing were increased in this revision to account for inflation.  </t>
  </si>
  <si>
    <t>De-energized T-line</t>
  </si>
  <si>
    <t xml:space="preserve">        Engineering/Project Management</t>
  </si>
  <si>
    <t>Development being built</t>
  </si>
  <si>
    <t>Supplemental Road for Columbus Bridge #1 was renamed to 230010</t>
  </si>
  <si>
    <t>Length</t>
  </si>
  <si>
    <t>Matting</t>
  </si>
  <si>
    <t>Access Using Temporary 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</si>
</sst>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44" fontId="2" fillId="0" borderId="0" xfId="1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vertical="center"/>
    </xf>
    <xf numFmtId="164" fontId="0" fillId="3" borderId="4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vertical="center"/>
    </xf>
    <xf numFmtId="165" fontId="0" fillId="0" borderId="0" xfId="0" applyNumberFormat="1"/>
    <xf numFmtId="0" fontId="0" fillId="0" borderId="0" xfId="0" applyAlignment="1">
      <alignment horizontal="right" vertical="center"/>
    </xf>
    <xf numFmtId="44" fontId="2" fillId="0" borderId="0" xfId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0" fontId="0" fillId="0" borderId="3" xfId="0" applyBorder="1" applyAlignment="1">
      <alignment horizontal="center" vertical="center"/>
    </xf>
    <xf numFmtId="44" fontId="0" fillId="0" borderId="4" xfId="1" applyFont="1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1" applyFont="1" applyBorder="1" applyAlignment="1">
      <alignment horizontal="center" vertical="center" wrapText="1"/>
    </xf>
    <xf numFmtId="3" fontId="0" fillId="3" borderId="0" xfId="0" applyNumberFormat="1" applyFill="1"/>
    <xf numFmtId="2" fontId="0" fillId="3" borderId="0" xfId="0" applyNumberFormat="1" applyFill="1"/>
    <xf numFmtId="164" fontId="0" fillId="3" borderId="5" xfId="0" applyNumberFormat="1" applyFill="1" applyBorder="1"/>
    <xf numFmtId="164" fontId="0" fillId="3" borderId="13" xfId="0" applyNumberFormat="1" applyFill="1" applyBorder="1"/>
    <xf numFmtId="164" fontId="0" fillId="3" borderId="4" xfId="1" applyNumberFormat="1" applyFont="1" applyFill="1" applyBorder="1"/>
    <xf numFmtId="164" fontId="0" fillId="3" borderId="0" xfId="1" applyNumberFormat="1" applyFont="1" applyFill="1" applyBorder="1"/>
    <xf numFmtId="164" fontId="8" fillId="3" borderId="0" xfId="1" applyNumberFormat="1" applyFont="1" applyFill="1" applyBorder="1" applyAlignment="1">
      <alignment vertical="center"/>
    </xf>
    <xf numFmtId="44" fontId="0" fillId="0" borderId="0" xfId="0" applyNumberFormat="1"/>
    <xf numFmtId="0" fontId="0" fillId="3" borderId="0" xfId="0" applyFill="1" applyAlignment="1">
      <alignment horizontal="center" vertical="center"/>
    </xf>
    <xf numFmtId="164" fontId="0" fillId="3" borderId="4" xfId="0" applyNumberFormat="1" applyFill="1" applyBorder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2" fontId="0" fillId="2" borderId="0" xfId="0" applyNumberFormat="1" applyFill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13" xfId="0" applyNumberFormat="1" applyFill="1" applyBorder="1"/>
    <xf numFmtId="164" fontId="0" fillId="2" borderId="4" xfId="1" applyNumberFormat="1" applyFont="1" applyFill="1" applyBorder="1"/>
    <xf numFmtId="164" fontId="0" fillId="2" borderId="0" xfId="1" applyNumberFormat="1" applyFont="1" applyFill="1" applyBorder="1"/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Alignment="1">
      <alignment vertical="center"/>
    </xf>
    <xf numFmtId="44" fontId="0" fillId="0" borderId="0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2" borderId="4" xfId="0" applyNumberFormat="1" applyFill="1" applyBorder="1" applyAlignment="1">
      <alignment vertical="center"/>
    </xf>
    <xf numFmtId="164" fontId="0" fillId="3" borderId="4" xfId="0" applyNumberForma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9" fontId="2" fillId="0" borderId="5" xfId="2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4" fontId="2" fillId="0" borderId="13" xfId="1" applyFont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0" fillId="3" borderId="13" xfId="0" applyNumberFormat="1" applyFill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2" fillId="0" borderId="0" xfId="2" applyFont="1" applyFill="1" applyBorder="1" applyAlignment="1">
      <alignment vertical="center"/>
    </xf>
    <xf numFmtId="9" fontId="2" fillId="0" borderId="5" xfId="2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" fontId="0" fillId="3" borderId="0" xfId="0" applyNumberFormat="1" applyFill="1"/>
    <xf numFmtId="1" fontId="0" fillId="2" borderId="0" xfId="0" applyNumberFormat="1" applyFill="1"/>
    <xf numFmtId="0" fontId="2" fillId="0" borderId="1" xfId="0" applyFont="1" applyBorder="1" applyAlignment="1">
      <alignment horizontal="center" vertical="center"/>
    </xf>
    <xf numFmtId="9" fontId="1" fillId="0" borderId="0" xfId="2" applyFont="1" applyFill="1" applyBorder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8" fontId="2" fillId="0" borderId="0" xfId="1" applyNumberFormat="1" applyFont="1" applyAlignment="1">
      <alignment horizontal="center"/>
    </xf>
    <xf numFmtId="166" fontId="0" fillId="0" borderId="0" xfId="3" applyNumberFormat="1" applyFont="1"/>
    <xf numFmtId="166" fontId="0" fillId="0" borderId="0" xfId="0" applyNumberFormat="1"/>
    <xf numFmtId="9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0" applyNumberFormat="1" applyFont="1" applyAlignment="1">
      <alignment horizontal="center"/>
    </xf>
    <xf numFmtId="8" fontId="10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44" fontId="0" fillId="4" borderId="0" xfId="0" applyNumberFormat="1" applyFill="1" applyAlignment="1">
      <alignment horizontal="center"/>
    </xf>
    <xf numFmtId="44" fontId="0" fillId="4" borderId="0" xfId="1" applyFont="1" applyFill="1" applyAlignment="1">
      <alignment horizont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2" fillId="0" borderId="13" xfId="2" applyFont="1" applyBorder="1" applyAlignment="1">
      <alignment vertical="center"/>
    </xf>
    <xf numFmtId="4" fontId="0" fillId="0" borderId="0" xfId="0" applyNumberFormat="1"/>
    <xf numFmtId="9" fontId="2" fillId="0" borderId="13" xfId="2" applyFont="1" applyFill="1" applyBorder="1" applyAlignment="1">
      <alignment vertical="center"/>
    </xf>
    <xf numFmtId="44" fontId="2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44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0" fontId="11" fillId="3" borderId="0" xfId="0" applyFont="1" applyFill="1" applyAlignment="1">
      <alignment vertical="center"/>
    </xf>
    <xf numFmtId="44" fontId="0" fillId="0" borderId="4" xfId="0" applyNumberFormat="1" applyBorder="1" applyAlignment="1">
      <alignment vertical="center"/>
    </xf>
    <xf numFmtId="164" fontId="0" fillId="3" borderId="0" xfId="0" applyNumberFormat="1" applyFill="1"/>
    <xf numFmtId="0" fontId="11" fillId="3" borderId="0" xfId="0" applyFont="1" applyFill="1" applyAlignment="1">
      <alignment horizontal="center" vertical="center"/>
    </xf>
    <xf numFmtId="164" fontId="0" fillId="2" borderId="0" xfId="0" applyNumberFormat="1" applyFill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Border="1"/>
    <xf numFmtId="0" fontId="0" fillId="0" borderId="20" xfId="0" applyBorder="1"/>
    <xf numFmtId="164" fontId="2" fillId="0" borderId="25" xfId="0" applyNumberFormat="1" applyFont="1" applyBorder="1"/>
    <xf numFmtId="0" fontId="0" fillId="0" borderId="0" xfId="0" applyBorder="1"/>
    <xf numFmtId="0" fontId="0" fillId="0" borderId="23" xfId="0" applyBorder="1"/>
    <xf numFmtId="164" fontId="2" fillId="0" borderId="23" xfId="0" applyNumberFormat="1" applyFont="1" applyBorder="1"/>
    <xf numFmtId="164" fontId="0" fillId="0" borderId="0" xfId="1" applyNumberFormat="1" applyFont="1" applyFill="1" applyBorder="1"/>
    <xf numFmtId="0" fontId="0" fillId="0" borderId="0" xfId="0" applyFill="1" applyBorder="1"/>
    <xf numFmtId="0" fontId="0" fillId="0" borderId="20" xfId="0" applyFill="1" applyBorder="1"/>
    <xf numFmtId="0" fontId="0" fillId="0" borderId="0" xfId="0" applyFill="1"/>
    <xf numFmtId="0" fontId="2" fillId="0" borderId="17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9" xfId="0" applyFill="1" applyBorder="1" applyAlignment="1">
      <alignment horizontal="left"/>
    </xf>
    <xf numFmtId="0" fontId="2" fillId="0" borderId="22" xfId="0" applyFont="1" applyFill="1" applyBorder="1"/>
    <xf numFmtId="164" fontId="2" fillId="0" borderId="22" xfId="0" applyNumberFormat="1" applyFont="1" applyBorder="1"/>
    <xf numFmtId="0" fontId="2" fillId="0" borderId="21" xfId="0" applyFont="1" applyFill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/>
    <xf numFmtId="0" fontId="0" fillId="0" borderId="0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/>
    <xf numFmtId="164" fontId="8" fillId="0" borderId="0" xfId="1" applyNumberFormat="1" applyFont="1" applyFill="1" applyBorder="1" applyAlignment="1">
      <alignment horizontal="left"/>
    </xf>
    <xf numFmtId="164" fontId="8" fillId="0" borderId="0" xfId="1" applyNumberFormat="1" applyFont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64" fontId="0" fillId="3" borderId="0" xfId="1" applyNumberFormat="1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164" fontId="0" fillId="5" borderId="0" xfId="0" applyNumberFormat="1" applyFill="1" applyBorder="1" applyAlignment="1">
      <alignment vertical="center"/>
    </xf>
    <xf numFmtId="164" fontId="0" fillId="5" borderId="13" xfId="0" applyNumberFormat="1" applyFill="1" applyBorder="1" applyAlignment="1">
      <alignment vertical="center"/>
    </xf>
    <xf numFmtId="164" fontId="0" fillId="5" borderId="4" xfId="1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164" fontId="0" fillId="5" borderId="5" xfId="0" applyNumberForma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44" fontId="0" fillId="3" borderId="0" xfId="0" applyNumberFormat="1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4" fontId="0" fillId="5" borderId="7" xfId="0" applyNumberFormat="1" applyFill="1" applyBorder="1" applyAlignment="1">
      <alignment vertical="center"/>
    </xf>
    <xf numFmtId="164" fontId="0" fillId="5" borderId="8" xfId="0" applyNumberFormat="1" applyFill="1" applyBorder="1" applyAlignment="1">
      <alignment vertical="center"/>
    </xf>
    <xf numFmtId="44" fontId="0" fillId="5" borderId="0" xfId="0" applyNumberFormat="1" applyFill="1" applyBorder="1" applyAlignment="1">
      <alignment horizontal="center" vertical="center"/>
    </xf>
    <xf numFmtId="44" fontId="0" fillId="5" borderId="7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64" fontId="0" fillId="5" borderId="14" xfId="0" applyNumberFormat="1" applyFill="1" applyBorder="1" applyAlignment="1">
      <alignment vertical="center"/>
    </xf>
    <xf numFmtId="164" fontId="0" fillId="5" borderId="6" xfId="1" applyNumberFormat="1" applyFont="1" applyFill="1" applyBorder="1" applyAlignment="1">
      <alignment vertical="center"/>
    </xf>
    <xf numFmtId="164" fontId="8" fillId="5" borderId="7" xfId="1" applyNumberFormat="1" applyFont="1" applyFill="1" applyBorder="1" applyAlignment="1">
      <alignment vertical="center"/>
    </xf>
    <xf numFmtId="164" fontId="0" fillId="2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3" fontId="0" fillId="5" borderId="0" xfId="0" applyNumberFormat="1" applyFill="1"/>
    <xf numFmtId="2" fontId="0" fillId="5" borderId="0" xfId="0" applyNumberFormat="1" applyFill="1"/>
    <xf numFmtId="1" fontId="0" fillId="5" borderId="0" xfId="0" applyNumberFormat="1" applyFill="1"/>
    <xf numFmtId="164" fontId="0" fillId="5" borderId="4" xfId="0" applyNumberFormat="1" applyFill="1" applyBorder="1"/>
    <xf numFmtId="164" fontId="0" fillId="5" borderId="0" xfId="0" applyNumberFormat="1" applyFill="1" applyBorder="1"/>
    <xf numFmtId="164" fontId="0" fillId="5" borderId="5" xfId="0" applyNumberFormat="1" applyFill="1" applyBorder="1"/>
    <xf numFmtId="164" fontId="0" fillId="5" borderId="13" xfId="0" applyNumberFormat="1" applyFill="1" applyBorder="1"/>
    <xf numFmtId="164" fontId="0" fillId="5" borderId="6" xfId="0" applyNumberFormat="1" applyFill="1" applyBorder="1"/>
    <xf numFmtId="164" fontId="0" fillId="5" borderId="7" xfId="0" applyNumberFormat="1" applyFill="1" applyBorder="1"/>
    <xf numFmtId="164" fontId="0" fillId="5" borderId="8" xfId="0" applyNumberFormat="1" applyFill="1" applyBorder="1"/>
    <xf numFmtId="164" fontId="0" fillId="5" borderId="14" xfId="0" applyNumberFormat="1" applyFill="1" applyBorder="1"/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19" xfId="0" applyFont="1" applyFill="1" applyBorder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0" fillId="5" borderId="0" xfId="0" applyNumberFormat="1" applyFill="1" applyBorder="1" applyAlignment="1">
      <alignment horizontal="center" vertical="center"/>
    </xf>
    <xf numFmtId="1" fontId="0" fillId="5" borderId="7" xfId="0" applyNumberForma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44" fontId="2" fillId="0" borderId="28" xfId="1" applyFont="1" applyBorder="1" applyAlignment="1">
      <alignment vertical="center"/>
    </xf>
    <xf numFmtId="44" fontId="1" fillId="0" borderId="28" xfId="1" applyFont="1" applyBorder="1" applyAlignment="1">
      <alignment vertical="center"/>
    </xf>
    <xf numFmtId="164" fontId="0" fillId="2" borderId="28" xfId="0" applyNumberFormat="1" applyFill="1" applyBorder="1"/>
    <xf numFmtId="164" fontId="0" fillId="3" borderId="28" xfId="0" applyNumberFormat="1" applyFill="1" applyBorder="1"/>
    <xf numFmtId="164" fontId="0" fillId="5" borderId="28" xfId="0" applyNumberFormat="1" applyFill="1" applyBorder="1"/>
    <xf numFmtId="164" fontId="0" fillId="5" borderId="29" xfId="0" applyNumberFormat="1" applyFill="1" applyBorder="1"/>
    <xf numFmtId="1" fontId="0" fillId="2" borderId="28" xfId="0" applyNumberFormat="1" applyFill="1" applyBorder="1" applyAlignment="1">
      <alignment horizontal="center"/>
    </xf>
    <xf numFmtId="1" fontId="0" fillId="5" borderId="28" xfId="0" applyNumberFormat="1" applyFill="1" applyBorder="1" applyAlignment="1">
      <alignment horizontal="center"/>
    </xf>
    <xf numFmtId="1" fontId="0" fillId="3" borderId="28" xfId="0" applyNumberFormat="1" applyFill="1" applyBorder="1" applyAlignment="1">
      <alignment horizontal="center"/>
    </xf>
    <xf numFmtId="1" fontId="0" fillId="5" borderId="29" xfId="0" applyNumberForma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45E4-9C06-4AE1-8C4C-4AAA71648231}">
  <dimension ref="B3:N38"/>
  <sheetViews>
    <sheetView tabSelected="1" workbookViewId="0">
      <selection activeCell="H25" sqref="H25"/>
    </sheetView>
  </sheetViews>
  <sheetFormatPr defaultRowHeight="15" x14ac:dyDescent="0.25"/>
  <cols>
    <col min="2" max="2" width="32.85546875" bestFit="1" customWidth="1"/>
    <col min="3" max="3" width="14.140625" style="92" customWidth="1"/>
    <col min="4" max="4" width="12.85546875" style="92" customWidth="1"/>
    <col min="7" max="7" width="32.7109375" bestFit="1" customWidth="1"/>
    <col min="8" max="8" width="27.5703125" customWidth="1"/>
    <col min="9" max="9" width="61.5703125" bestFit="1" customWidth="1"/>
    <col min="10" max="10" width="9.85546875" bestFit="1" customWidth="1"/>
    <col min="14" max="14" width="12.28515625" bestFit="1" customWidth="1"/>
  </cols>
  <sheetData>
    <row r="3" spans="2:9" x14ac:dyDescent="0.25">
      <c r="B3" s="227" t="s">
        <v>73</v>
      </c>
      <c r="C3" s="227"/>
      <c r="D3" s="227"/>
      <c r="G3" s="227" t="s">
        <v>234</v>
      </c>
      <c r="H3" s="227"/>
      <c r="I3" s="91" t="s">
        <v>210</v>
      </c>
    </row>
    <row r="4" spans="2:9" x14ac:dyDescent="0.25">
      <c r="B4" s="91"/>
      <c r="C4" s="110"/>
      <c r="G4" t="s">
        <v>86</v>
      </c>
      <c r="H4" s="93">
        <f>'Access Bridge'!J29+'Access Bridge'!O29+'Access Bridge'!Q29+'Access Bridge'!R29+'Access Bridge'!V29</f>
        <v>9194736.4285714291</v>
      </c>
    </row>
    <row r="5" spans="2:9" x14ac:dyDescent="0.25">
      <c r="C5" s="91" t="s">
        <v>74</v>
      </c>
      <c r="D5" s="110" t="s">
        <v>95</v>
      </c>
      <c r="G5" t="s">
        <v>87</v>
      </c>
      <c r="H5" s="93">
        <f>'Access Road'!J34+'Access Road'!K34+'Access Road'!L34+'Access Road'!M34+'Access Road'!N34+'Access Road'!R34</f>
        <v>12872859.142857144</v>
      </c>
    </row>
    <row r="6" spans="2:9" x14ac:dyDescent="0.25">
      <c r="B6" t="s">
        <v>237</v>
      </c>
      <c r="C6" s="94">
        <v>1.1100000000000001</v>
      </c>
      <c r="D6" s="101">
        <f>('Access Bridge'!L29+'Access Bridge'!X29+'Access Road'!U34+'Access Bridge'!Z29+'Access Road'!W34)/1000000</f>
        <v>2.1966199999999998</v>
      </c>
      <c r="G6" t="s">
        <v>92</v>
      </c>
      <c r="H6" s="1">
        <f>'Access Bridge'!L29+'Access Bridge'!X29+'Access Road'!U34+'Access Bridge'!Z29+'Access Road'!W34</f>
        <v>2196620</v>
      </c>
    </row>
    <row r="7" spans="2:9" x14ac:dyDescent="0.25">
      <c r="B7" s="105" t="s">
        <v>75</v>
      </c>
      <c r="C7" s="106"/>
      <c r="D7" s="108">
        <f>('Access Bridge'!M29+'Access Bridge'!Y29+'Access Road'!T34+'Access Road'!V34)/1000000</f>
        <v>1.3756060000000001</v>
      </c>
      <c r="G7" t="s">
        <v>91</v>
      </c>
      <c r="H7" s="1">
        <f>'Access Bridge'!M29+'Access Bridge'!Y29+'Access Road'!T34+'Access Road'!V34</f>
        <v>1375606</v>
      </c>
    </row>
    <row r="8" spans="2:9" x14ac:dyDescent="0.25">
      <c r="B8" s="105" t="s">
        <v>76</v>
      </c>
      <c r="C8" s="106"/>
      <c r="D8" s="108">
        <f>('Access Bridge'!AA29+'Access Road'!X34)/1000000</f>
        <v>1.1494180000000001</v>
      </c>
      <c r="G8" t="s">
        <v>70</v>
      </c>
      <c r="H8" s="1">
        <f>'Access Bridge'!S29</f>
        <v>152000</v>
      </c>
    </row>
    <row r="9" spans="2:9" x14ac:dyDescent="0.25">
      <c r="B9" t="s">
        <v>77</v>
      </c>
      <c r="C9" s="94">
        <v>0.9</v>
      </c>
      <c r="D9" s="101">
        <f>('Access Bridge'!AE29+'Access Road'!AB34)/1000000</f>
        <v>1.0801253443526171</v>
      </c>
      <c r="G9" t="s">
        <v>93</v>
      </c>
      <c r="H9" s="1">
        <f>'Access Bridge'!AA29+'Access Road'!X34</f>
        <v>1149418</v>
      </c>
    </row>
    <row r="10" spans="2:9" x14ac:dyDescent="0.25">
      <c r="B10" t="s">
        <v>78</v>
      </c>
      <c r="C10" s="94">
        <v>1.34</v>
      </c>
      <c r="D10" s="101">
        <f>('Access Bridge'!AF29+'Access Road'!AC34)/1000000</f>
        <v>2.3826675849403123</v>
      </c>
      <c r="G10" t="s">
        <v>85</v>
      </c>
      <c r="H10" s="1">
        <f>'Access Bridge'!AB29+'Access Road'!Y34</f>
        <v>1256170.0199999998</v>
      </c>
    </row>
    <row r="11" spans="2:9" x14ac:dyDescent="0.25">
      <c r="B11" t="s">
        <v>79</v>
      </c>
      <c r="C11" s="103">
        <v>6.64</v>
      </c>
      <c r="D11" s="100">
        <f>H5/1000000</f>
        <v>12.872859142857143</v>
      </c>
      <c r="G11" t="s">
        <v>186</v>
      </c>
      <c r="H11" s="93">
        <f>'Access Bridge'!K29+'Access Bridge'!T29+'Access Bridge'!W29+'Access Road'!S34</f>
        <v>0</v>
      </c>
      <c r="I11" t="s">
        <v>209</v>
      </c>
    </row>
    <row r="12" spans="2:9" x14ac:dyDescent="0.25">
      <c r="B12" t="s">
        <v>80</v>
      </c>
      <c r="C12" s="103">
        <v>3.37</v>
      </c>
      <c r="D12" s="104">
        <f>H4/1000000</f>
        <v>9.1947364285714297</v>
      </c>
      <c r="G12" t="s">
        <v>233</v>
      </c>
      <c r="H12" s="93">
        <f>'Access Bridge'!AD29+'Access Road'!AA34</f>
        <v>0</v>
      </c>
    </row>
    <row r="13" spans="2:9" x14ac:dyDescent="0.25">
      <c r="B13" s="105" t="s">
        <v>232</v>
      </c>
      <c r="C13" s="106" t="s">
        <v>81</v>
      </c>
      <c r="D13" s="107">
        <f>H12/1000000</f>
        <v>0</v>
      </c>
      <c r="G13" t="s">
        <v>94</v>
      </c>
      <c r="H13" s="93">
        <f>'Access Road'!O34+'Access Road'!P34</f>
        <v>62250</v>
      </c>
    </row>
    <row r="14" spans="2:9" x14ac:dyDescent="0.25">
      <c r="B14" s="105" t="s">
        <v>82</v>
      </c>
      <c r="C14" s="106" t="s">
        <v>81</v>
      </c>
      <c r="D14" s="107">
        <f>H10/1000000</f>
        <v>1.2561700199999999</v>
      </c>
      <c r="G14" t="s">
        <v>32</v>
      </c>
      <c r="H14" s="93">
        <f>'Access Bridge'!AG29+'Access Road'!AD34</f>
        <v>3462792.9292929284</v>
      </c>
    </row>
    <row r="15" spans="2:9" x14ac:dyDescent="0.25">
      <c r="B15" s="105" t="s">
        <v>83</v>
      </c>
      <c r="C15" s="106" t="s">
        <v>81</v>
      </c>
      <c r="D15" s="108">
        <f>('Access Bridge'!W29+'Access Road'!S34+'Access Bridge'!K29+'Access Bridge'!T29)/1000000</f>
        <v>0</v>
      </c>
      <c r="G15" t="s">
        <v>208</v>
      </c>
      <c r="H15" s="93">
        <f>'Annual Cost Estimate'!F60</f>
        <v>736936</v>
      </c>
    </row>
    <row r="16" spans="2:9" x14ac:dyDescent="0.25">
      <c r="B16" s="105" t="s">
        <v>88</v>
      </c>
      <c r="C16" s="106"/>
      <c r="D16" s="108">
        <f>('Access Road'!O34+'Access Road'!P34)/1000000</f>
        <v>6.225E-2</v>
      </c>
      <c r="H16" s="5">
        <f>SUM(H4:H15)</f>
        <v>32459388.520721503</v>
      </c>
    </row>
    <row r="17" spans="2:14" x14ac:dyDescent="0.25">
      <c r="B17" s="105" t="s">
        <v>188</v>
      </c>
      <c r="C17" s="106"/>
      <c r="D17" s="108">
        <f>('Access Bridge'!S29)/1000000</f>
        <v>0.152</v>
      </c>
    </row>
    <row r="18" spans="2:14" x14ac:dyDescent="0.25">
      <c r="B18" s="105" t="s">
        <v>207</v>
      </c>
      <c r="C18" s="106"/>
      <c r="D18" s="108">
        <f>'Annual Cost Estimate'!F60/1000000</f>
        <v>0.73693600000000004</v>
      </c>
    </row>
    <row r="19" spans="2:14" x14ac:dyDescent="0.25">
      <c r="B19" s="91" t="s">
        <v>84</v>
      </c>
      <c r="C19" s="96">
        <f>SUM(C6:C15)</f>
        <v>13.36</v>
      </c>
      <c r="D19" s="102">
        <f>SUM(D6:D18)</f>
        <v>32.459388520721504</v>
      </c>
      <c r="J19" s="31"/>
      <c r="N19" s="1"/>
    </row>
    <row r="20" spans="2:14" x14ac:dyDescent="0.25">
      <c r="G20" s="227"/>
      <c r="H20" s="227"/>
    </row>
    <row r="21" spans="2:14" x14ac:dyDescent="0.25">
      <c r="D21" s="101"/>
      <c r="H21" s="93"/>
    </row>
    <row r="22" spans="2:14" x14ac:dyDescent="0.25">
      <c r="B22" t="s">
        <v>211</v>
      </c>
      <c r="H22" s="93"/>
    </row>
    <row r="23" spans="2:14" x14ac:dyDescent="0.25">
      <c r="D23" s="100"/>
      <c r="H23" s="1"/>
    </row>
    <row r="24" spans="2:14" x14ac:dyDescent="0.25">
      <c r="H24" s="1"/>
    </row>
    <row r="26" spans="2:14" x14ac:dyDescent="0.25">
      <c r="B26" s="93"/>
      <c r="C26" s="95"/>
      <c r="H26" s="45"/>
    </row>
    <row r="27" spans="2:14" x14ac:dyDescent="0.25">
      <c r="B27" s="97"/>
      <c r="C27" s="95"/>
      <c r="H27" s="1"/>
    </row>
    <row r="28" spans="2:14" x14ac:dyDescent="0.25">
      <c r="B28" s="98"/>
      <c r="C28" s="95"/>
      <c r="H28" s="1"/>
    </row>
    <row r="29" spans="2:14" x14ac:dyDescent="0.25">
      <c r="B29" s="1"/>
      <c r="C29" s="95"/>
    </row>
    <row r="30" spans="2:14" x14ac:dyDescent="0.25">
      <c r="H30" s="93"/>
    </row>
    <row r="31" spans="2:14" x14ac:dyDescent="0.25">
      <c r="B31" s="1"/>
      <c r="H31" s="1"/>
    </row>
    <row r="36" spans="2:3" x14ac:dyDescent="0.25">
      <c r="B36" s="1"/>
      <c r="C36" s="99"/>
    </row>
    <row r="37" spans="2:3" x14ac:dyDescent="0.25">
      <c r="B37" s="1"/>
      <c r="C37" s="99"/>
    </row>
    <row r="38" spans="2:3" x14ac:dyDescent="0.25">
      <c r="B38" s="1"/>
    </row>
  </sheetData>
  <mergeCells count="3">
    <mergeCell ref="B3:D3"/>
    <mergeCell ref="G3:H3"/>
    <mergeCell ref="G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8B69-5D0D-4117-A2A8-B9A14AACFAED}">
  <dimension ref="A1:T62"/>
  <sheetViews>
    <sheetView zoomScaleNormal="100" workbookViewId="0">
      <pane ySplit="1" topLeftCell="A2" activePane="bottomLeft" state="frozen"/>
      <selection pane="bottomLeft" activeCell="G34" sqref="G34"/>
    </sheetView>
  </sheetViews>
  <sheetFormatPr defaultRowHeight="15" x14ac:dyDescent="0.25"/>
  <cols>
    <col min="1" max="1" width="40.140625" style="95" bestFit="1" customWidth="1"/>
    <col min="2" max="4" width="12.7109375" customWidth="1"/>
    <col min="5" max="5" width="15.5703125" style="92" customWidth="1"/>
    <col min="6" max="16" width="12.7109375" customWidth="1"/>
    <col min="17" max="17" width="13.28515625" bestFit="1" customWidth="1"/>
    <col min="18" max="18" width="14.7109375" bestFit="1" customWidth="1"/>
    <col min="19" max="19" width="6.42578125" customWidth="1"/>
  </cols>
  <sheetData>
    <row r="1" spans="1:20" ht="30" x14ac:dyDescent="0.25">
      <c r="A1" s="153"/>
      <c r="B1" s="154" t="s">
        <v>98</v>
      </c>
      <c r="C1" s="154" t="s">
        <v>99</v>
      </c>
      <c r="D1" s="154" t="s">
        <v>100</v>
      </c>
      <c r="E1" s="155" t="s">
        <v>218</v>
      </c>
      <c r="F1" s="140">
        <v>2021</v>
      </c>
      <c r="G1" s="140">
        <v>2022</v>
      </c>
      <c r="H1" s="140">
        <v>2023</v>
      </c>
      <c r="I1" s="140">
        <v>2024</v>
      </c>
      <c r="J1" s="140">
        <v>2025</v>
      </c>
      <c r="K1" s="140">
        <v>2026</v>
      </c>
      <c r="L1" s="140">
        <v>2027</v>
      </c>
      <c r="M1" s="140">
        <v>2028</v>
      </c>
      <c r="N1" s="140">
        <v>2029</v>
      </c>
      <c r="O1" s="140">
        <v>2030</v>
      </c>
      <c r="P1" s="140">
        <v>2031</v>
      </c>
      <c r="Q1" s="140" t="s">
        <v>202</v>
      </c>
      <c r="R1" s="156" t="s">
        <v>204</v>
      </c>
    </row>
    <row r="2" spans="1:20" x14ac:dyDescent="0.25">
      <c r="A2" s="228" t="s">
        <v>200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0"/>
      <c r="T2" s="91" t="s">
        <v>212</v>
      </c>
    </row>
    <row r="3" spans="1:20" x14ac:dyDescent="0.25">
      <c r="A3" s="142" t="str">
        <f>'Access Bridge'!A4</f>
        <v>HAMPTON SUBSTATION</v>
      </c>
      <c r="B3" s="141" t="s">
        <v>101</v>
      </c>
      <c r="C3" s="141" t="s">
        <v>102</v>
      </c>
      <c r="D3" s="141" t="s">
        <v>103</v>
      </c>
      <c r="E3" s="149">
        <v>2022</v>
      </c>
      <c r="F3" s="157">
        <v>39000</v>
      </c>
      <c r="G3" s="130">
        <f>IF('Access Bridge'!$G4=2022,('Access Bridge'!$AC4+'Access Bridge'!$AD4+'Access Bridge'!$AG4),0)</f>
        <v>857043.4008658008</v>
      </c>
      <c r="H3" s="130">
        <f>IF('Access Bridge'!$G4=2023,('Access Bridge'!$AC4+'Access Bridge'!$AD4+'Access Bridge'!$AG4),0)</f>
        <v>0</v>
      </c>
      <c r="I3" s="130">
        <f>IF('Access Bridge'!$G4=2024,('Access Bridge'!$AC4+'Access Bridge'!$AD4+'Access Bridge'!$AG4),0)</f>
        <v>0</v>
      </c>
      <c r="J3" s="130">
        <f>IF('Access Bridge'!$G4=2025,('Access Bridge'!$AC4+'Access Bridge'!$AD4+'Access Bridge'!$AG4),0)</f>
        <v>0</v>
      </c>
      <c r="K3" s="130">
        <f>IF('Access Bridge'!$G4=2026,('Access Bridge'!$AC4+'Access Bridge'!$AD4+'Access Bridge'!$AG4),0)</f>
        <v>0</v>
      </c>
      <c r="L3" s="130">
        <f>IF('Access Bridge'!$G4=2027,('Access Bridge'!$AC4+'Access Bridge'!$AD4+'Access Bridge'!$AG4),0)</f>
        <v>0</v>
      </c>
      <c r="M3" s="130">
        <f>IF('Access Bridge'!$G4=2028,('Access Bridge'!$AC4+'Access Bridge'!$AD4+'Access Bridge'!$AG4),0)</f>
        <v>0</v>
      </c>
      <c r="N3" s="130">
        <f>IF('Access Bridge'!$G4=2029,('Access Bridge'!$AC4+'Access Bridge'!$AD4+'Access Bridge'!$AG4),0)</f>
        <v>0</v>
      </c>
      <c r="O3" s="130">
        <f>IF('Access Bridge'!$G4=2030,('Access Bridge'!$AC4+'Access Bridge'!$AD4+'Access Bridge'!$AG4),0)</f>
        <v>0</v>
      </c>
      <c r="P3" s="130">
        <f>IF('Access Bridge'!$G4=2031,('Access Bridge'!$AC4+'Access Bridge'!$AD4+'Access Bridge'!$AG4),0)</f>
        <v>0</v>
      </c>
      <c r="Q3" s="133"/>
      <c r="R3" s="131" t="s">
        <v>206</v>
      </c>
      <c r="T3" t="s">
        <v>217</v>
      </c>
    </row>
    <row r="4" spans="1:20" x14ac:dyDescent="0.25">
      <c r="A4" s="142" t="str">
        <f>'Access Bridge'!A5</f>
        <v>BLOUNT RD</v>
      </c>
      <c r="B4" s="141" t="s">
        <v>165</v>
      </c>
      <c r="C4" s="141" t="s">
        <v>166</v>
      </c>
      <c r="D4" s="141" t="s">
        <v>167</v>
      </c>
      <c r="E4" s="149">
        <v>2025</v>
      </c>
      <c r="F4" s="157">
        <v>0</v>
      </c>
      <c r="G4" s="130">
        <f>IF('Access Bridge'!$G5=2022,('Access Bridge'!$AC5+'Access Bridge'!$AD5+'Access Bridge'!$AG5),0)</f>
        <v>0</v>
      </c>
      <c r="H4" s="130">
        <f>IF('Access Bridge'!$G5=2023,('Access Bridge'!$AC5+'Access Bridge'!$AD5+'Access Bridge'!$AG5),0)</f>
        <v>0</v>
      </c>
      <c r="I4" s="130">
        <f>IF('Access Bridge'!$G5=2024,('Access Bridge'!$AC5+'Access Bridge'!$AD5+'Access Bridge'!$AG5),0)</f>
        <v>0</v>
      </c>
      <c r="J4" s="130">
        <f>IF('Access Bridge'!$G5=2025,('Access Bridge'!$AC5+'Access Bridge'!$AD5+'Access Bridge'!$AG5),0)</f>
        <v>991019.30903843627</v>
      </c>
      <c r="K4" s="130">
        <f>IF('Access Bridge'!$G5=2026,('Access Bridge'!$AC5+'Access Bridge'!$AD5+'Access Bridge'!$AG5),0)</f>
        <v>0</v>
      </c>
      <c r="L4" s="130">
        <f>IF('Access Bridge'!$G5=2027,('Access Bridge'!$AC5+'Access Bridge'!$AD5+'Access Bridge'!$AG5),0)</f>
        <v>0</v>
      </c>
      <c r="M4" s="130">
        <f>IF('Access Bridge'!$G5=2028,('Access Bridge'!$AC5+'Access Bridge'!$AD5+'Access Bridge'!$AG5),0)</f>
        <v>0</v>
      </c>
      <c r="N4" s="130">
        <f>IF('Access Bridge'!$G5=2029,('Access Bridge'!$AC5+'Access Bridge'!$AD5+'Access Bridge'!$AG5),0)</f>
        <v>0</v>
      </c>
      <c r="O4" s="130">
        <f>IF('Access Bridge'!$G5=2030,('Access Bridge'!$AC5+'Access Bridge'!$AD5+'Access Bridge'!$AG5),0)</f>
        <v>0</v>
      </c>
      <c r="P4" s="130">
        <f>IF('Access Bridge'!$G5=2031,('Access Bridge'!$AC5+'Access Bridge'!$AD5+'Access Bridge'!$AG5),0)</f>
        <v>0</v>
      </c>
      <c r="Q4" s="133"/>
      <c r="R4" s="131" t="s">
        <v>206</v>
      </c>
      <c r="T4" t="s">
        <v>213</v>
      </c>
    </row>
    <row r="5" spans="1:20" x14ac:dyDescent="0.25">
      <c r="A5" s="142" t="str">
        <f>'Access Bridge'!A6</f>
        <v>WEST OF FORBES RD</v>
      </c>
      <c r="B5" s="141" t="s">
        <v>105</v>
      </c>
      <c r="C5" s="141" t="s">
        <v>106</v>
      </c>
      <c r="D5" s="141" t="s">
        <v>107</v>
      </c>
      <c r="E5" s="149">
        <v>2024</v>
      </c>
      <c r="F5" s="157">
        <v>38669</v>
      </c>
      <c r="G5" s="130">
        <f>IF('Access Bridge'!$G6=2022,('Access Bridge'!$AC6+'Access Bridge'!$AD6+'Access Bridge'!$AG6),0)</f>
        <v>0</v>
      </c>
      <c r="H5" s="130">
        <f>IF('Access Bridge'!$G6=2023,('Access Bridge'!$AC6+'Access Bridge'!$AD6+'Access Bridge'!$AG6),0)</f>
        <v>0</v>
      </c>
      <c r="I5" s="130">
        <f>IF('Access Bridge'!$G6=2024,('Access Bridge'!$AC6+'Access Bridge'!$AD6+'Access Bridge'!$AG6),0)</f>
        <v>550545.09186671907</v>
      </c>
      <c r="J5" s="130">
        <f>IF('Access Bridge'!$G6=2025,('Access Bridge'!$AC6+'Access Bridge'!$AD6+'Access Bridge'!$AG6),0)</f>
        <v>0</v>
      </c>
      <c r="K5" s="130">
        <f>IF('Access Bridge'!$G6=2026,('Access Bridge'!$AC6+'Access Bridge'!$AD6+'Access Bridge'!$AG6),0)</f>
        <v>0</v>
      </c>
      <c r="L5" s="130">
        <f>IF('Access Bridge'!$G6=2027,('Access Bridge'!$AC6+'Access Bridge'!$AD6+'Access Bridge'!$AG6),0)</f>
        <v>0</v>
      </c>
      <c r="M5" s="130">
        <f>IF('Access Bridge'!$G6=2028,('Access Bridge'!$AC6+'Access Bridge'!$AD6+'Access Bridge'!$AG6),0)</f>
        <v>0</v>
      </c>
      <c r="N5" s="130">
        <f>IF('Access Bridge'!$G6=2029,('Access Bridge'!$AC6+'Access Bridge'!$AD6+'Access Bridge'!$AG6),0)</f>
        <v>0</v>
      </c>
      <c r="O5" s="130">
        <f>IF('Access Bridge'!$G6=2030,('Access Bridge'!$AC6+'Access Bridge'!$AD6+'Access Bridge'!$AG6),0)</f>
        <v>0</v>
      </c>
      <c r="P5" s="130">
        <f>IF('Access Bridge'!$G6=2031,('Access Bridge'!$AC6+'Access Bridge'!$AD6+'Access Bridge'!$AG6),0)</f>
        <v>0</v>
      </c>
      <c r="Q5" s="133"/>
      <c r="R5" s="131" t="s">
        <v>206</v>
      </c>
      <c r="T5" t="s">
        <v>214</v>
      </c>
    </row>
    <row r="6" spans="1:20" x14ac:dyDescent="0.25">
      <c r="A6" s="142" t="str">
        <f>'Access Bridge'!A7</f>
        <v>EAST OF SYDNEY WASHER RD</v>
      </c>
      <c r="B6" s="141" t="s">
        <v>108</v>
      </c>
      <c r="C6" s="141" t="s">
        <v>109</v>
      </c>
      <c r="D6" s="141" t="s">
        <v>110</v>
      </c>
      <c r="E6" s="149">
        <v>2024</v>
      </c>
      <c r="F6" s="157">
        <v>40650</v>
      </c>
      <c r="G6" s="130">
        <f>IF('Access Bridge'!$G7=2022,('Access Bridge'!$AC7+'Access Bridge'!$AD7+'Access Bridge'!$AG7),0)</f>
        <v>0</v>
      </c>
      <c r="H6" s="130">
        <f>IF('Access Bridge'!$G7=2023,('Access Bridge'!$AC7+'Access Bridge'!$AD7+'Access Bridge'!$AG7),0)</f>
        <v>0</v>
      </c>
      <c r="I6" s="130">
        <f>IF('Access Bridge'!$G7=2024,('Access Bridge'!$AC7+'Access Bridge'!$AD7+'Access Bridge'!$AG7),0)</f>
        <v>646648.55743145733</v>
      </c>
      <c r="J6" s="130">
        <f>IF('Access Bridge'!$G7=2025,('Access Bridge'!$AC7+'Access Bridge'!$AD7+'Access Bridge'!$AG7),0)</f>
        <v>0</v>
      </c>
      <c r="K6" s="130">
        <f>IF('Access Bridge'!$G7=2026,('Access Bridge'!$AC7+'Access Bridge'!$AD7+'Access Bridge'!$AG7),0)</f>
        <v>0</v>
      </c>
      <c r="L6" s="130">
        <f>IF('Access Bridge'!$G7=2027,('Access Bridge'!$AC7+'Access Bridge'!$AD7+'Access Bridge'!$AG7),0)</f>
        <v>0</v>
      </c>
      <c r="M6" s="130">
        <f>IF('Access Bridge'!$G7=2028,('Access Bridge'!$AC7+'Access Bridge'!$AD7+'Access Bridge'!$AG7),0)</f>
        <v>0</v>
      </c>
      <c r="N6" s="130">
        <f>IF('Access Bridge'!$G7=2029,('Access Bridge'!$AC7+'Access Bridge'!$AD7+'Access Bridge'!$AG7),0)</f>
        <v>0</v>
      </c>
      <c r="O6" s="130">
        <f>IF('Access Bridge'!$G7=2030,('Access Bridge'!$AC7+'Access Bridge'!$AD7+'Access Bridge'!$AG7),0)</f>
        <v>0</v>
      </c>
      <c r="P6" s="130">
        <f>IF('Access Bridge'!$G7=2031,('Access Bridge'!$AC7+'Access Bridge'!$AD7+'Access Bridge'!$AG7),0)</f>
        <v>0</v>
      </c>
      <c r="Q6" s="133"/>
      <c r="R6" s="131" t="s">
        <v>206</v>
      </c>
      <c r="T6" t="s">
        <v>215</v>
      </c>
    </row>
    <row r="7" spans="1:20" x14ac:dyDescent="0.25">
      <c r="A7" s="142" t="str">
        <f>'Access Bridge'!A8</f>
        <v>TAMPA PALMS #1</v>
      </c>
      <c r="B7" s="141" t="s">
        <v>111</v>
      </c>
      <c r="C7" s="141" t="s">
        <v>112</v>
      </c>
      <c r="D7" s="141" t="s">
        <v>113</v>
      </c>
      <c r="E7" s="149">
        <v>2023</v>
      </c>
      <c r="F7" s="157">
        <v>38650</v>
      </c>
      <c r="G7" s="130">
        <f>IF('Access Bridge'!$G8=2022,('Access Bridge'!$AC8+'Access Bridge'!$AD8+'Access Bridge'!$AG8),0)</f>
        <v>0</v>
      </c>
      <c r="H7" s="130">
        <f>IF('Access Bridge'!$G8=2023,('Access Bridge'!$AC8+'Access Bridge'!$AD8+'Access Bridge'!$AG8),0)</f>
        <v>542536.46973632427</v>
      </c>
      <c r="I7" s="130">
        <f>IF('Access Bridge'!$G8=2024,('Access Bridge'!$AC8+'Access Bridge'!$AD8+'Access Bridge'!$AG8),0)</f>
        <v>0</v>
      </c>
      <c r="J7" s="130">
        <f>IF('Access Bridge'!$G8=2025,('Access Bridge'!$AC8+'Access Bridge'!$AD8+'Access Bridge'!$AG8),0)</f>
        <v>0</v>
      </c>
      <c r="K7" s="130">
        <f>IF('Access Bridge'!$G8=2026,('Access Bridge'!$AC8+'Access Bridge'!$AD8+'Access Bridge'!$AG8),0)</f>
        <v>0</v>
      </c>
      <c r="L7" s="130">
        <f>IF('Access Bridge'!$G8=2027,('Access Bridge'!$AC8+'Access Bridge'!$AD8+'Access Bridge'!$AG8),0)</f>
        <v>0</v>
      </c>
      <c r="M7" s="130">
        <f>IF('Access Bridge'!$G8=2028,('Access Bridge'!$AC8+'Access Bridge'!$AD8+'Access Bridge'!$AG8),0)</f>
        <v>0</v>
      </c>
      <c r="N7" s="130">
        <f>IF('Access Bridge'!$G8=2029,('Access Bridge'!$AC8+'Access Bridge'!$AD8+'Access Bridge'!$AG8),0)</f>
        <v>0</v>
      </c>
      <c r="O7" s="130">
        <f>IF('Access Bridge'!$G8=2030,('Access Bridge'!$AC8+'Access Bridge'!$AD8+'Access Bridge'!$AG8),0)</f>
        <v>0</v>
      </c>
      <c r="P7" s="130">
        <f>IF('Access Bridge'!$G8=2031,('Access Bridge'!$AC8+'Access Bridge'!$AD8+'Access Bridge'!$AG8),0)</f>
        <v>0</v>
      </c>
      <c r="Q7" s="133"/>
      <c r="R7" s="131" t="s">
        <v>206</v>
      </c>
      <c r="S7" s="45"/>
      <c r="T7" t="s">
        <v>216</v>
      </c>
    </row>
    <row r="8" spans="1:20" x14ac:dyDescent="0.25">
      <c r="A8" s="142" t="str">
        <f>'Access Bridge'!A9</f>
        <v>TAMPA PALMS #2</v>
      </c>
      <c r="B8" s="141" t="s">
        <v>159</v>
      </c>
      <c r="C8" s="141" t="s">
        <v>160</v>
      </c>
      <c r="D8" s="141" t="s">
        <v>161</v>
      </c>
      <c r="E8" s="149">
        <v>2023</v>
      </c>
      <c r="F8" s="157">
        <v>41650</v>
      </c>
      <c r="G8" s="130">
        <f>IF('Access Bridge'!$G9=2022,('Access Bridge'!$AC9+'Access Bridge'!$AD9+'Access Bridge'!$AG9),0)</f>
        <v>0</v>
      </c>
      <c r="H8" s="130">
        <f>IF('Access Bridge'!$G9=2023,('Access Bridge'!$AC9+'Access Bridge'!$AD9+'Access Bridge'!$AG9),0)</f>
        <v>686691.66808343166</v>
      </c>
      <c r="I8" s="130">
        <f>IF('Access Bridge'!$G9=2024,('Access Bridge'!$AC9+'Access Bridge'!$AD9+'Access Bridge'!$AG9),0)</f>
        <v>0</v>
      </c>
      <c r="J8" s="130">
        <f>IF('Access Bridge'!$G9=2025,('Access Bridge'!$AC9+'Access Bridge'!$AD9+'Access Bridge'!$AG9),0)</f>
        <v>0</v>
      </c>
      <c r="K8" s="130">
        <f>IF('Access Bridge'!$G9=2026,('Access Bridge'!$AC9+'Access Bridge'!$AD9+'Access Bridge'!$AG9),0)</f>
        <v>0</v>
      </c>
      <c r="L8" s="130">
        <f>IF('Access Bridge'!$G9=2027,('Access Bridge'!$AC9+'Access Bridge'!$AD9+'Access Bridge'!$AG9),0)</f>
        <v>0</v>
      </c>
      <c r="M8" s="130">
        <f>IF('Access Bridge'!$G9=2028,('Access Bridge'!$AC9+'Access Bridge'!$AD9+'Access Bridge'!$AG9),0)</f>
        <v>0</v>
      </c>
      <c r="N8" s="130">
        <f>IF('Access Bridge'!$G9=2029,('Access Bridge'!$AC9+'Access Bridge'!$AD9+'Access Bridge'!$AG9),0)</f>
        <v>0</v>
      </c>
      <c r="O8" s="130">
        <f>IF('Access Bridge'!$G9=2030,('Access Bridge'!$AC9+'Access Bridge'!$AD9+'Access Bridge'!$AG9),0)</f>
        <v>0</v>
      </c>
      <c r="P8" s="130">
        <f>IF('Access Bridge'!$G9=2031,('Access Bridge'!$AC9+'Access Bridge'!$AD9+'Access Bridge'!$AG9),0)</f>
        <v>0</v>
      </c>
      <c r="Q8" s="133"/>
      <c r="R8" s="131" t="s">
        <v>206</v>
      </c>
    </row>
    <row r="9" spans="1:20" x14ac:dyDescent="0.25">
      <c r="A9" s="142" t="str">
        <f>'Access Bridge'!A10</f>
        <v>TAMPA PALMS #3</v>
      </c>
      <c r="B9" s="141" t="s">
        <v>114</v>
      </c>
      <c r="C9" s="141" t="s">
        <v>115</v>
      </c>
      <c r="D9" s="141" t="s">
        <v>116</v>
      </c>
      <c r="E9" s="149">
        <v>2023</v>
      </c>
      <c r="F9" s="157">
        <v>41650</v>
      </c>
      <c r="G9" s="130">
        <f>IF('Access Bridge'!$G10=2022,('Access Bridge'!$AC10+'Access Bridge'!$AD10+'Access Bridge'!$AG10),0)</f>
        <v>0</v>
      </c>
      <c r="H9" s="130">
        <f>IF('Access Bridge'!$G10=2023,('Access Bridge'!$AC10+'Access Bridge'!$AD10+'Access Bridge'!$AG10),0)</f>
        <v>638639.93530106253</v>
      </c>
      <c r="I9" s="130">
        <f>IF('Access Bridge'!$G10=2024,('Access Bridge'!$AC10+'Access Bridge'!$AD10+'Access Bridge'!$AG10),0)</f>
        <v>0</v>
      </c>
      <c r="J9" s="130">
        <f>IF('Access Bridge'!$G10=2025,('Access Bridge'!$AC10+'Access Bridge'!$AD10+'Access Bridge'!$AG10),0)</f>
        <v>0</v>
      </c>
      <c r="K9" s="130">
        <f>IF('Access Bridge'!$G10=2026,('Access Bridge'!$AC10+'Access Bridge'!$AD10+'Access Bridge'!$AG10),0)</f>
        <v>0</v>
      </c>
      <c r="L9" s="130">
        <f>IF('Access Bridge'!$G10=2027,('Access Bridge'!$AC10+'Access Bridge'!$AD10+'Access Bridge'!$AG10),0)</f>
        <v>0</v>
      </c>
      <c r="M9" s="130">
        <f>IF('Access Bridge'!$G10=2028,('Access Bridge'!$AC10+'Access Bridge'!$AD10+'Access Bridge'!$AG10),0)</f>
        <v>0</v>
      </c>
      <c r="N9" s="130">
        <f>IF('Access Bridge'!$G10=2029,('Access Bridge'!$AC10+'Access Bridge'!$AD10+'Access Bridge'!$AG10),0)</f>
        <v>0</v>
      </c>
      <c r="O9" s="130">
        <f>IF('Access Bridge'!$G10=2030,('Access Bridge'!$AC10+'Access Bridge'!$AD10+'Access Bridge'!$AG10),0)</f>
        <v>0</v>
      </c>
      <c r="P9" s="130">
        <f>IF('Access Bridge'!$G10=2031,('Access Bridge'!$AC10+'Access Bridge'!$AD10+'Access Bridge'!$AG10),0)</f>
        <v>0</v>
      </c>
      <c r="Q9" s="133"/>
      <c r="R9" s="131" t="s">
        <v>206</v>
      </c>
    </row>
    <row r="10" spans="1:20" x14ac:dyDescent="0.25">
      <c r="A10" s="142" t="str">
        <f>'Access Bridge'!A11</f>
        <v>TAMPA PALMS #4</v>
      </c>
      <c r="B10" s="141" t="s">
        <v>171</v>
      </c>
      <c r="C10" s="141" t="s">
        <v>172</v>
      </c>
      <c r="D10" s="141" t="s">
        <v>173</v>
      </c>
      <c r="E10" s="149">
        <v>2023</v>
      </c>
      <c r="F10" s="157">
        <v>41650</v>
      </c>
      <c r="G10" s="130">
        <f>IF('Access Bridge'!$G11=2022,('Access Bridge'!$AC11+'Access Bridge'!$AD11+'Access Bridge'!$AG11),0)</f>
        <v>0</v>
      </c>
      <c r="H10" s="130">
        <f>IF('Access Bridge'!$G11=2023,('Access Bridge'!$AC11+'Access Bridge'!$AD11+'Access Bridge'!$AG11),0)</f>
        <v>702708.91234422137</v>
      </c>
      <c r="I10" s="130">
        <f>IF('Access Bridge'!$G11=2024,('Access Bridge'!$AC11+'Access Bridge'!$AD11+'Access Bridge'!$AG11),0)</f>
        <v>0</v>
      </c>
      <c r="J10" s="130">
        <f>IF('Access Bridge'!$G11=2025,('Access Bridge'!$AC11+'Access Bridge'!$AD11+'Access Bridge'!$AG11),0)</f>
        <v>0</v>
      </c>
      <c r="K10" s="130">
        <f>IF('Access Bridge'!$G11=2026,('Access Bridge'!$AC11+'Access Bridge'!$AD11+'Access Bridge'!$AG11),0)</f>
        <v>0</v>
      </c>
      <c r="L10" s="130">
        <f>IF('Access Bridge'!$G11=2027,('Access Bridge'!$AC11+'Access Bridge'!$AD11+'Access Bridge'!$AG11),0)</f>
        <v>0</v>
      </c>
      <c r="M10" s="130">
        <f>IF('Access Bridge'!$G11=2028,('Access Bridge'!$AC11+'Access Bridge'!$AD11+'Access Bridge'!$AG11),0)</f>
        <v>0</v>
      </c>
      <c r="N10" s="130">
        <f>IF('Access Bridge'!$G11=2029,('Access Bridge'!$AC11+'Access Bridge'!$AD11+'Access Bridge'!$AG11),0)</f>
        <v>0</v>
      </c>
      <c r="O10" s="130">
        <f>IF('Access Bridge'!$G11=2030,('Access Bridge'!$AC11+'Access Bridge'!$AD11+'Access Bridge'!$AG11),0)</f>
        <v>0</v>
      </c>
      <c r="P10" s="130">
        <f>IF('Access Bridge'!$G11=2031,('Access Bridge'!$AC11+'Access Bridge'!$AD11+'Access Bridge'!$AG11),0)</f>
        <v>0</v>
      </c>
      <c r="Q10" s="133"/>
      <c r="R10" s="131" t="s">
        <v>206</v>
      </c>
    </row>
    <row r="11" spans="1:20" x14ac:dyDescent="0.25">
      <c r="A11" s="142" t="str">
        <f>'Access Bridge'!A12</f>
        <v>MORRIS BRIDGE RD</v>
      </c>
      <c r="B11" s="141" t="s">
        <v>117</v>
      </c>
      <c r="C11" s="141" t="s">
        <v>118</v>
      </c>
      <c r="D11" s="141" t="s">
        <v>119</v>
      </c>
      <c r="E11" s="149">
        <v>2022</v>
      </c>
      <c r="F11" s="157">
        <v>37650</v>
      </c>
      <c r="G11" s="130">
        <f>IF('Access Bridge'!$G12=2022,('Access Bridge'!$AC12+'Access Bridge'!$AD12+'Access Bridge'!$AG12),0)</f>
        <v>518510.60334513965</v>
      </c>
      <c r="H11" s="130">
        <f>IF('Access Bridge'!$G12=2023,('Access Bridge'!$AC12+'Access Bridge'!$AD12+'Access Bridge'!$AG12),0)</f>
        <v>0</v>
      </c>
      <c r="I11" s="130">
        <f>IF('Access Bridge'!$G12=2024,('Access Bridge'!$AC12+'Access Bridge'!$AD12+'Access Bridge'!$AG12),0)</f>
        <v>0</v>
      </c>
      <c r="J11" s="130">
        <f>IF('Access Bridge'!$G12=2025,('Access Bridge'!$AC12+'Access Bridge'!$AD12+'Access Bridge'!$AG12),0)</f>
        <v>0</v>
      </c>
      <c r="K11" s="130">
        <f>IF('Access Bridge'!$G12=2026,('Access Bridge'!$AC12+'Access Bridge'!$AD12+'Access Bridge'!$AG12),0)</f>
        <v>0</v>
      </c>
      <c r="L11" s="130">
        <f>IF('Access Bridge'!$G12=2027,('Access Bridge'!$AC12+'Access Bridge'!$AD12+'Access Bridge'!$AG12),0)</f>
        <v>0</v>
      </c>
      <c r="M11" s="130">
        <f>IF('Access Bridge'!$G12=2028,('Access Bridge'!$AC12+'Access Bridge'!$AD12+'Access Bridge'!$AG12),0)</f>
        <v>0</v>
      </c>
      <c r="N11" s="130">
        <f>IF('Access Bridge'!$G12=2029,('Access Bridge'!$AC12+'Access Bridge'!$AD12+'Access Bridge'!$AG12),0)</f>
        <v>0</v>
      </c>
      <c r="O11" s="130">
        <f>IF('Access Bridge'!$G12=2030,('Access Bridge'!$AC12+'Access Bridge'!$AD12+'Access Bridge'!$AG12),0)</f>
        <v>0</v>
      </c>
      <c r="P11" s="130">
        <f>IF('Access Bridge'!$G12=2031,('Access Bridge'!$AC12+'Access Bridge'!$AD12+'Access Bridge'!$AG12),0)</f>
        <v>0</v>
      </c>
      <c r="Q11" s="133"/>
      <c r="R11" s="131" t="s">
        <v>206</v>
      </c>
    </row>
    <row r="12" spans="1:20" s="139" customFormat="1" x14ac:dyDescent="0.25">
      <c r="A12" s="143" t="str">
        <f>'Access Bridge'!A13</f>
        <v>C.R. 542</v>
      </c>
      <c r="B12" s="141" t="s">
        <v>180</v>
      </c>
      <c r="C12" s="141" t="s">
        <v>181</v>
      </c>
      <c r="D12" s="141" t="s">
        <v>182</v>
      </c>
      <c r="E12" s="149">
        <v>2026</v>
      </c>
      <c r="F12" s="157">
        <v>0</v>
      </c>
      <c r="G12" s="130">
        <f>IF('Access Bridge'!$G13=2022,('Access Bridge'!$AC13+'Access Bridge'!$AD13+'Access Bridge'!$AG13),0)</f>
        <v>0</v>
      </c>
      <c r="H12" s="130">
        <f>IF('Access Bridge'!$G13=2023,('Access Bridge'!$AC13+'Access Bridge'!$AD13+'Access Bridge'!$AG13),0)</f>
        <v>0</v>
      </c>
      <c r="I12" s="136">
        <f>IF('Access Bridge'!$G13=2024,('Access Bridge'!$AC13+'Access Bridge'!$AD13+'Access Bridge'!$AG13),0)</f>
        <v>0</v>
      </c>
      <c r="J12" s="136">
        <f>IF('Access Bridge'!$G13=2025,('Access Bridge'!$AC13+'Access Bridge'!$AD13+'Access Bridge'!$AG13),0)</f>
        <v>0</v>
      </c>
      <c r="K12" s="136">
        <f>IF('Access Bridge'!$G13=2026,('Access Bridge'!$AC13+'Access Bridge'!$AD13+'Access Bridge'!$AG13),0)</f>
        <v>678683.04595303675</v>
      </c>
      <c r="L12" s="136">
        <f>IF('Access Bridge'!$G13=2027,('Access Bridge'!$AC13+'Access Bridge'!$AD13+'Access Bridge'!$AG13),0)</f>
        <v>0</v>
      </c>
      <c r="M12" s="136">
        <f>IF('Access Bridge'!$G13=2028,('Access Bridge'!$AC13+'Access Bridge'!$AD13+'Access Bridge'!$AG13),0)</f>
        <v>0</v>
      </c>
      <c r="N12" s="136">
        <f>IF('Access Bridge'!$G13=2029,('Access Bridge'!$AC13+'Access Bridge'!$AD13+'Access Bridge'!$AG13),0)</f>
        <v>0</v>
      </c>
      <c r="O12" s="130">
        <f>IF('Access Bridge'!$G13=2030,('Access Bridge'!$AC13+'Access Bridge'!$AD13+'Access Bridge'!$AG13),0)</f>
        <v>0</v>
      </c>
      <c r="P12" s="130">
        <f>IF('Access Bridge'!$G13=2031,('Access Bridge'!$AC13+'Access Bridge'!$AD13+'Access Bridge'!$AG13),0)</f>
        <v>0</v>
      </c>
      <c r="Q12" s="137"/>
      <c r="R12" s="138" t="s">
        <v>205</v>
      </c>
    </row>
    <row r="13" spans="1:20" x14ac:dyDescent="0.25">
      <c r="A13" s="142" t="str">
        <f>'Access Bridge'!A14</f>
        <v>COLUMBUS DRIVE #1</v>
      </c>
      <c r="B13" s="141" t="s">
        <v>120</v>
      </c>
      <c r="C13" s="141" t="s">
        <v>121</v>
      </c>
      <c r="D13" s="141" t="s">
        <v>122</v>
      </c>
      <c r="E13" s="149">
        <v>2025</v>
      </c>
      <c r="F13" s="157">
        <v>41650</v>
      </c>
      <c r="G13" s="130">
        <f>IF('Access Bridge'!$G14=2022,('Access Bridge'!$AC14+'Access Bridge'!$AD14+'Access Bridge'!$AG14),0)</f>
        <v>0</v>
      </c>
      <c r="H13" s="130">
        <f>IF('Access Bridge'!$G14=2023,('Access Bridge'!$AC14+'Access Bridge'!$AD14+'Access Bridge'!$AG14),0)</f>
        <v>0</v>
      </c>
      <c r="I13" s="130">
        <f>IF('Access Bridge'!$G14=2024,('Access Bridge'!$AC14+'Access Bridge'!$AD14+'Access Bridge'!$AG14),0)</f>
        <v>0</v>
      </c>
      <c r="J13" s="130">
        <f>IF('Access Bridge'!$G14=2025,('Access Bridge'!$AC14+'Access Bridge'!$AD14+'Access Bridge'!$AG14),0)</f>
        <v>630631.31317066762</v>
      </c>
      <c r="K13" s="136">
        <f>IF('Access Bridge'!$G14=2026,('Access Bridge'!$AC14+'Access Bridge'!$AD14+'Access Bridge'!$AG14),0)</f>
        <v>0</v>
      </c>
      <c r="L13" s="130">
        <f>IF('Access Bridge'!$G14=2027,('Access Bridge'!$AC14+'Access Bridge'!$AD14+'Access Bridge'!$AG14),0)</f>
        <v>0</v>
      </c>
      <c r="M13" s="136">
        <f>IF('Access Bridge'!$G14=2028,('Access Bridge'!$AC14+'Access Bridge'!$AD14+'Access Bridge'!$AG14),0)</f>
        <v>0</v>
      </c>
      <c r="N13" s="136">
        <f>IF('Access Bridge'!$G14=2029,('Access Bridge'!$AC14+'Access Bridge'!$AD14+'Access Bridge'!$AG14),0)</f>
        <v>0</v>
      </c>
      <c r="O13" s="130">
        <f>IF('Access Bridge'!$G14=2030,('Access Bridge'!$AC14+'Access Bridge'!$AD14+'Access Bridge'!$AG14),0)</f>
        <v>0</v>
      </c>
      <c r="P13" s="130">
        <f>IF('Access Bridge'!$G14=2031,('Access Bridge'!$AC14+'Access Bridge'!$AD14+'Access Bridge'!$AG14),0)</f>
        <v>0</v>
      </c>
      <c r="Q13" s="133"/>
      <c r="R13" s="131" t="s">
        <v>206</v>
      </c>
    </row>
    <row r="14" spans="1:20" x14ac:dyDescent="0.25">
      <c r="A14" s="142" t="str">
        <f>'Access Bridge'!A15</f>
        <v>COLUMBUS DRIVE #2</v>
      </c>
      <c r="B14" s="141" t="s">
        <v>123</v>
      </c>
      <c r="C14" s="141" t="s">
        <v>124</v>
      </c>
      <c r="D14" s="141" t="s">
        <v>125</v>
      </c>
      <c r="E14" s="149">
        <v>2025</v>
      </c>
      <c r="F14" s="157">
        <v>41650</v>
      </c>
      <c r="G14" s="130">
        <f>IF('Access Bridge'!$G15=2022,('Access Bridge'!$AC15+'Access Bridge'!$AD15+'Access Bridge'!$AG15),0)</f>
        <v>0</v>
      </c>
      <c r="H14" s="130">
        <f>IF('Access Bridge'!$G15=2023,('Access Bridge'!$AC15+'Access Bridge'!$AD15+'Access Bridge'!$AG15),0)</f>
        <v>0</v>
      </c>
      <c r="I14" s="130">
        <f>IF('Access Bridge'!$G15=2024,('Access Bridge'!$AC15+'Access Bridge'!$AD15+'Access Bridge'!$AG15),0)</f>
        <v>0</v>
      </c>
      <c r="J14" s="130">
        <f>IF('Access Bridge'!$G15=2025,('Access Bridge'!$AC15+'Access Bridge'!$AD15+'Access Bridge'!$AG15),0)</f>
        <v>630631.31317066762</v>
      </c>
      <c r="K14" s="136">
        <f>IF('Access Bridge'!$G15=2026,('Access Bridge'!$AC15+'Access Bridge'!$AD15+'Access Bridge'!$AG15),0)</f>
        <v>0</v>
      </c>
      <c r="L14" s="130">
        <f>IF('Access Bridge'!$G15=2027,('Access Bridge'!$AC15+'Access Bridge'!$AD15+'Access Bridge'!$AG15),0)</f>
        <v>0</v>
      </c>
      <c r="M14" s="136">
        <f>IF('Access Bridge'!$G15=2028,('Access Bridge'!$AC15+'Access Bridge'!$AD15+'Access Bridge'!$AG15),0)</f>
        <v>0</v>
      </c>
      <c r="N14" s="136">
        <f>IF('Access Bridge'!$G15=2029,('Access Bridge'!$AC15+'Access Bridge'!$AD15+'Access Bridge'!$AG15),0)</f>
        <v>0</v>
      </c>
      <c r="O14" s="130">
        <f>IF('Access Bridge'!$G15=2030,('Access Bridge'!$AC15+'Access Bridge'!$AD15+'Access Bridge'!$AG15),0)</f>
        <v>0</v>
      </c>
      <c r="P14" s="130">
        <f>IF('Access Bridge'!$G15=2031,('Access Bridge'!$AC15+'Access Bridge'!$AD15+'Access Bridge'!$AG15),0)</f>
        <v>0</v>
      </c>
      <c r="Q14" s="133"/>
      <c r="R14" s="131" t="s">
        <v>206</v>
      </c>
    </row>
    <row r="15" spans="1:20" x14ac:dyDescent="0.25">
      <c r="A15" s="207" t="str">
        <f>'Access Bridge'!A18</f>
        <v>Proposed Bridge A</v>
      </c>
      <c r="B15" s="208" t="s">
        <v>104</v>
      </c>
      <c r="C15" s="208" t="s">
        <v>104</v>
      </c>
      <c r="D15" s="208" t="s">
        <v>104</v>
      </c>
      <c r="E15" s="202" t="s">
        <v>187</v>
      </c>
      <c r="F15" s="158">
        <v>0</v>
      </c>
      <c r="G15" s="130">
        <f>IF('Access Bridge'!$G16=2022,('Access Bridge'!$AC16+'Access Bridge'!$AD16+'Access Bridge'!$AG16),0)</f>
        <v>0</v>
      </c>
      <c r="H15" s="130">
        <f>IF('Access Bridge'!$G16=2023,('Access Bridge'!$AC16+'Access Bridge'!$AD16+'Access Bridge'!$AG16),0)</f>
        <v>0</v>
      </c>
      <c r="I15" s="130">
        <f>IF('Access Bridge'!$G18=2024,('Access Bridge'!$AC18+'Access Bridge'!$AD18+'Access Bridge'!$AG18),0)</f>
        <v>0</v>
      </c>
      <c r="J15" s="130">
        <f>IF('Access Bridge'!$G16=2025,('Access Bridge'!$AC16+'Access Bridge'!$AD16+'Access Bridge'!$AG16),0)</f>
        <v>0</v>
      </c>
      <c r="K15" s="136">
        <f>IF('Access Bridge'!$G16=2026,('Access Bridge'!$AC16+'Access Bridge'!$AD16+'Access Bridge'!$AG16),0)</f>
        <v>0</v>
      </c>
      <c r="L15" s="130">
        <f>IF('Access Bridge'!$G16=2027,('Access Bridge'!$AC16+'Access Bridge'!$AD16+'Access Bridge'!$AG16),0)</f>
        <v>0</v>
      </c>
      <c r="M15" s="136">
        <f>IF('Access Bridge'!$G16=2028,('Access Bridge'!$AC16+'Access Bridge'!$AD16+'Access Bridge'!$AG16),0)</f>
        <v>0</v>
      </c>
      <c r="N15" s="136">
        <f>IF('Access Bridge'!$G16=2029,('Access Bridge'!$AC16+'Access Bridge'!$AD16+'Access Bridge'!$AG16),0)</f>
        <v>0</v>
      </c>
      <c r="O15" s="130">
        <f>IF('Access Bridge'!$G16=2030,('Access Bridge'!$AC16+'Access Bridge'!$AD16+'Access Bridge'!$AG16),0)</f>
        <v>0</v>
      </c>
      <c r="P15" s="130">
        <f>IF('Access Bridge'!$G16=2031,('Access Bridge'!$AC16+'Access Bridge'!$AD16+'Access Bridge'!$AG16),0)</f>
        <v>0</v>
      </c>
      <c r="Q15" s="133"/>
      <c r="R15" s="131" t="s">
        <v>206</v>
      </c>
    </row>
    <row r="16" spans="1:20" x14ac:dyDescent="0.25">
      <c r="A16" s="159" t="s">
        <v>7</v>
      </c>
      <c r="B16" s="160" t="s">
        <v>187</v>
      </c>
      <c r="C16" s="160" t="s">
        <v>187</v>
      </c>
      <c r="D16" s="160" t="s">
        <v>187</v>
      </c>
      <c r="E16" s="202" t="s">
        <v>187</v>
      </c>
      <c r="F16" s="158">
        <v>0</v>
      </c>
      <c r="G16" s="130">
        <f>IF('Access Bridge'!$G17=2022,('Access Bridge'!$AC17+'Access Bridge'!$AD17+'Access Bridge'!$AG17),0)</f>
        <v>0</v>
      </c>
      <c r="H16" s="130">
        <f>IF('Access Bridge'!$G17=2023,('Access Bridge'!$AC17+'Access Bridge'!$AD17+'Access Bridge'!$AG17),0)</f>
        <v>0</v>
      </c>
      <c r="I16" s="130">
        <f>IF('Access Bridge'!$G19=2024,('Access Bridge'!$AC19+'Access Bridge'!$AD19+'Access Bridge'!$AG19),0)</f>
        <v>0</v>
      </c>
      <c r="J16" s="130">
        <f>IF('Access Bridge'!$G17=2025,('Access Bridge'!$AC17+'Access Bridge'!$AD17+'Access Bridge'!$AG17),0)</f>
        <v>0</v>
      </c>
      <c r="K16" s="136">
        <f>IF('Access Bridge'!$G17=2026,('Access Bridge'!$AC17+'Access Bridge'!$AD17+'Access Bridge'!$AG17),0)</f>
        <v>0</v>
      </c>
      <c r="L16" s="130">
        <f>IF('Access Bridge'!$G17=2027,('Access Bridge'!$AC17+'Access Bridge'!$AD17+'Access Bridge'!$AG17),0)</f>
        <v>0</v>
      </c>
      <c r="M16" s="136">
        <f>IF('Access Bridge'!$G17=2028,('Access Bridge'!$AC17+'Access Bridge'!$AD17+'Access Bridge'!$AG17),0)</f>
        <v>0</v>
      </c>
      <c r="N16" s="136">
        <f>IF('Access Bridge'!$G17=2029,('Access Bridge'!$AC17+'Access Bridge'!$AD17+'Access Bridge'!$AG17),0)</f>
        <v>0</v>
      </c>
      <c r="O16" s="130">
        <f>IF('Access Bridge'!$G17=2030,('Access Bridge'!$AC17+'Access Bridge'!$AD17+'Access Bridge'!$AG17),0)</f>
        <v>0</v>
      </c>
      <c r="P16" s="130">
        <f>IF('Access Bridge'!$G17=2031,('Access Bridge'!$AC17+'Access Bridge'!$AD17+'Access Bridge'!$AG17),0)</f>
        <v>0</v>
      </c>
      <c r="Q16" s="133"/>
      <c r="R16" s="131" t="s">
        <v>206</v>
      </c>
    </row>
    <row r="17" spans="1:18" x14ac:dyDescent="0.25">
      <c r="A17" s="159" t="s">
        <v>18</v>
      </c>
      <c r="B17" s="160" t="s">
        <v>147</v>
      </c>
      <c r="C17" s="160" t="s">
        <v>148</v>
      </c>
      <c r="D17" s="160" t="s">
        <v>149</v>
      </c>
      <c r="E17" s="202" t="s">
        <v>187</v>
      </c>
      <c r="F17" s="158">
        <v>5372</v>
      </c>
      <c r="G17" s="130">
        <f>IF('Access Bridge'!$G18=2022,('Access Bridge'!$AC18+'Access Bridge'!$AD18+'Access Bridge'!$AG18),0)</f>
        <v>0</v>
      </c>
      <c r="H17" s="130">
        <f>IF('Access Bridge'!$G18=2023,('Access Bridge'!$AC18+'Access Bridge'!$AD18+'Access Bridge'!$AG18),0)</f>
        <v>0</v>
      </c>
      <c r="I17" s="130">
        <f>IF('Access Bridge'!$G20=2024,('Access Bridge'!$AC20+'Access Bridge'!$AD20+'Access Bridge'!$AG20),0)</f>
        <v>0</v>
      </c>
      <c r="J17" s="130">
        <f>IF('Access Bridge'!$G18=2025,('Access Bridge'!$AC18+'Access Bridge'!$AD18+'Access Bridge'!$AG18),0)</f>
        <v>0</v>
      </c>
      <c r="K17" s="136">
        <f>IF('Access Bridge'!$G18=2026,('Access Bridge'!$AC18+'Access Bridge'!$AD18+'Access Bridge'!$AG18),0)</f>
        <v>0</v>
      </c>
      <c r="L17" s="130">
        <f>IF('Access Bridge'!$G18=2027,('Access Bridge'!$AC18+'Access Bridge'!$AD18+'Access Bridge'!$AG18),0)</f>
        <v>0</v>
      </c>
      <c r="M17" s="136">
        <f>IF('Access Bridge'!$G18=2028,('Access Bridge'!$AC18+'Access Bridge'!$AD18+'Access Bridge'!$AG18),0)</f>
        <v>0</v>
      </c>
      <c r="N17" s="136">
        <f>IF('Access Bridge'!$G18=2029,('Access Bridge'!$AC18+'Access Bridge'!$AD18+'Access Bridge'!$AG18),0)</f>
        <v>0</v>
      </c>
      <c r="O17" s="130">
        <f>IF('Access Bridge'!$G18=2030,('Access Bridge'!$AC18+'Access Bridge'!$AD18+'Access Bridge'!$AG18),0)</f>
        <v>0</v>
      </c>
      <c r="P17" s="130">
        <f>IF('Access Bridge'!$G18=2031,('Access Bridge'!$AC18+'Access Bridge'!$AD18+'Access Bridge'!$AG18),0)</f>
        <v>0</v>
      </c>
      <c r="Q17" s="133"/>
      <c r="R17" s="131" t="s">
        <v>206</v>
      </c>
    </row>
    <row r="18" spans="1:18" x14ac:dyDescent="0.25">
      <c r="A18" s="159" t="s">
        <v>52</v>
      </c>
      <c r="B18" s="160" t="s">
        <v>150</v>
      </c>
      <c r="C18" s="160" t="s">
        <v>151</v>
      </c>
      <c r="D18" s="160" t="s">
        <v>152</v>
      </c>
      <c r="E18" s="202" t="s">
        <v>187</v>
      </c>
      <c r="F18" s="158">
        <v>7714</v>
      </c>
      <c r="G18" s="130">
        <f>IF('Access Bridge'!$G19=2022,('Access Bridge'!$AC19+'Access Bridge'!$AD19+'Access Bridge'!$AG19),0)</f>
        <v>0</v>
      </c>
      <c r="H18" s="130">
        <f>IF('Access Bridge'!$G19=2023,('Access Bridge'!$AC19+'Access Bridge'!$AD19+'Access Bridge'!$AG19),0)</f>
        <v>0</v>
      </c>
      <c r="I18" s="130">
        <f>IF('Access Bridge'!$G21=2024,('Access Bridge'!$AC21+'Access Bridge'!$AD21+'Access Bridge'!$AG21),0)</f>
        <v>0</v>
      </c>
      <c r="J18" s="130">
        <f>IF('Access Bridge'!$G19=2025,('Access Bridge'!$AC19+'Access Bridge'!$AD19+'Access Bridge'!$AG19),0)</f>
        <v>0</v>
      </c>
      <c r="K18" s="136">
        <f>IF('Access Bridge'!$G19=2026,('Access Bridge'!$AC19+'Access Bridge'!$AD19+'Access Bridge'!$AG19),0)</f>
        <v>0</v>
      </c>
      <c r="L18" s="130">
        <f>IF('Access Bridge'!$G19=2027,('Access Bridge'!$AC19+'Access Bridge'!$AD19+'Access Bridge'!$AG19),0)</f>
        <v>0</v>
      </c>
      <c r="M18" s="136">
        <f>IF('Access Bridge'!$G19=2028,('Access Bridge'!$AC19+'Access Bridge'!$AD19+'Access Bridge'!$AG19),0)</f>
        <v>0</v>
      </c>
      <c r="N18" s="136">
        <f>IF('Access Bridge'!$G19=2029,('Access Bridge'!$AC19+'Access Bridge'!$AD19+'Access Bridge'!$AG19),0)</f>
        <v>0</v>
      </c>
      <c r="O18" s="130">
        <f>IF('Access Bridge'!$G19=2030,('Access Bridge'!$AC19+'Access Bridge'!$AD19+'Access Bridge'!$AG19),0)</f>
        <v>0</v>
      </c>
      <c r="P18" s="130">
        <f>IF('Access Bridge'!$G19=2031,('Access Bridge'!$AC19+'Access Bridge'!$AD19+'Access Bridge'!$AG19),0)</f>
        <v>0</v>
      </c>
      <c r="Q18" s="133"/>
      <c r="R18" s="131" t="s">
        <v>206</v>
      </c>
    </row>
    <row r="19" spans="1:18" x14ac:dyDescent="0.25">
      <c r="A19" s="159" t="s">
        <v>53</v>
      </c>
      <c r="B19" s="160" t="s">
        <v>153</v>
      </c>
      <c r="C19" s="160" t="s">
        <v>154</v>
      </c>
      <c r="D19" s="160" t="s">
        <v>155</v>
      </c>
      <c r="E19" s="202" t="s">
        <v>187</v>
      </c>
      <c r="F19" s="158">
        <v>10405</v>
      </c>
      <c r="G19" s="130">
        <f>IF('Access Bridge'!$G20=2022,('Access Bridge'!$AC20+'Access Bridge'!$AD20+'Access Bridge'!$AG20),0)</f>
        <v>0</v>
      </c>
      <c r="H19" s="130">
        <f>IF('Access Bridge'!$G20=2023,('Access Bridge'!$AC20+'Access Bridge'!$AD20+'Access Bridge'!$AG20),0)</f>
        <v>0</v>
      </c>
      <c r="I19" s="130">
        <f>IF('Access Bridge'!$G22=2024,('Access Bridge'!$AC22+'Access Bridge'!$AD22+'Access Bridge'!$AG22),0)</f>
        <v>0</v>
      </c>
      <c r="J19" s="130">
        <f>IF('Access Bridge'!$G20=2025,('Access Bridge'!$AC20+'Access Bridge'!$AD20+'Access Bridge'!$AG20),0)</f>
        <v>0</v>
      </c>
      <c r="K19" s="136">
        <f>IF('Access Bridge'!$G20=2026,('Access Bridge'!$AC20+'Access Bridge'!$AD20+'Access Bridge'!$AG20),0)</f>
        <v>0</v>
      </c>
      <c r="L19" s="130">
        <f>IF('Access Bridge'!$G20=2027,('Access Bridge'!$AC20+'Access Bridge'!$AD20+'Access Bridge'!$AG20),0)</f>
        <v>0</v>
      </c>
      <c r="M19" s="136">
        <f>IF('Access Bridge'!$G20=2028,('Access Bridge'!$AC20+'Access Bridge'!$AD20+'Access Bridge'!$AG20),0)</f>
        <v>0</v>
      </c>
      <c r="N19" s="136">
        <f>IF('Access Bridge'!$G20=2029,('Access Bridge'!$AC20+'Access Bridge'!$AD20+'Access Bridge'!$AG20),0)</f>
        <v>0</v>
      </c>
      <c r="O19" s="130">
        <f>IF('Access Bridge'!$G20=2030,('Access Bridge'!$AC20+'Access Bridge'!$AD20+'Access Bridge'!$AG20),0)</f>
        <v>0</v>
      </c>
      <c r="P19" s="130">
        <f>IF('Access Bridge'!$G20=2031,('Access Bridge'!$AC20+'Access Bridge'!$AD20+'Access Bridge'!$AG20),0)</f>
        <v>0</v>
      </c>
      <c r="Q19" s="133"/>
      <c r="R19" s="131" t="s">
        <v>206</v>
      </c>
    </row>
    <row r="20" spans="1:18" x14ac:dyDescent="0.25">
      <c r="A20" s="143" t="str">
        <f>'Access Bridge'!A21</f>
        <v>RACETRACK ROAD (KML_1)</v>
      </c>
      <c r="B20" s="141" t="s">
        <v>104</v>
      </c>
      <c r="C20" s="141" t="s">
        <v>104</v>
      </c>
      <c r="D20" s="141" t="s">
        <v>104</v>
      </c>
      <c r="E20" s="161">
        <v>2028</v>
      </c>
      <c r="F20" s="158">
        <v>0</v>
      </c>
      <c r="G20" s="130">
        <f>IF('Access Bridge'!$G21=2022,('Access Bridge'!$AC21+'Access Bridge'!$AD21+'Access Bridge'!$AG21),0)</f>
        <v>0</v>
      </c>
      <c r="H20" s="130">
        <f>IF('Access Bridge'!$G21=2023,('Access Bridge'!$AC21+'Access Bridge'!$AD21+'Access Bridge'!$AG21),0)</f>
        <v>0</v>
      </c>
      <c r="I20" s="130">
        <f>IF('Access Bridge'!$G23=2024,('Access Bridge'!$AC23+'Access Bridge'!$AD23+'Access Bridge'!$AG23),0)</f>
        <v>0</v>
      </c>
      <c r="J20" s="130">
        <f>IF('Access Bridge'!$G21=2025,('Access Bridge'!$AC21+'Access Bridge'!$AD21+'Access Bridge'!$AG21),0)</f>
        <v>0</v>
      </c>
      <c r="K20" s="136">
        <f>IF('Access Bridge'!$G21=2026,('Access Bridge'!$AC21+'Access Bridge'!$AD21+'Access Bridge'!$AG21),0)</f>
        <v>0</v>
      </c>
      <c r="L20" s="130">
        <f>IF('Access Bridge'!$G21=2027,('Access Bridge'!$AC21+'Access Bridge'!$AD21+'Access Bridge'!$AG21),0)</f>
        <v>0</v>
      </c>
      <c r="M20" s="136">
        <f>IF('Access Bridge'!$G21=2028,('Access Bridge'!$AC21+'Access Bridge'!$AD21+'Access Bridge'!$AG21),0)</f>
        <v>526655.81868030957</v>
      </c>
      <c r="N20" s="136">
        <f>IF('Access Bridge'!$G21=2029,('Access Bridge'!$AC21+'Access Bridge'!$AD21+'Access Bridge'!$AG21),0)</f>
        <v>0</v>
      </c>
      <c r="O20" s="130">
        <f>IF('Access Bridge'!$G21=2030,('Access Bridge'!$AC21+'Access Bridge'!$AD21+'Access Bridge'!$AG21),0)</f>
        <v>0</v>
      </c>
      <c r="P20" s="130">
        <f>IF('Access Bridge'!$G21=2031,('Access Bridge'!$AC21+'Access Bridge'!$AD21+'Access Bridge'!$AG21),0)</f>
        <v>0</v>
      </c>
      <c r="Q20" s="133"/>
      <c r="R20" s="131" t="s">
        <v>206</v>
      </c>
    </row>
    <row r="21" spans="1:18" x14ac:dyDescent="0.25">
      <c r="A21" s="143" t="str">
        <f>'Access Bridge'!A22</f>
        <v>COUNTRYWAY BLVD (KML_2)</v>
      </c>
      <c r="B21" s="141" t="s">
        <v>104</v>
      </c>
      <c r="C21" s="141" t="s">
        <v>104</v>
      </c>
      <c r="D21" s="141" t="s">
        <v>104</v>
      </c>
      <c r="E21" s="161">
        <v>2028</v>
      </c>
      <c r="F21" s="158">
        <v>0</v>
      </c>
      <c r="G21" s="130">
        <f>IF('Access Bridge'!$G22=2022,('Access Bridge'!$AC22+'Access Bridge'!$AD22+'Access Bridge'!$AG22),0)</f>
        <v>0</v>
      </c>
      <c r="H21" s="130">
        <f>IF('Access Bridge'!$G22=2023,('Access Bridge'!$AC22+'Access Bridge'!$AD22+'Access Bridge'!$AG22),0)</f>
        <v>0</v>
      </c>
      <c r="I21" s="130">
        <f>IF('Access Bridge'!$G24=2024,('Access Bridge'!$AC24+'Access Bridge'!$AD24+'Access Bridge'!$AG24),0)</f>
        <v>0</v>
      </c>
      <c r="J21" s="130">
        <f>IF('Access Bridge'!$G22=2025,('Access Bridge'!$AC22+'Access Bridge'!$AD22+'Access Bridge'!$AG22),0)</f>
        <v>0</v>
      </c>
      <c r="K21" s="136">
        <f>IF('Access Bridge'!$G22=2026,('Access Bridge'!$AC22+'Access Bridge'!$AD22+'Access Bridge'!$AG22),0)</f>
        <v>0</v>
      </c>
      <c r="L21" s="130">
        <f>IF('Access Bridge'!$G22=2027,('Access Bridge'!$AC22+'Access Bridge'!$AD22+'Access Bridge'!$AG22),0)</f>
        <v>0</v>
      </c>
      <c r="M21" s="136">
        <f>IF('Access Bridge'!$G22=2028,('Access Bridge'!$AC22+'Access Bridge'!$AD22+'Access Bridge'!$AG22),0)</f>
        <v>823123.48305129213</v>
      </c>
      <c r="N21" s="136">
        <f>IF('Access Bridge'!$G22=2029,('Access Bridge'!$AC22+'Access Bridge'!$AD22+'Access Bridge'!$AG22),0)</f>
        <v>0</v>
      </c>
      <c r="O21" s="130">
        <f>IF('Access Bridge'!$G22=2030,('Access Bridge'!$AC22+'Access Bridge'!$AD22+'Access Bridge'!$AG22),0)</f>
        <v>0</v>
      </c>
      <c r="P21" s="130">
        <f>IF('Access Bridge'!$G22=2031,('Access Bridge'!$AC22+'Access Bridge'!$AD22+'Access Bridge'!$AG22),0)</f>
        <v>0</v>
      </c>
      <c r="Q21" s="133"/>
      <c r="R21" s="131" t="s">
        <v>206</v>
      </c>
    </row>
    <row r="22" spans="1:18" x14ac:dyDescent="0.25">
      <c r="A22" s="207" t="str">
        <f>'Access Bridge'!A23</f>
        <v>PROGRESS BLVD (KML_5)</v>
      </c>
      <c r="B22" s="208" t="s">
        <v>104</v>
      </c>
      <c r="C22" s="208" t="s">
        <v>104</v>
      </c>
      <c r="D22" s="208" t="s">
        <v>104</v>
      </c>
      <c r="E22" s="202">
        <v>2030</v>
      </c>
      <c r="F22" s="158">
        <v>0</v>
      </c>
      <c r="G22" s="130">
        <f>IF('Access Bridge'!$G23=2022,('Access Bridge'!$AC23+'Access Bridge'!$AD23+'Access Bridge'!$AG23),0)</f>
        <v>0</v>
      </c>
      <c r="H22" s="130">
        <f>IF('Access Bridge'!$G23=2023,('Access Bridge'!$AC23+'Access Bridge'!$AD23+'Access Bridge'!$AG23),0)</f>
        <v>0</v>
      </c>
      <c r="I22" s="130">
        <f>IF('Access Bridge'!$G25=2024,('Access Bridge'!$AC25+'Access Bridge'!$AD25+'Access Bridge'!$AG25),0)</f>
        <v>0</v>
      </c>
      <c r="J22" s="130">
        <f>IF('Access Bridge'!$G23=2025,('Access Bridge'!$AC23+'Access Bridge'!$AD23+'Access Bridge'!$AG23),0)</f>
        <v>0</v>
      </c>
      <c r="K22" s="136">
        <f>IF('Access Bridge'!$G23=2026,('Access Bridge'!$AC23+'Access Bridge'!$AD23+'Access Bridge'!$AG23),0)</f>
        <v>0</v>
      </c>
      <c r="L22" s="130">
        <f>IF('Access Bridge'!$G23=2027,('Access Bridge'!$AC23+'Access Bridge'!$AD23+'Access Bridge'!$AG23),0)</f>
        <v>0</v>
      </c>
      <c r="M22" s="136">
        <f>IF('Access Bridge'!$G23=2028,('Access Bridge'!$AC23+'Access Bridge'!$AD23+'Access Bridge'!$AG23),0)</f>
        <v>0</v>
      </c>
      <c r="N22" s="136">
        <f>IF('Access Bridge'!$G23=2029,('Access Bridge'!$AC23+'Access Bridge'!$AD23+'Access Bridge'!$AG23),0)</f>
        <v>0</v>
      </c>
      <c r="O22" s="130">
        <f>IF('Access Bridge'!$G23=2030,('Access Bridge'!$AC23+'Access Bridge'!$AD23+'Access Bridge'!$AG23),0)</f>
        <v>0</v>
      </c>
      <c r="P22" s="130">
        <f>IF('Access Bridge'!$G23=2031,('Access Bridge'!$AC23+'Access Bridge'!$AD23+'Access Bridge'!$AG23),0)</f>
        <v>0</v>
      </c>
      <c r="Q22" s="133"/>
      <c r="R22" s="131" t="s">
        <v>206</v>
      </c>
    </row>
    <row r="23" spans="1:18" x14ac:dyDescent="0.25">
      <c r="A23" s="143" t="str">
        <f>'Access Bridge'!A24</f>
        <v>LITTLE FISHHAWK CREEK (KML_12)</v>
      </c>
      <c r="B23" s="141" t="s">
        <v>104</v>
      </c>
      <c r="C23" s="141" t="s">
        <v>104</v>
      </c>
      <c r="D23" s="141" t="s">
        <v>104</v>
      </c>
      <c r="E23" s="161">
        <v>2030</v>
      </c>
      <c r="F23" s="158">
        <v>0</v>
      </c>
      <c r="G23" s="130">
        <f>IF('Access Bridge'!$G24=2022,('Access Bridge'!$AC24+'Access Bridge'!$AD24+'Access Bridge'!$AG24),0)</f>
        <v>0</v>
      </c>
      <c r="H23" s="130">
        <f>IF('Access Bridge'!$G24=2023,('Access Bridge'!$AC24+'Access Bridge'!$AD24+'Access Bridge'!$AG24),0)</f>
        <v>0</v>
      </c>
      <c r="I23" s="130">
        <f>IF('Access Bridge'!$G26=2024,('Access Bridge'!$AC26+'Access Bridge'!$AD26+'Access Bridge'!$AG26),0)</f>
        <v>0</v>
      </c>
      <c r="J23" s="130">
        <f>IF('Access Bridge'!$G24=2025,('Access Bridge'!$AC24+'Access Bridge'!$AD24+'Access Bridge'!$AG24),0)</f>
        <v>0</v>
      </c>
      <c r="K23" s="136">
        <f>IF('Access Bridge'!$G24=2026,('Access Bridge'!$AC24+'Access Bridge'!$AD24+'Access Bridge'!$AG24),0)</f>
        <v>0</v>
      </c>
      <c r="L23" s="130">
        <f>IF('Access Bridge'!$G24=2027,('Access Bridge'!$AC24+'Access Bridge'!$AD24+'Access Bridge'!$AG24),0)</f>
        <v>0</v>
      </c>
      <c r="M23" s="136">
        <f>IF('Access Bridge'!$G24=2028,('Access Bridge'!$AC24+'Access Bridge'!$AD24+'Access Bridge'!$AG24),0)</f>
        <v>0</v>
      </c>
      <c r="N23" s="136">
        <f>IF('Access Bridge'!$G24=2029,('Access Bridge'!$AC24+'Access Bridge'!$AD24+'Access Bridge'!$AG24),0)</f>
        <v>0</v>
      </c>
      <c r="O23" s="130">
        <f>IF('Access Bridge'!$G24=2030,('Access Bridge'!$AC24+'Access Bridge'!$AD24+'Access Bridge'!$AG24),0)</f>
        <v>526655.81868030957</v>
      </c>
      <c r="P23" s="130">
        <f>IF('Access Bridge'!$G24=2031,('Access Bridge'!$AC24+'Access Bridge'!$AD24+'Access Bridge'!$AG24),0)</f>
        <v>0</v>
      </c>
      <c r="Q23" s="133"/>
      <c r="R23" s="131" t="s">
        <v>206</v>
      </c>
    </row>
    <row r="24" spans="1:18" x14ac:dyDescent="0.25">
      <c r="A24" s="143" t="str">
        <f>'Access Bridge'!A25</f>
        <v>KEYSVILLE ROAD WEST (KML_14)</v>
      </c>
      <c r="B24" s="141" t="s">
        <v>104</v>
      </c>
      <c r="C24" s="141" t="s">
        <v>104</v>
      </c>
      <c r="D24" s="141" t="s">
        <v>104</v>
      </c>
      <c r="E24" s="161">
        <v>2030</v>
      </c>
      <c r="F24" s="158">
        <v>0</v>
      </c>
      <c r="G24" s="130">
        <f>IF('Access Bridge'!$G25=2022,('Access Bridge'!$AC25+'Access Bridge'!$AD25+'Access Bridge'!$AG25),0)</f>
        <v>0</v>
      </c>
      <c r="H24" s="130">
        <f>IF('Access Bridge'!$G25=2023,('Access Bridge'!$AC25+'Access Bridge'!$AD25+'Access Bridge'!$AG25),0)</f>
        <v>0</v>
      </c>
      <c r="I24" s="130">
        <f>IF('Access Bridge'!$G27=2024,('Access Bridge'!$AC27+'Access Bridge'!$AD27+'Access Bridge'!$AG27),0)</f>
        <v>0</v>
      </c>
      <c r="J24" s="130">
        <f>IF('Access Bridge'!$G25=2025,('Access Bridge'!$AC25+'Access Bridge'!$AD25+'Access Bridge'!$AG25),0)</f>
        <v>0</v>
      </c>
      <c r="K24" s="136">
        <f>IF('Access Bridge'!$G25=2026,('Access Bridge'!$AC25+'Access Bridge'!$AD25+'Access Bridge'!$AG25),0)</f>
        <v>0</v>
      </c>
      <c r="L24" s="130">
        <f>IF('Access Bridge'!$G25=2027,('Access Bridge'!$AC25+'Access Bridge'!$AD25+'Access Bridge'!$AG25),0)</f>
        <v>0</v>
      </c>
      <c r="M24" s="136">
        <f>IF('Access Bridge'!$G25=2028,('Access Bridge'!$AC25+'Access Bridge'!$AD25+'Access Bridge'!$AG25),0)</f>
        <v>0</v>
      </c>
      <c r="N24" s="136">
        <f>IF('Access Bridge'!$G25=2029,('Access Bridge'!$AC25+'Access Bridge'!$AD25+'Access Bridge'!$AG25),0)</f>
        <v>0</v>
      </c>
      <c r="O24" s="130">
        <f>IF('Access Bridge'!$G25=2030,('Access Bridge'!$AC25+'Access Bridge'!$AD25+'Access Bridge'!$AG25),0)</f>
        <v>622807.49361143901</v>
      </c>
      <c r="P24" s="130">
        <f>IF('Access Bridge'!$G25=2031,('Access Bridge'!$AC25+'Access Bridge'!$AD25+'Access Bridge'!$AG25),0)</f>
        <v>0</v>
      </c>
      <c r="Q24" s="133"/>
      <c r="R24" s="131" t="s">
        <v>206</v>
      </c>
    </row>
    <row r="25" spans="1:18" x14ac:dyDescent="0.25">
      <c r="A25" s="143" t="str">
        <f>'Access Bridge'!A26</f>
        <v>HOLLOWAY ROAD (KML_15)</v>
      </c>
      <c r="B25" s="141" t="s">
        <v>104</v>
      </c>
      <c r="C25" s="141" t="s">
        <v>104</v>
      </c>
      <c r="D25" s="141" t="s">
        <v>104</v>
      </c>
      <c r="E25" s="161">
        <v>2029</v>
      </c>
      <c r="F25" s="158">
        <v>0</v>
      </c>
      <c r="G25" s="130">
        <f>IF('Access Bridge'!$G26=2022,('Access Bridge'!$AC26+'Access Bridge'!$AD26+'Access Bridge'!$AG26),0)</f>
        <v>0</v>
      </c>
      <c r="H25" s="130">
        <f>IF('Access Bridge'!$G26=2023,('Access Bridge'!$AC26+'Access Bridge'!$AD26+'Access Bridge'!$AG26),0)</f>
        <v>0</v>
      </c>
      <c r="I25" s="130">
        <f>IF('Access Bridge'!$G28=2024,('Access Bridge'!$AC28+'Access Bridge'!$AD28+'Access Bridge'!$AG28),0)</f>
        <v>0</v>
      </c>
      <c r="J25" s="130">
        <f>IF('Access Bridge'!$G26=2025,('Access Bridge'!$AC26+'Access Bridge'!$AD26+'Access Bridge'!$AG26),0)</f>
        <v>0</v>
      </c>
      <c r="K25" s="136">
        <f>IF('Access Bridge'!$G26=2026,('Access Bridge'!$AC26+'Access Bridge'!$AD26+'Access Bridge'!$AG26),0)</f>
        <v>0</v>
      </c>
      <c r="L25" s="130">
        <f>IF('Access Bridge'!$G26=2027,('Access Bridge'!$AC26+'Access Bridge'!$AD26+'Access Bridge'!$AG26),0)</f>
        <v>0</v>
      </c>
      <c r="M25" s="136">
        <f>IF('Access Bridge'!$G26=2028,('Access Bridge'!$AC26+'Access Bridge'!$AD26+'Access Bridge'!$AG26),0)</f>
        <v>0</v>
      </c>
      <c r="N25" s="136">
        <f>IF('Access Bridge'!$G26=2029,('Access Bridge'!$AC26+'Access Bridge'!$AD26+'Access Bridge'!$AG26),0)</f>
        <v>638832.77276662725</v>
      </c>
      <c r="O25" s="130">
        <f>IF('Access Bridge'!$G26=2030,('Access Bridge'!$AC26+'Access Bridge'!$AD26+'Access Bridge'!$AG26),0)</f>
        <v>0</v>
      </c>
      <c r="P25" s="130">
        <f>IF('Access Bridge'!$G26=2031,('Access Bridge'!$AC26+'Access Bridge'!$AD26+'Access Bridge'!$AG26),0)</f>
        <v>0</v>
      </c>
      <c r="Q25" s="133"/>
      <c r="R25" s="131" t="s">
        <v>206</v>
      </c>
    </row>
    <row r="26" spans="1:18" x14ac:dyDescent="0.25">
      <c r="A26" s="143" t="str">
        <f>'Access Bridge'!A27</f>
        <v>KIRKLAND ROAD (KML_18)</v>
      </c>
      <c r="B26" s="141" t="s">
        <v>104</v>
      </c>
      <c r="C26" s="141" t="s">
        <v>104</v>
      </c>
      <c r="D26" s="141" t="s">
        <v>104</v>
      </c>
      <c r="E26" s="161">
        <v>2029</v>
      </c>
      <c r="F26" s="158">
        <v>0</v>
      </c>
      <c r="G26" s="130">
        <f>IF('Access Bridge'!$G27=2022,('Access Bridge'!$AC27+'Access Bridge'!$AD27+'Access Bridge'!$AG27),0)</f>
        <v>0</v>
      </c>
      <c r="H26" s="130">
        <f>IF('Access Bridge'!$G27=2023,('Access Bridge'!$AC27+'Access Bridge'!$AD27+'Access Bridge'!$AG27),0)</f>
        <v>0</v>
      </c>
      <c r="I26" s="130">
        <f>IF('Access Bridge'!$G29=2024,('Access Bridge'!$AC29+'Access Bridge'!$AD29+'Access Bridge'!$AG29),0)</f>
        <v>0</v>
      </c>
      <c r="J26" s="130">
        <f>IF('Access Bridge'!$G27=2025,('Access Bridge'!$AC27+'Access Bridge'!$AD27+'Access Bridge'!$AG27),0)</f>
        <v>0</v>
      </c>
      <c r="K26" s="136">
        <f>IF('Access Bridge'!$G27=2026,('Access Bridge'!$AC27+'Access Bridge'!$AD27+'Access Bridge'!$AG27),0)</f>
        <v>0</v>
      </c>
      <c r="L26" s="130">
        <f>IF('Access Bridge'!$G27=2027,('Access Bridge'!$AC27+'Access Bridge'!$AD27+'Access Bridge'!$AG27),0)</f>
        <v>0</v>
      </c>
      <c r="M26" s="136">
        <f>IF('Access Bridge'!$G27=2028,('Access Bridge'!$AC27+'Access Bridge'!$AD27+'Access Bridge'!$AG27),0)</f>
        <v>0</v>
      </c>
      <c r="N26" s="136">
        <f>IF('Access Bridge'!$G27=2029,('Access Bridge'!$AC27+'Access Bridge'!$AD27+'Access Bridge'!$AG27),0)</f>
        <v>622807.49361143901</v>
      </c>
      <c r="O26" s="130">
        <f>IF('Access Bridge'!$G27=2030,('Access Bridge'!$AC27+'Access Bridge'!$AD27+'Access Bridge'!$AG27),0)</f>
        <v>0</v>
      </c>
      <c r="P26" s="130">
        <f>IF('Access Bridge'!$G27=2031,('Access Bridge'!$AC27+'Access Bridge'!$AD27+'Access Bridge'!$AG27),0)</f>
        <v>0</v>
      </c>
      <c r="Q26" s="133"/>
      <c r="R26" s="131" t="s">
        <v>206</v>
      </c>
    </row>
    <row r="27" spans="1:18" x14ac:dyDescent="0.25">
      <c r="A27" s="143" t="str">
        <f>'Access Bridge'!A28</f>
        <v>KEYSVILLE ROAD EAST (KML_20)</v>
      </c>
      <c r="B27" s="141" t="s">
        <v>104</v>
      </c>
      <c r="C27" s="141" t="s">
        <v>104</v>
      </c>
      <c r="D27" s="141" t="s">
        <v>104</v>
      </c>
      <c r="E27" s="161">
        <v>2029</v>
      </c>
      <c r="F27" s="158">
        <v>0</v>
      </c>
      <c r="G27" s="130">
        <f>IF('Access Bridge'!$G28=2022,('Access Bridge'!$AC28+'Access Bridge'!$AD28+'Access Bridge'!$AG28),0)</f>
        <v>0</v>
      </c>
      <c r="H27" s="130">
        <f>IF('Access Bridge'!$G28=2023,('Access Bridge'!$AC28+'Access Bridge'!$AD28+'Access Bridge'!$AG28),0)</f>
        <v>0</v>
      </c>
      <c r="I27" s="130">
        <f>IF('Access Bridge'!$G30=2024,('Access Bridge'!$AC30+'Access Bridge'!$AD30+'Access Bridge'!$AG30),0)</f>
        <v>0</v>
      </c>
      <c r="J27" s="130">
        <f>IF('Access Bridge'!$G28=2025,('Access Bridge'!$AC28+'Access Bridge'!$AD28+'Access Bridge'!$AG28),0)</f>
        <v>0</v>
      </c>
      <c r="K27" s="136">
        <f>IF('Access Bridge'!$G28=2026,('Access Bridge'!$AC28+'Access Bridge'!$AD28+'Access Bridge'!$AG28),0)</f>
        <v>0</v>
      </c>
      <c r="L27" s="130">
        <f>IF('Access Bridge'!$G28=2027,('Access Bridge'!$AC28+'Access Bridge'!$AD28+'Access Bridge'!$AG28),0)</f>
        <v>0</v>
      </c>
      <c r="M27" s="136">
        <f>IF('Access Bridge'!$G28=2028,('Access Bridge'!$AC28+'Access Bridge'!$AD28+'Access Bridge'!$AG28),0)</f>
        <v>0</v>
      </c>
      <c r="N27" s="136">
        <f>IF('Access Bridge'!$G28=2029,('Access Bridge'!$AC28+'Access Bridge'!$AD28+'Access Bridge'!$AG28),0)</f>
        <v>590756.93530106253</v>
      </c>
      <c r="O27" s="130">
        <f>IF('Access Bridge'!$G28=2030,('Access Bridge'!$AC28+'Access Bridge'!$AD28+'Access Bridge'!$AG28),0)</f>
        <v>0</v>
      </c>
      <c r="P27" s="130">
        <f>IF('Access Bridge'!$G28=2031,('Access Bridge'!$AC28+'Access Bridge'!$AD28+'Access Bridge'!$AG28),0)</f>
        <v>0</v>
      </c>
      <c r="Q27" s="133"/>
      <c r="R27" s="131" t="s">
        <v>206</v>
      </c>
    </row>
    <row r="28" spans="1:18" x14ac:dyDescent="0.25">
      <c r="A28" s="146" t="s">
        <v>220</v>
      </c>
      <c r="B28" s="144"/>
      <c r="C28" s="144"/>
      <c r="D28" s="144"/>
      <c r="E28" s="150"/>
      <c r="F28" s="145">
        <f>SUM(F3:F27)</f>
        <v>426360</v>
      </c>
      <c r="G28" s="145">
        <f t="shared" ref="G28:O28" si="0">SUM(G3:G27)</f>
        <v>1375554.0042109406</v>
      </c>
      <c r="H28" s="145">
        <f t="shared" si="0"/>
        <v>2570576.98546504</v>
      </c>
      <c r="I28" s="145">
        <f t="shared" si="0"/>
        <v>1197193.6492981764</v>
      </c>
      <c r="J28" s="145">
        <f t="shared" si="0"/>
        <v>2252281.9353797715</v>
      </c>
      <c r="K28" s="145">
        <f t="shared" si="0"/>
        <v>678683.04595303675</v>
      </c>
      <c r="L28" s="145">
        <f t="shared" si="0"/>
        <v>0</v>
      </c>
      <c r="M28" s="145">
        <f t="shared" si="0"/>
        <v>1349779.3017316018</v>
      </c>
      <c r="N28" s="145">
        <f t="shared" si="0"/>
        <v>1852397.2016791287</v>
      </c>
      <c r="O28" s="145">
        <f t="shared" si="0"/>
        <v>1149463.3122917486</v>
      </c>
      <c r="P28" s="145"/>
      <c r="Q28" s="145">
        <f>SUM(F28:O28)</f>
        <v>12852289.436009444</v>
      </c>
      <c r="R28" s="134"/>
    </row>
    <row r="29" spans="1:18" x14ac:dyDescent="0.25">
      <c r="A29" s="228" t="s">
        <v>201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30"/>
    </row>
    <row r="30" spans="1:18" s="139" customFormat="1" x14ac:dyDescent="0.25">
      <c r="A30" s="143">
        <f>'Access Road'!A5</f>
        <v>230623</v>
      </c>
      <c r="B30" s="141" t="s">
        <v>126</v>
      </c>
      <c r="C30" s="141" t="s">
        <v>127</v>
      </c>
      <c r="D30" s="141" t="s">
        <v>128</v>
      </c>
      <c r="E30" s="151">
        <v>2027</v>
      </c>
      <c r="F30" s="157">
        <v>28700</v>
      </c>
      <c r="G30" s="136">
        <f>IF('Access Road'!$H5=2022,('Access Road'!$Z5+'Access Road'!$AA5+'Access Road'!$AD5),0)</f>
        <v>0</v>
      </c>
      <c r="H30" s="136">
        <f>IF('Access Road'!$H5=2023,('Access Road'!$Z5+'Access Road'!$AA5+'Access Road'!$AD5),0)</f>
        <v>0</v>
      </c>
      <c r="I30" s="136">
        <f>IF('Access Road'!$H5=2024,('Access Road'!$Z5+'Access Road'!$AA5+'Access Road'!$AD5),0)</f>
        <v>0</v>
      </c>
      <c r="J30" s="136">
        <f>IF('Access Road'!$H5=2025,('Access Road'!$Z5+'Access Road'!$AA5+'Access Road'!$AD5),0)</f>
        <v>0</v>
      </c>
      <c r="K30" s="136">
        <f>IF('Access Road'!$H5=2026,('Access Road'!$Z5+'Access Road'!$AA5+'Access Road'!$AD5),0)</f>
        <v>0</v>
      </c>
      <c r="L30" s="136">
        <f>IF('Access Road'!$H5=2027,('Access Road'!$Z5+'Access Road'!$AA5+'Access Road'!$AD5),0)</f>
        <v>149087.76700905157</v>
      </c>
      <c r="M30" s="136">
        <f>IF('Access Road'!$H5=2028,('Access Road'!$Z5+'Access Road'!$AA5+'Access Road'!$AD5),0)</f>
        <v>0</v>
      </c>
      <c r="N30" s="136">
        <f>IF('Access Road'!$H5=2029,('Access Road'!$Z5+'Access Road'!$AA5+'Access Road'!$AD5),0)</f>
        <v>0</v>
      </c>
      <c r="O30" s="136">
        <f>IF('Access Road'!$H5=2030,('Access Road'!$Z5+'Access Road'!$AA5+'Access Road'!$AD5),0)</f>
        <v>0</v>
      </c>
      <c r="P30" s="136">
        <f>IF('Access Road'!$H5=2031,('Access Road'!$Z5+'Access Road'!$AA5+'Access Road'!$AD5),0)</f>
        <v>0</v>
      </c>
      <c r="Q30" s="137"/>
      <c r="R30" s="138" t="s">
        <v>205</v>
      </c>
    </row>
    <row r="31" spans="1:18" s="139" customFormat="1" x14ac:dyDescent="0.25">
      <c r="A31" s="143">
        <f>'Access Road'!A6</f>
        <v>230612</v>
      </c>
      <c r="B31" s="141" t="s">
        <v>177</v>
      </c>
      <c r="C31" s="141" t="s">
        <v>178</v>
      </c>
      <c r="D31" s="141" t="s">
        <v>179</v>
      </c>
      <c r="E31" s="151">
        <v>2025</v>
      </c>
      <c r="F31" s="157">
        <v>0</v>
      </c>
      <c r="G31" s="136">
        <f>IF('Access Road'!$H6=2022,('Access Road'!$Z6+'Access Road'!$AA6+'Access Road'!$AD6),0)</f>
        <v>0</v>
      </c>
      <c r="H31" s="136">
        <f>IF('Access Road'!$H6=2023,('Access Road'!$Z6+'Access Road'!$AA6+'Access Road'!$AD6),0)</f>
        <v>0</v>
      </c>
      <c r="I31" s="136">
        <f>IF('Access Road'!$H6=2024,('Access Road'!$Z6+'Access Road'!$AA6+'Access Road'!$AD6),0)</f>
        <v>0</v>
      </c>
      <c r="J31" s="136">
        <f>IF('Access Road'!$H6=2025,('Access Road'!$Z6+'Access Road'!$AA6+'Access Road'!$AD6),0)</f>
        <v>871512.38914862915</v>
      </c>
      <c r="K31" s="136">
        <f>IF('Access Road'!$H6=2026,('Access Road'!$Z6+'Access Road'!$AA6+'Access Road'!$AD6),0)</f>
        <v>0</v>
      </c>
      <c r="L31" s="136">
        <f>IF('Access Road'!$H6=2027,('Access Road'!$Z6+'Access Road'!$AA6+'Access Road'!$AD6),0)</f>
        <v>0</v>
      </c>
      <c r="M31" s="136">
        <f>IF('Access Road'!$H6=2028,('Access Road'!$Z6+'Access Road'!$AA6+'Access Road'!$AD6),0)</f>
        <v>0</v>
      </c>
      <c r="N31" s="136">
        <f>IF('Access Road'!$H6=2029,('Access Road'!$Z6+'Access Road'!$AA6+'Access Road'!$AD6),0)</f>
        <v>0</v>
      </c>
      <c r="O31" s="136">
        <f>IF('Access Road'!$H6=2030,('Access Road'!$Z6+'Access Road'!$AA6+'Access Road'!$AD6),0)</f>
        <v>0</v>
      </c>
      <c r="P31" s="136">
        <f>IF('Access Road'!$H6=2031,('Access Road'!$Z6+'Access Road'!$AA6+'Access Road'!$AD6),0)</f>
        <v>0</v>
      </c>
      <c r="Q31" s="137"/>
      <c r="R31" s="138" t="s">
        <v>205</v>
      </c>
    </row>
    <row r="32" spans="1:18" s="139" customFormat="1" x14ac:dyDescent="0.25">
      <c r="A32" s="143">
        <f>'Access Road'!A7</f>
        <v>230606</v>
      </c>
      <c r="B32" s="141" t="s">
        <v>129</v>
      </c>
      <c r="C32" s="141" t="s">
        <v>130</v>
      </c>
      <c r="D32" s="141" t="s">
        <v>131</v>
      </c>
      <c r="E32" s="151">
        <v>2025</v>
      </c>
      <c r="F32" s="157">
        <v>23700</v>
      </c>
      <c r="G32" s="136">
        <f>IF('Access Road'!$H7=2022,('Access Road'!$Z7+'Access Road'!$AA7+'Access Road'!$AD7),0)</f>
        <v>0</v>
      </c>
      <c r="H32" s="136">
        <f>IF('Access Road'!$H7=2023,('Access Road'!$Z7+'Access Road'!$AA7+'Access Road'!$AD7),0)</f>
        <v>0</v>
      </c>
      <c r="I32" s="136">
        <f>IF('Access Road'!$H7=2024,('Access Road'!$Z7+'Access Road'!$AA7+'Access Road'!$AD7),0)</f>
        <v>0</v>
      </c>
      <c r="J32" s="136">
        <f>IF('Access Road'!$H7=2025,('Access Road'!$Z7+'Access Road'!$AA7+'Access Road'!$AD7),0)</f>
        <v>148621.49287682015</v>
      </c>
      <c r="K32" s="136">
        <f>IF('Access Road'!$H7=2026,('Access Road'!$Z7+'Access Road'!$AA7+'Access Road'!$AD7),0)</f>
        <v>0</v>
      </c>
      <c r="L32" s="136">
        <f>IF('Access Road'!$H7=2027,('Access Road'!$Z7+'Access Road'!$AA7+'Access Road'!$AD7),0)</f>
        <v>0</v>
      </c>
      <c r="M32" s="136">
        <f>IF('Access Road'!$H7=2028,('Access Road'!$Z7+'Access Road'!$AA7+'Access Road'!$AD7),0)</f>
        <v>0</v>
      </c>
      <c r="N32" s="136">
        <f>IF('Access Road'!$H7=2029,('Access Road'!$Z7+'Access Road'!$AA7+'Access Road'!$AD7),0)</f>
        <v>0</v>
      </c>
      <c r="O32" s="136">
        <f>IF('Access Road'!$H7=2030,('Access Road'!$Z7+'Access Road'!$AA7+'Access Road'!$AD7),0)</f>
        <v>0</v>
      </c>
      <c r="P32" s="136">
        <f>IF('Access Road'!$H7=2031,('Access Road'!$Z7+'Access Road'!$AA7+'Access Road'!$AD7),0)</f>
        <v>0</v>
      </c>
      <c r="Q32" s="137"/>
      <c r="R32" s="138" t="s">
        <v>205</v>
      </c>
    </row>
    <row r="33" spans="1:18" x14ac:dyDescent="0.25">
      <c r="A33" s="143">
        <f>'Access Road'!A10</f>
        <v>230020</v>
      </c>
      <c r="B33" s="141" t="s">
        <v>156</v>
      </c>
      <c r="C33" s="141" t="s">
        <v>157</v>
      </c>
      <c r="D33" s="141" t="s">
        <v>158</v>
      </c>
      <c r="E33" s="151">
        <v>2024</v>
      </c>
      <c r="F33" s="157">
        <v>43700</v>
      </c>
      <c r="G33" s="130">
        <f>IF('Access Road'!$H10=2022,('Access Road'!$Z10+'Access Road'!$AA10+'Access Road'!$AD10),0)</f>
        <v>0</v>
      </c>
      <c r="H33" s="130">
        <f>IF('Access Road'!$H10=2023,('Access Road'!$Z10+'Access Road'!$AA10+'Access Road'!$AD10),0)</f>
        <v>0</v>
      </c>
      <c r="I33" s="130">
        <f>IF('Access Road'!$H10=2024,('Access Road'!$Z10+'Access Road'!$AA10+'Access Road'!$AD10),0)</f>
        <v>1304003.7553102453</v>
      </c>
      <c r="J33" s="130">
        <f>IF('Access Road'!$H10=2025,('Access Road'!$Z10+'Access Road'!$AA10+'Access Road'!$AD10),0)</f>
        <v>0</v>
      </c>
      <c r="K33" s="130">
        <f>IF('Access Road'!$H10=2026,('Access Road'!$Z10+'Access Road'!$AA10+'Access Road'!$AD10),0)</f>
        <v>0</v>
      </c>
      <c r="L33" s="130">
        <f>IF('Access Road'!$H10=2027,('Access Road'!$Z10+'Access Road'!$AA10+'Access Road'!$AD10),0)</f>
        <v>0</v>
      </c>
      <c r="M33" s="130">
        <f>IF('Access Road'!$H10=2028,('Access Road'!$Z10+'Access Road'!$AA10+'Access Road'!$AD10),0)</f>
        <v>0</v>
      </c>
      <c r="N33" s="130">
        <f>IF('Access Road'!$H10=2029,('Access Road'!$Z10+'Access Road'!$AA10+'Access Road'!$AD10),0)</f>
        <v>0</v>
      </c>
      <c r="O33" s="130">
        <f>IF('Access Road'!$H10=2030,('Access Road'!$Z10+'Access Road'!$AA10+'Access Road'!$AD10),0)</f>
        <v>0</v>
      </c>
      <c r="P33" s="130">
        <f>IF('Access Road'!$H10=2031,('Access Road'!$Z10+'Access Road'!$AA10+'Access Road'!$AD10),0)</f>
        <v>0</v>
      </c>
      <c r="Q33" s="133"/>
      <c r="R33" s="131" t="s">
        <v>206</v>
      </c>
    </row>
    <row r="34" spans="1:18" s="139" customFormat="1" x14ac:dyDescent="0.25">
      <c r="A34" s="143">
        <f>'Access Road'!A11</f>
        <v>230008</v>
      </c>
      <c r="B34" s="141" t="s">
        <v>138</v>
      </c>
      <c r="C34" s="141" t="s">
        <v>139</v>
      </c>
      <c r="D34" s="141" t="s">
        <v>140</v>
      </c>
      <c r="E34" s="151">
        <v>2022</v>
      </c>
      <c r="F34" s="157">
        <v>28000</v>
      </c>
      <c r="G34" s="136">
        <f>IF('Access Road'!$H11=2022,('Access Road'!$Z11+'Access Road'!$AA11+'Access Road'!$AD11),0)</f>
        <v>166473.08660501114</v>
      </c>
      <c r="H34" s="136">
        <f>IF('Access Road'!$H11=2023,('Access Road'!$Z11+'Access Road'!$AA11+'Access Road'!$AD11),0)</f>
        <v>0</v>
      </c>
      <c r="I34" s="136">
        <f>IF('Access Road'!$H11=2024,('Access Road'!$Z11+'Access Road'!$AA11+'Access Road'!$AD11),0)</f>
        <v>0</v>
      </c>
      <c r="J34" s="136">
        <f>IF('Access Road'!$H11=2025,('Access Road'!$Z11+'Access Road'!$AA11+'Access Road'!$AD11),0)</f>
        <v>0</v>
      </c>
      <c r="K34" s="136">
        <f>IF('Access Road'!$H11=2026,('Access Road'!$Z11+'Access Road'!$AA11+'Access Road'!$AD11),0)</f>
        <v>0</v>
      </c>
      <c r="L34" s="136">
        <f>IF('Access Road'!$H11=2027,('Access Road'!$Z11+'Access Road'!$AA11+'Access Road'!$AD11),0)</f>
        <v>0</v>
      </c>
      <c r="M34" s="136">
        <f>IF('Access Road'!$H11=2028,('Access Road'!$Z11+'Access Road'!$AA11+'Access Road'!$AD11),0)</f>
        <v>0</v>
      </c>
      <c r="N34" s="136">
        <f>IF('Access Road'!$H11=2029,('Access Road'!$Z11+'Access Road'!$AA11+'Access Road'!$AD11),0)</f>
        <v>0</v>
      </c>
      <c r="O34" s="136">
        <f>IF('Access Road'!$H11=2030,('Access Road'!$Z11+'Access Road'!$AA11+'Access Road'!$AD11),0)</f>
        <v>0</v>
      </c>
      <c r="P34" s="136">
        <f>IF('Access Road'!$H11=2031,('Access Road'!$Z11+'Access Road'!$AA11+'Access Road'!$AD11),0)</f>
        <v>0</v>
      </c>
      <c r="Q34" s="137"/>
      <c r="R34" s="138" t="s">
        <v>206</v>
      </c>
    </row>
    <row r="35" spans="1:18" x14ac:dyDescent="0.25">
      <c r="A35" s="143">
        <f>'Access Road'!A12</f>
        <v>230007</v>
      </c>
      <c r="B35" s="141" t="s">
        <v>183</v>
      </c>
      <c r="C35" s="141" t="s">
        <v>184</v>
      </c>
      <c r="D35" s="141" t="s">
        <v>185</v>
      </c>
      <c r="E35" s="151">
        <v>2023</v>
      </c>
      <c r="F35" s="157">
        <v>33700</v>
      </c>
      <c r="G35" s="130">
        <f>IF('Access Road'!$H12=2022,('Access Road'!$Z12+'Access Road'!$AA12+'Access Road'!$AD12),0)</f>
        <v>0</v>
      </c>
      <c r="H35" s="130">
        <f>IF('Access Road'!$H12=2023,('Access Road'!$Z12+'Access Road'!$AA12+'Access Road'!$AD12),0)</f>
        <v>324877.73475009837</v>
      </c>
      <c r="I35" s="130">
        <f>IF('Access Road'!$H12=2024,('Access Road'!$Z12+'Access Road'!$AA12+'Access Road'!$AD12),0)</f>
        <v>0</v>
      </c>
      <c r="J35" s="130">
        <f>IF('Access Road'!$H12=2025,('Access Road'!$Z12+'Access Road'!$AA12+'Access Road'!$AD12),0)</f>
        <v>0</v>
      </c>
      <c r="K35" s="130">
        <f>IF('Access Road'!$H12=2026,('Access Road'!$Z12+'Access Road'!$AA12+'Access Road'!$AD12),0)</f>
        <v>0</v>
      </c>
      <c r="L35" s="130">
        <f>IF('Access Road'!$H12=2027,('Access Road'!$Z12+'Access Road'!$AA12+'Access Road'!$AD12),0)</f>
        <v>0</v>
      </c>
      <c r="M35" s="130">
        <f>IF('Access Road'!$H12=2028,('Access Road'!$Z12+'Access Road'!$AA12+'Access Road'!$AD12),0)</f>
        <v>0</v>
      </c>
      <c r="N35" s="130">
        <f>IF('Access Road'!$H12=2029,('Access Road'!$Z12+'Access Road'!$AA12+'Access Road'!$AD12),0)</f>
        <v>0</v>
      </c>
      <c r="O35" s="130">
        <f>IF('Access Road'!$H12=2030,('Access Road'!$Z12+'Access Road'!$AA12+'Access Road'!$AD12),0)</f>
        <v>0</v>
      </c>
      <c r="P35" s="130">
        <f>IF('Access Road'!$H12=2031,('Access Road'!$Z12+'Access Road'!$AA12+'Access Road'!$AD12),0)</f>
        <v>0</v>
      </c>
      <c r="Q35" s="133"/>
      <c r="R35" s="131" t="s">
        <v>206</v>
      </c>
    </row>
    <row r="36" spans="1:18" x14ac:dyDescent="0.25">
      <c r="A36" s="143">
        <f>'Access Road'!A13</f>
        <v>230006</v>
      </c>
      <c r="B36" s="141" t="s">
        <v>104</v>
      </c>
      <c r="C36" s="141" t="s">
        <v>104</v>
      </c>
      <c r="D36" s="141" t="s">
        <v>104</v>
      </c>
      <c r="E36" s="151">
        <v>2026</v>
      </c>
      <c r="F36" s="157">
        <v>0</v>
      </c>
      <c r="G36" s="130">
        <f>IF('Access Road'!$H13=2022,('Access Road'!$Z13+'Access Road'!$AA13+'Access Road'!$AD13),0)</f>
        <v>0</v>
      </c>
      <c r="H36" s="130">
        <f>IF('Access Road'!$H13=2023,('Access Road'!$Z13+'Access Road'!$AA13+'Access Road'!$AD13),0)</f>
        <v>0</v>
      </c>
      <c r="I36" s="130">
        <f>IF('Access Road'!$H13=2024,('Access Road'!$Z13+'Access Road'!$AA13+'Access Road'!$AD13),0)</f>
        <v>0</v>
      </c>
      <c r="J36" s="130">
        <f>IF('Access Road'!$H13=2025,('Access Road'!$Z13+'Access Road'!$AA13+'Access Road'!$AD13),0)</f>
        <v>0</v>
      </c>
      <c r="K36" s="130">
        <f>IF('Access Road'!$H13=2026,('Access Road'!$Z13+'Access Road'!$AA13+'Access Road'!$AD13),0)</f>
        <v>1260617.6034645152</v>
      </c>
      <c r="L36" s="130">
        <f>IF('Access Road'!$H13=2027,('Access Road'!$Z13+'Access Road'!$AA13+'Access Road'!$AD13),0)</f>
        <v>0</v>
      </c>
      <c r="M36" s="130">
        <f>IF('Access Road'!$H13=2028,('Access Road'!$Z13+'Access Road'!$AA13+'Access Road'!$AD13),0)</f>
        <v>0</v>
      </c>
      <c r="N36" s="130">
        <f>IF('Access Road'!$H13=2029,('Access Road'!$Z13+'Access Road'!$AA13+'Access Road'!$AD13),0)</f>
        <v>0</v>
      </c>
      <c r="O36" s="130">
        <f>IF('Access Road'!$H13=2030,('Access Road'!$Z13+'Access Road'!$AA13+'Access Road'!$AD13),0)</f>
        <v>0</v>
      </c>
      <c r="P36" s="130">
        <f>IF('Access Road'!$H13=2031,('Access Road'!$Z13+'Access Road'!$AA13+'Access Road'!$AD13),0)</f>
        <v>0</v>
      </c>
      <c r="Q36" s="133"/>
      <c r="R36" s="131" t="s">
        <v>206</v>
      </c>
    </row>
    <row r="37" spans="1:18" s="139" customFormat="1" x14ac:dyDescent="0.25">
      <c r="A37" s="143">
        <f>'Access Road'!A14</f>
        <v>66839</v>
      </c>
      <c r="B37" s="141" t="s">
        <v>141</v>
      </c>
      <c r="C37" s="141" t="s">
        <v>142</v>
      </c>
      <c r="D37" s="141" t="s">
        <v>143</v>
      </c>
      <c r="E37" s="151">
        <v>2025</v>
      </c>
      <c r="F37" s="157">
        <v>33700</v>
      </c>
      <c r="G37" s="136">
        <f>IF('Access Road'!$H14=2022,('Access Road'!$Z14+'Access Road'!$AA14+'Access Road'!$AD14),0)</f>
        <v>0</v>
      </c>
      <c r="H37" s="136">
        <f>IF('Access Road'!$H14=2023,('Access Road'!$Z14+'Access Road'!$AA14+'Access Road'!$AD14),0)</f>
        <v>0</v>
      </c>
      <c r="I37" s="136">
        <f>IF('Access Road'!$H14=2024,('Access Road'!$Z14+'Access Road'!$AA14+'Access Road'!$AD14),0)</f>
        <v>0</v>
      </c>
      <c r="J37" s="136">
        <f>IF('Access Road'!$H14=2025,('Access Road'!$Z14+'Access Road'!$AA14+'Access Road'!$AD14),0)</f>
        <v>291612.91280335828</v>
      </c>
      <c r="K37" s="136">
        <f>IF('Access Road'!$H14=2026,('Access Road'!$Z14+'Access Road'!$AA14+'Access Road'!$AD14),0)</f>
        <v>0</v>
      </c>
      <c r="L37" s="136">
        <f>IF('Access Road'!$H14=2027,('Access Road'!$Z14+'Access Road'!$AA14+'Access Road'!$AD14),0)</f>
        <v>0</v>
      </c>
      <c r="M37" s="136">
        <f>IF('Access Road'!$H14=2028,('Access Road'!$Z14+'Access Road'!$AA14+'Access Road'!$AD14),0)</f>
        <v>0</v>
      </c>
      <c r="N37" s="136">
        <f>IF('Access Road'!$H14=2029,('Access Road'!$Z14+'Access Road'!$AA14+'Access Road'!$AD14),0)</f>
        <v>0</v>
      </c>
      <c r="O37" s="136">
        <f>IF('Access Road'!$H14=2030,('Access Road'!$Z14+'Access Road'!$AA14+'Access Road'!$AD14),0)</f>
        <v>0</v>
      </c>
      <c r="P37" s="136">
        <f>IF('Access Road'!$H14=2031,('Access Road'!$Z14+'Access Road'!$AA14+'Access Road'!$AD14),0)</f>
        <v>0</v>
      </c>
      <c r="Q37" s="137"/>
      <c r="R37" s="138" t="s">
        <v>205</v>
      </c>
    </row>
    <row r="38" spans="1:18" s="139" customFormat="1" x14ac:dyDescent="0.25">
      <c r="A38" s="143">
        <f>'Access Road'!A15</f>
        <v>66833</v>
      </c>
      <c r="B38" s="141" t="s">
        <v>104</v>
      </c>
      <c r="C38" s="141" t="s">
        <v>104</v>
      </c>
      <c r="D38" s="141" t="s">
        <v>104</v>
      </c>
      <c r="E38" s="151">
        <v>2027</v>
      </c>
      <c r="F38" s="157">
        <v>0</v>
      </c>
      <c r="G38" s="136">
        <f>IF('Access Road'!$H15=2022,('Access Road'!$Z15+'Access Road'!$AA15+'Access Road'!$AD15),0)</f>
        <v>0</v>
      </c>
      <c r="H38" s="136">
        <f>IF('Access Road'!$H15=2023,('Access Road'!$Z15+'Access Road'!$AA15+'Access Road'!$AD15),0)</f>
        <v>0</v>
      </c>
      <c r="I38" s="136">
        <f>IF('Access Road'!$H15=2024,('Access Road'!$Z15+'Access Road'!$AA15+'Access Road'!$AD15),0)</f>
        <v>0</v>
      </c>
      <c r="J38" s="136">
        <f>IF('Access Road'!$H15=2025,('Access Road'!$Z15+'Access Road'!$AA15+'Access Road'!$AD15),0)</f>
        <v>0</v>
      </c>
      <c r="K38" s="136">
        <f>IF('Access Road'!$H15=2026,('Access Road'!$Z15+'Access Road'!$AA15+'Access Road'!$AD15),0)</f>
        <v>0</v>
      </c>
      <c r="L38" s="136">
        <f>IF('Access Road'!$H15=2027,('Access Road'!$Z15+'Access Road'!$AA15+'Access Road'!$AD15),0)</f>
        <v>2137983.4224635968</v>
      </c>
      <c r="M38" s="136">
        <f>IF('Access Road'!$H15=2028,('Access Road'!$Z15+'Access Road'!$AA15+'Access Road'!$AD15),0)</f>
        <v>0</v>
      </c>
      <c r="N38" s="136">
        <f>IF('Access Road'!$H15=2029,('Access Road'!$Z15+'Access Road'!$AA15+'Access Road'!$AD15),0)</f>
        <v>0</v>
      </c>
      <c r="O38" s="136">
        <f>IF('Access Road'!$H15=2030,('Access Road'!$Z15+'Access Road'!$AA15+'Access Road'!$AD15),0)</f>
        <v>0</v>
      </c>
      <c r="P38" s="136">
        <f>IF('Access Road'!$H15=2031,('Access Road'!$Z15+'Access Road'!$AA15+'Access Road'!$AD15),0)</f>
        <v>0</v>
      </c>
      <c r="Q38" s="137"/>
      <c r="R38" s="138" t="s">
        <v>205</v>
      </c>
    </row>
    <row r="39" spans="1:18" x14ac:dyDescent="0.25">
      <c r="A39" s="142">
        <f>'Access Road'!A17</f>
        <v>66055</v>
      </c>
      <c r="B39" s="141" t="s">
        <v>104</v>
      </c>
      <c r="C39" s="141" t="s">
        <v>104</v>
      </c>
      <c r="D39" s="141" t="s">
        <v>104</v>
      </c>
      <c r="E39" s="151">
        <v>2026</v>
      </c>
      <c r="F39" s="157">
        <v>0</v>
      </c>
      <c r="G39" s="130">
        <f>IF('Access Road'!$H17=2022,('Access Road'!$Z17+'Access Road'!$AA17+'Access Road'!$AD17),0)</f>
        <v>0</v>
      </c>
      <c r="H39" s="130">
        <f>IF('Access Road'!$H17=2023,('Access Road'!$Z17+'Access Road'!$AA17+'Access Road'!$AD17),0)</f>
        <v>0</v>
      </c>
      <c r="I39" s="130">
        <f>IF('Access Road'!$H17=2024,('Access Road'!$Z17+'Access Road'!$AA17+'Access Road'!$AD17),0)</f>
        <v>0</v>
      </c>
      <c r="J39" s="130">
        <f>IF('Access Road'!$H17=2025,('Access Road'!$Z17+'Access Road'!$AA17+'Access Road'!$AD17),0)</f>
        <v>0</v>
      </c>
      <c r="K39" s="130">
        <f>IF('Access Road'!$H17=2026,('Access Road'!$Z17+'Access Road'!$AA17+'Access Road'!$AD17),0)</f>
        <v>1402807.3738961038</v>
      </c>
      <c r="L39" s="130">
        <f>IF('Access Road'!$H17=2027,('Access Road'!$Z17+'Access Road'!$AA17+'Access Road'!$AD17),0)</f>
        <v>0</v>
      </c>
      <c r="M39" s="130">
        <f>IF('Access Road'!$H17=2028,('Access Road'!$Z17+'Access Road'!$AA17+'Access Road'!$AD17),0)</f>
        <v>0</v>
      </c>
      <c r="N39" s="130">
        <f>IF('Access Road'!$H17=2029,('Access Road'!$Z17+'Access Road'!$AA17+'Access Road'!$AD17),0)</f>
        <v>0</v>
      </c>
      <c r="O39" s="130">
        <f>IF('Access Road'!$H17=2030,('Access Road'!$Z17+'Access Road'!$AA17+'Access Road'!$AD17),0)</f>
        <v>0</v>
      </c>
      <c r="P39" s="130">
        <f>IF('Access Road'!$H17=2031,('Access Road'!$Z17+'Access Road'!$AA17+'Access Road'!$AD17),0)</f>
        <v>0</v>
      </c>
      <c r="Q39" s="133"/>
      <c r="R39" s="131" t="s">
        <v>206</v>
      </c>
    </row>
    <row r="40" spans="1:18" x14ac:dyDescent="0.25">
      <c r="A40" s="160">
        <f>'Access Road'!A18</f>
        <v>67051</v>
      </c>
      <c r="B40" s="160" t="s">
        <v>104</v>
      </c>
      <c r="C40" s="160" t="s">
        <v>104</v>
      </c>
      <c r="D40" s="160" t="s">
        <v>104</v>
      </c>
      <c r="E40" s="203" t="s">
        <v>187</v>
      </c>
      <c r="F40" s="157">
        <v>0</v>
      </c>
      <c r="G40" s="130">
        <f>IF('Access Road'!$H18=2022,('Access Road'!$Z18+'Access Road'!$AA18+'Access Road'!$AD18),0)</f>
        <v>0</v>
      </c>
      <c r="H40" s="130">
        <f>IF('Access Road'!$H18=2023,('Access Road'!$Z18+'Access Road'!$AA18+'Access Road'!$AD18),0)</f>
        <v>0</v>
      </c>
      <c r="I40" s="130">
        <f>IF('Access Road'!$H18=2024,('Access Road'!$Z18+'Access Road'!$AA18+'Access Road'!$AD18),0)</f>
        <v>0</v>
      </c>
      <c r="J40" s="130">
        <f>IF('Access Road'!$H18=2025,('Access Road'!$Z18+'Access Road'!$AA18+'Access Road'!$AD18),0)</f>
        <v>0</v>
      </c>
      <c r="K40" s="130">
        <f>IF('Access Road'!$H18=2026,('Access Road'!$Z18+'Access Road'!$AA18+'Access Road'!$AD18),0)</f>
        <v>0</v>
      </c>
      <c r="L40" s="130">
        <f>IF('Access Road'!$H18=2027,('Access Road'!$Z18+'Access Road'!$AA18+'Access Road'!$AD18),0)</f>
        <v>0</v>
      </c>
      <c r="M40" s="130">
        <f>IF('Access Road'!$H18=2028,('Access Road'!$Z18+'Access Road'!$AA18+'Access Road'!$AD18),0)</f>
        <v>0</v>
      </c>
      <c r="N40" s="130">
        <f>IF('Access Road'!$H18=2029,('Access Road'!$Z18+'Access Road'!$AA18+'Access Road'!$AD18),0)</f>
        <v>0</v>
      </c>
      <c r="O40" s="130">
        <f>IF('Access Road'!$H18=2030,('Access Road'!$Z18+'Access Road'!$AA18+'Access Road'!$AD18),0)</f>
        <v>0</v>
      </c>
      <c r="P40" s="130">
        <f>IF('Access Road'!$H18=2031,('Access Road'!$Z18+'Access Road'!$AA18+'Access Road'!$AD18),0)</f>
        <v>0</v>
      </c>
      <c r="Q40" s="133"/>
      <c r="R40" s="131" t="s">
        <v>206</v>
      </c>
    </row>
    <row r="41" spans="1:18" x14ac:dyDescent="0.25">
      <c r="A41" s="142">
        <f>'Access Road'!A19</f>
        <v>66046</v>
      </c>
      <c r="B41" s="141" t="s">
        <v>104</v>
      </c>
      <c r="C41" s="141" t="s">
        <v>104</v>
      </c>
      <c r="D41" s="141" t="s">
        <v>104</v>
      </c>
      <c r="E41" s="151">
        <v>2024</v>
      </c>
      <c r="F41" s="157">
        <v>0</v>
      </c>
      <c r="G41" s="130">
        <f>IF('Access Road'!$H19=2022,('Access Road'!$Z19+'Access Road'!$AA19+'Access Road'!$AD19),0)</f>
        <v>0</v>
      </c>
      <c r="H41" s="130">
        <f>IF('Access Road'!$H19=2023,('Access Road'!$Z19+'Access Road'!$AA19+'Access Road'!$AD19),0)</f>
        <v>0</v>
      </c>
      <c r="I41" s="130">
        <f>IF('Access Road'!$H19=2024,('Access Road'!$Z19+'Access Road'!$AA19+'Access Road'!$AD19),0)</f>
        <v>496313.42320739868</v>
      </c>
      <c r="J41" s="130">
        <f>IF('Access Road'!$H19=2025,('Access Road'!$Z19+'Access Road'!$AA19+'Access Road'!$AD19),0)</f>
        <v>0</v>
      </c>
      <c r="K41" s="130">
        <f>IF('Access Road'!$H19=2026,('Access Road'!$Z19+'Access Road'!$AA19+'Access Road'!$AD19),0)</f>
        <v>0</v>
      </c>
      <c r="L41" s="130">
        <f>IF('Access Road'!$H19=2027,('Access Road'!$Z19+'Access Road'!$AA19+'Access Road'!$AD19),0)</f>
        <v>0</v>
      </c>
      <c r="M41" s="130">
        <f>IF('Access Road'!$H19=2028,('Access Road'!$Z19+'Access Road'!$AA19+'Access Road'!$AD19),0)</f>
        <v>0</v>
      </c>
      <c r="N41" s="130">
        <f>IF('Access Road'!$H19=2029,('Access Road'!$Z19+'Access Road'!$AA19+'Access Road'!$AD19),0)</f>
        <v>0</v>
      </c>
      <c r="O41" s="130">
        <f>IF('Access Road'!$H19=2030,('Access Road'!$Z19+'Access Road'!$AA19+'Access Road'!$AD19),0)</f>
        <v>0</v>
      </c>
      <c r="P41" s="130">
        <f>IF('Access Road'!$H19=2031,('Access Road'!$Z19+'Access Road'!$AA19+'Access Road'!$AD19),0)</f>
        <v>0</v>
      </c>
      <c r="Q41" s="133"/>
      <c r="R41" s="131" t="s">
        <v>206</v>
      </c>
    </row>
    <row r="42" spans="1:18" s="139" customFormat="1" x14ac:dyDescent="0.25">
      <c r="A42" s="143">
        <f>'Access Road'!A20</f>
        <v>66035</v>
      </c>
      <c r="B42" s="141" t="s">
        <v>174</v>
      </c>
      <c r="C42" s="141" t="s">
        <v>175</v>
      </c>
      <c r="D42" s="141" t="s">
        <v>176</v>
      </c>
      <c r="E42" s="151">
        <v>2025</v>
      </c>
      <c r="F42" s="157">
        <v>28700</v>
      </c>
      <c r="G42" s="136">
        <f>IF('Access Road'!$H20=2022,('Access Road'!$Z20+'Access Road'!$AA20+'Access Road'!$AD20),0)</f>
        <v>0</v>
      </c>
      <c r="H42" s="136">
        <f>IF('Access Road'!$H20=2023,('Access Road'!$Z20+'Access Road'!$AA20+'Access Road'!$AD20),0)</f>
        <v>0</v>
      </c>
      <c r="I42" s="136">
        <f>IF('Access Road'!$H20=2024,('Access Road'!$Z20+'Access Road'!$AA20+'Access Road'!$AD20),0)</f>
        <v>0</v>
      </c>
      <c r="J42" s="136">
        <f>IF('Access Road'!$H20=2025,('Access Road'!$Z20+'Access Road'!$AA20+'Access Road'!$AD20),0)</f>
        <v>215916.40059950153</v>
      </c>
      <c r="K42" s="136">
        <f>IF('Access Road'!$H20=2026,('Access Road'!$Z20+'Access Road'!$AA20+'Access Road'!$AD20),0)</f>
        <v>0</v>
      </c>
      <c r="L42" s="136">
        <f>IF('Access Road'!$H20=2027,('Access Road'!$Z20+'Access Road'!$AA20+'Access Road'!$AD20),0)</f>
        <v>0</v>
      </c>
      <c r="M42" s="136">
        <f>IF('Access Road'!$H20=2028,('Access Road'!$Z20+'Access Road'!$AA20+'Access Road'!$AD20),0)</f>
        <v>0</v>
      </c>
      <c r="N42" s="136">
        <f>IF('Access Road'!$H20=2029,('Access Road'!$Z20+'Access Road'!$AA20+'Access Road'!$AD20),0)</f>
        <v>0</v>
      </c>
      <c r="O42" s="136">
        <f>IF('Access Road'!$H20=2030,('Access Road'!$Z20+'Access Road'!$AA20+'Access Road'!$AD20),0)</f>
        <v>0</v>
      </c>
      <c r="P42" s="136">
        <f>IF('Access Road'!$H20=2031,('Access Road'!$Z20+'Access Road'!$AA20+'Access Road'!$AD20),0)</f>
        <v>0</v>
      </c>
      <c r="Q42" s="137"/>
      <c r="R42" s="138" t="s">
        <v>206</v>
      </c>
    </row>
    <row r="43" spans="1:18" s="139" customFormat="1" x14ac:dyDescent="0.25">
      <c r="A43" s="143">
        <f>'Access Road'!A21</f>
        <v>66033</v>
      </c>
      <c r="B43" s="141" t="s">
        <v>104</v>
      </c>
      <c r="C43" s="141" t="s">
        <v>104</v>
      </c>
      <c r="D43" s="141" t="s">
        <v>104</v>
      </c>
      <c r="E43" s="151">
        <v>2023</v>
      </c>
      <c r="F43" s="157">
        <v>0</v>
      </c>
      <c r="G43" s="136">
        <f>IF('Access Road'!$H21=2022,('Access Road'!$Z21+'Access Road'!$AA21+'Access Road'!$AD21),0)</f>
        <v>0</v>
      </c>
      <c r="H43" s="136">
        <f>IF('Access Road'!$H21=2023,('Access Road'!$Z21+'Access Road'!$AA21+'Access Road'!$AD21),0)</f>
        <v>215685.43105863832</v>
      </c>
      <c r="I43" s="136">
        <f>IF('Access Road'!$H21=2024,('Access Road'!$Z21+'Access Road'!$AA21+'Access Road'!$AD21),0)</f>
        <v>0</v>
      </c>
      <c r="J43" s="136">
        <f>IF('Access Road'!$H21=2025,('Access Road'!$Z21+'Access Road'!$AA21+'Access Road'!$AD21),0)</f>
        <v>0</v>
      </c>
      <c r="K43" s="136">
        <f>IF('Access Road'!$H21=2026,('Access Road'!$Z21+'Access Road'!$AA21+'Access Road'!$AD21),0)</f>
        <v>0</v>
      </c>
      <c r="L43" s="136">
        <f>IF('Access Road'!$H21=2027,('Access Road'!$Z21+'Access Road'!$AA21+'Access Road'!$AD21),0)</f>
        <v>0</v>
      </c>
      <c r="M43" s="136">
        <f>IF('Access Road'!$H21=2028,('Access Road'!$Z21+'Access Road'!$AA21+'Access Road'!$AD21),0)</f>
        <v>0</v>
      </c>
      <c r="N43" s="136">
        <f>IF('Access Road'!$H21=2029,('Access Road'!$Z21+'Access Road'!$AA21+'Access Road'!$AD21),0)</f>
        <v>0</v>
      </c>
      <c r="O43" s="136">
        <f>IF('Access Road'!$H21=2030,('Access Road'!$Z21+'Access Road'!$AA21+'Access Road'!$AD21),0)</f>
        <v>0</v>
      </c>
      <c r="P43" s="136">
        <f>IF('Access Road'!$H21=2031,('Access Road'!$Z21+'Access Road'!$AA21+'Access Road'!$AD21),0)</f>
        <v>0</v>
      </c>
      <c r="Q43" s="137"/>
      <c r="R43" s="138" t="s">
        <v>206</v>
      </c>
    </row>
    <row r="44" spans="1:18" s="139" customFormat="1" x14ac:dyDescent="0.25">
      <c r="A44" s="143">
        <f>'Access Road'!A22</f>
        <v>66016</v>
      </c>
      <c r="B44" s="141" t="s">
        <v>168</v>
      </c>
      <c r="C44" s="141" t="s">
        <v>169</v>
      </c>
      <c r="D44" s="141" t="s">
        <v>170</v>
      </c>
      <c r="E44" s="151">
        <v>2025</v>
      </c>
      <c r="F44" s="157">
        <v>28700</v>
      </c>
      <c r="G44" s="136">
        <f>IF('Access Road'!$H22=2022,('Access Road'!$Z22+'Access Road'!$AA22+'Access Road'!$AD22),0)</f>
        <v>0</v>
      </c>
      <c r="H44" s="136">
        <f>IF('Access Road'!$H22=2023,('Access Road'!$Z22+'Access Road'!$AA22+'Access Road'!$AD22),0)</f>
        <v>0</v>
      </c>
      <c r="I44" s="136">
        <f>IF('Access Road'!$H22=2024,('Access Road'!$Z22+'Access Road'!$AA22+'Access Road'!$AD22),0)</f>
        <v>0</v>
      </c>
      <c r="J44" s="136">
        <f>IF('Access Road'!$H22=2025,('Access Road'!$Z22+'Access Road'!$AA22+'Access Road'!$AD22),0)</f>
        <v>145932.6297179588</v>
      </c>
      <c r="K44" s="136">
        <f>IF('Access Road'!$H22=2026,('Access Road'!$Z22+'Access Road'!$AA22+'Access Road'!$AD22),0)</f>
        <v>0</v>
      </c>
      <c r="L44" s="136">
        <f>IF('Access Road'!$H22=2027,('Access Road'!$Z22+'Access Road'!$AA22+'Access Road'!$AD22),0)</f>
        <v>0</v>
      </c>
      <c r="M44" s="136">
        <f>IF('Access Road'!$H22=2028,('Access Road'!$Z22+'Access Road'!$AA22+'Access Road'!$AD22),0)</f>
        <v>0</v>
      </c>
      <c r="N44" s="136">
        <f>IF('Access Road'!$H22=2029,('Access Road'!$Z22+'Access Road'!$AA22+'Access Road'!$AD22),0)</f>
        <v>0</v>
      </c>
      <c r="O44" s="136">
        <f>IF('Access Road'!$H22=2030,('Access Road'!$Z22+'Access Road'!$AA22+'Access Road'!$AD22),0)</f>
        <v>0</v>
      </c>
      <c r="P44" s="136">
        <f>IF('Access Road'!$H22=2031,('Access Road'!$Z22+'Access Road'!$AA22+'Access Road'!$AD22),0)</f>
        <v>0</v>
      </c>
      <c r="Q44" s="137"/>
      <c r="R44" s="138" t="s">
        <v>206</v>
      </c>
    </row>
    <row r="45" spans="1:18" s="139" customFormat="1" x14ac:dyDescent="0.25">
      <c r="A45" s="143">
        <f>'Access Road'!A23</f>
        <v>66007</v>
      </c>
      <c r="B45" s="141" t="s">
        <v>144</v>
      </c>
      <c r="C45" s="141" t="s">
        <v>145</v>
      </c>
      <c r="D45" s="141" t="s">
        <v>146</v>
      </c>
      <c r="E45" s="151">
        <v>2023</v>
      </c>
      <c r="F45" s="157">
        <v>23700</v>
      </c>
      <c r="G45" s="136">
        <f>IF('Access Road'!$H23=2022,('Access Road'!$Z23+'Access Road'!$AA23+'Access Road'!$AD23),0)</f>
        <v>0</v>
      </c>
      <c r="H45" s="136">
        <f>IF('Access Road'!$H23=2023,('Access Road'!$Z23+'Access Road'!$AA23+'Access Road'!$AD23),0)</f>
        <v>166026.97977305524</v>
      </c>
      <c r="I45" s="136">
        <f>IF('Access Road'!$H23=2024,('Access Road'!$Z23+'Access Road'!$AA23+'Access Road'!$AD23),0)</f>
        <v>0</v>
      </c>
      <c r="J45" s="136">
        <f>IF('Access Road'!$H23=2025,('Access Road'!$Z23+'Access Road'!$AA23+'Access Road'!$AD23),0)</f>
        <v>0</v>
      </c>
      <c r="K45" s="136">
        <f>IF('Access Road'!$H23=2026,('Access Road'!$Z23+'Access Road'!$AA23+'Access Road'!$AD23),0)</f>
        <v>0</v>
      </c>
      <c r="L45" s="136">
        <f>IF('Access Road'!$H23=2027,('Access Road'!$Z23+'Access Road'!$AA23+'Access Road'!$AD23),0)</f>
        <v>0</v>
      </c>
      <c r="M45" s="136">
        <f>IF('Access Road'!$H23=2028,('Access Road'!$Z23+'Access Road'!$AA23+'Access Road'!$AD23),0)</f>
        <v>0</v>
      </c>
      <c r="N45" s="136">
        <f>IF('Access Road'!$H23=2029,('Access Road'!$Z23+'Access Road'!$AA23+'Access Road'!$AD23),0)</f>
        <v>0</v>
      </c>
      <c r="O45" s="136">
        <f>IF('Access Road'!$H23=2030,('Access Road'!$Z23+'Access Road'!$AA23+'Access Road'!$AD23),0)</f>
        <v>0</v>
      </c>
      <c r="P45" s="136">
        <f>IF('Access Road'!$H23=2031,('Access Road'!$Z23+'Access Road'!$AA23+'Access Road'!$AD23),0)</f>
        <v>0</v>
      </c>
      <c r="Q45" s="137"/>
      <c r="R45" s="138" t="s">
        <v>206</v>
      </c>
    </row>
    <row r="46" spans="1:18" x14ac:dyDescent="0.25">
      <c r="A46" s="142">
        <f>'Access Road'!A24</f>
        <v>66001</v>
      </c>
      <c r="B46" s="141" t="s">
        <v>104</v>
      </c>
      <c r="C46" s="141" t="s">
        <v>104</v>
      </c>
      <c r="D46" s="141" t="s">
        <v>104</v>
      </c>
      <c r="E46" s="151">
        <v>2023</v>
      </c>
      <c r="F46" s="157"/>
      <c r="G46" s="130">
        <f>IF('Access Road'!$H24=2022,('Access Road'!$Z24+'Access Road'!$AA24+'Access Road'!$AD24),0)</f>
        <v>0</v>
      </c>
      <c r="H46" s="130">
        <f>IF('Access Road'!$H24=2023,('Access Road'!$Z24+'Access Road'!$AA24+'Access Road'!$AD24),0)</f>
        <v>243632.74550308276</v>
      </c>
      <c r="I46" s="130">
        <f>IF('Access Road'!$H24=2024,('Access Road'!$Z24+'Access Road'!$AA24+'Access Road'!$AD24),0)</f>
        <v>0</v>
      </c>
      <c r="J46" s="130">
        <f>IF('Access Road'!$H24=2025,('Access Road'!$Z24+'Access Road'!$AA24+'Access Road'!$AD24),0)</f>
        <v>0</v>
      </c>
      <c r="K46" s="130">
        <f>IF('Access Road'!$H24=2026,('Access Road'!$Z24+'Access Road'!$AA24+'Access Road'!$AD24),0)</f>
        <v>0</v>
      </c>
      <c r="L46" s="130">
        <f>IF('Access Road'!$H24=2027,('Access Road'!$Z24+'Access Road'!$AA24+'Access Road'!$AD24),0)</f>
        <v>0</v>
      </c>
      <c r="M46" s="130">
        <f>IF('Access Road'!$H24=2028,('Access Road'!$Z24+'Access Road'!$AA24+'Access Road'!$AD24),0)</f>
        <v>0</v>
      </c>
      <c r="N46" s="130">
        <f>IF('Access Road'!$H24=2029,('Access Road'!$Z24+'Access Road'!$AA24+'Access Road'!$AD24),0)</f>
        <v>0</v>
      </c>
      <c r="O46" s="130">
        <f>IF('Access Road'!$H24=2030,('Access Road'!$Z24+'Access Road'!$AA24+'Access Road'!$AD24),0)</f>
        <v>0</v>
      </c>
      <c r="P46" s="130">
        <f>IF('Access Road'!$H24=2031,('Access Road'!$Z24+'Access Road'!$AA24+'Access Road'!$AD24),0)</f>
        <v>0</v>
      </c>
      <c r="Q46" s="133"/>
      <c r="R46" s="131" t="s">
        <v>206</v>
      </c>
    </row>
    <row r="47" spans="1:18" x14ac:dyDescent="0.25">
      <c r="A47" s="142">
        <f>'Access Road'!A25</f>
        <v>230010</v>
      </c>
      <c r="B47" s="141" t="s">
        <v>120</v>
      </c>
      <c r="C47" s="141" t="s">
        <v>121</v>
      </c>
      <c r="D47" s="141" t="s">
        <v>122</v>
      </c>
      <c r="E47" s="151">
        <v>2025</v>
      </c>
      <c r="F47" s="157">
        <v>23700</v>
      </c>
      <c r="G47" s="130">
        <f>IF('Access Road'!$H25=2022,('Access Road'!$Z25+'Access Road'!$AA25+'Access Road'!$AD25),0)</f>
        <v>0</v>
      </c>
      <c r="H47" s="130">
        <f>IF('Access Road'!$H25=2023,('Access Road'!$Z25+'Access Road'!$AA25+'Access Road'!$AD25),0)</f>
        <v>0</v>
      </c>
      <c r="I47" s="130">
        <f>IF('Access Road'!$H25=2024,('Access Road'!$Z25+'Access Road'!$AA25+'Access Road'!$AD25),0)</f>
        <v>0</v>
      </c>
      <c r="J47" s="130">
        <f>IF('Access Road'!$H25=2025,('Access Road'!$Z25+'Access Road'!$AA25+'Access Road'!$AD25),0)</f>
        <v>147068.44696313786</v>
      </c>
      <c r="K47" s="130">
        <f>IF('Access Road'!$H25=2026,('Access Road'!$Z25+'Access Road'!$AA25+'Access Road'!$AD25),0)</f>
        <v>0</v>
      </c>
      <c r="L47" s="130">
        <f>IF('Access Road'!$H25=2027,('Access Road'!$Z25+'Access Road'!$AA25+'Access Road'!$AD25),0)</f>
        <v>0</v>
      </c>
      <c r="M47" s="130">
        <f>IF('Access Road'!$H25=2028,('Access Road'!$Z25+'Access Road'!$AA25+'Access Road'!$AD25),0)</f>
        <v>0</v>
      </c>
      <c r="N47" s="130">
        <f>IF('Access Road'!$H25=2029,('Access Road'!$Z25+'Access Road'!$AA25+'Access Road'!$AD25),0)</f>
        <v>0</v>
      </c>
      <c r="O47" s="130">
        <f>IF('Access Road'!$H25=2030,('Access Road'!$Z25+'Access Road'!$AA25+'Access Road'!$AD25),0)</f>
        <v>0</v>
      </c>
      <c r="P47" s="130">
        <f>IF('Access Road'!$H25=2031,('Access Road'!$Z25+'Access Road'!$AA25+'Access Road'!$AD25),0)</f>
        <v>0</v>
      </c>
      <c r="Q47" s="133"/>
      <c r="R47" s="131" t="s">
        <v>206</v>
      </c>
    </row>
    <row r="48" spans="1:18" x14ac:dyDescent="0.25">
      <c r="A48" s="160">
        <v>230037</v>
      </c>
      <c r="B48" s="160" t="s">
        <v>132</v>
      </c>
      <c r="C48" s="160" t="s">
        <v>133</v>
      </c>
      <c r="D48" s="160" t="s">
        <v>134</v>
      </c>
      <c r="E48" s="203" t="s">
        <v>187</v>
      </c>
      <c r="F48" s="157">
        <v>8895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3"/>
      <c r="R48" s="131" t="s">
        <v>206</v>
      </c>
    </row>
    <row r="49" spans="1:18" x14ac:dyDescent="0.25">
      <c r="A49" s="160">
        <v>230033</v>
      </c>
      <c r="B49" s="160" t="s">
        <v>135</v>
      </c>
      <c r="C49" s="160" t="s">
        <v>136</v>
      </c>
      <c r="D49" s="160" t="s">
        <v>137</v>
      </c>
      <c r="E49" s="203" t="s">
        <v>187</v>
      </c>
      <c r="F49" s="157">
        <v>5381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3"/>
      <c r="R49" s="131" t="s">
        <v>206</v>
      </c>
    </row>
    <row r="50" spans="1:18" x14ac:dyDescent="0.25">
      <c r="A50" s="160">
        <v>66830</v>
      </c>
      <c r="B50" s="160" t="s">
        <v>162</v>
      </c>
      <c r="C50" s="160" t="s">
        <v>163</v>
      </c>
      <c r="D50" s="160" t="s">
        <v>164</v>
      </c>
      <c r="E50" s="202" t="s">
        <v>187</v>
      </c>
      <c r="F50" s="157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3"/>
      <c r="R50" s="131" t="s">
        <v>205</v>
      </c>
    </row>
    <row r="51" spans="1:18" x14ac:dyDescent="0.25">
      <c r="A51" s="201">
        <f>'Access Road'!A26</f>
        <v>230004</v>
      </c>
      <c r="B51" s="201" t="str">
        <f>'Access Road'!B26</f>
        <v>TBD</v>
      </c>
      <c r="C51" s="201" t="str">
        <f>'Access Road'!C26</f>
        <v>TBD</v>
      </c>
      <c r="D51" s="201" t="str">
        <f>'Access Road'!D26</f>
        <v>TBD</v>
      </c>
      <c r="E51" s="162">
        <v>2030</v>
      </c>
      <c r="F51" s="158">
        <v>0</v>
      </c>
      <c r="G51" s="130">
        <f>IF('Access Road'!$H26=2022,('Access Road'!$Z26+'Access Road'!$AA26+'Access Road'!$AD26),0)</f>
        <v>0</v>
      </c>
      <c r="H51" s="130">
        <f>IF('Access Road'!$H26=2023,('Access Road'!$Z26+'Access Road'!$AA26+'Access Road'!$AD26),0)</f>
        <v>0</v>
      </c>
      <c r="I51" s="130">
        <f>IF('Access Road'!$H26=2024,('Access Road'!$Z26+'Access Road'!$AA26+'Access Road'!$AD26),0)</f>
        <v>0</v>
      </c>
      <c r="J51" s="130">
        <f>IF('Access Road'!$H26=2025,('Access Road'!$Z26+'Access Road'!$AA26+'Access Road'!$AD26),0)</f>
        <v>0</v>
      </c>
      <c r="K51" s="130">
        <f>IF('Access Road'!$H26=2026,('Access Road'!$Z26+'Access Road'!$AA26+'Access Road'!$AD26),0)</f>
        <v>0</v>
      </c>
      <c r="L51" s="130">
        <f>IF('Access Road'!$H26=2027,('Access Road'!$Z26+'Access Road'!$AA26+'Access Road'!$AD26),0)</f>
        <v>0</v>
      </c>
      <c r="M51" s="130">
        <f>IF('Access Road'!$H26=2028,('Access Road'!$Z26+'Access Road'!$AA26+'Access Road'!$AD26),0)</f>
        <v>0</v>
      </c>
      <c r="N51" s="130">
        <f>IF('Access Road'!$H26=2029,('Access Road'!$Z26+'Access Road'!$AA26+'Access Road'!$AD26),0)</f>
        <v>0</v>
      </c>
      <c r="O51" s="130">
        <f>IF('Access Road'!$H26=2030,('Access Road'!$Z26+'Access Road'!$AA26+'Access Road'!$AD26),0)</f>
        <v>336380.33878131962</v>
      </c>
      <c r="P51" s="130">
        <f>IF('Access Road'!$H26=2031,('Access Road'!$Z26+'Access Road'!$AA26+'Access Road'!$AD26),0)</f>
        <v>0</v>
      </c>
      <c r="Q51" s="133"/>
      <c r="R51" s="131" t="s">
        <v>206</v>
      </c>
    </row>
    <row r="52" spans="1:18" x14ac:dyDescent="0.25">
      <c r="A52" s="201">
        <f>'Access Road'!A27</f>
        <v>230005</v>
      </c>
      <c r="B52" s="201" t="str">
        <f>'Access Road'!B27</f>
        <v>TBD</v>
      </c>
      <c r="C52" s="201" t="str">
        <f>'Access Road'!C27</f>
        <v>TBD</v>
      </c>
      <c r="D52" s="201" t="str">
        <f>'Access Road'!D27</f>
        <v>TBD</v>
      </c>
      <c r="E52" s="162">
        <v>2030</v>
      </c>
      <c r="F52" s="158">
        <v>0</v>
      </c>
      <c r="G52" s="130">
        <f>IF('Access Road'!$H27=2022,('Access Road'!$Z27+'Access Road'!$AA27+'Access Road'!$AD27),0)</f>
        <v>0</v>
      </c>
      <c r="H52" s="130">
        <f>IF('Access Road'!$H27=2023,('Access Road'!$Z27+'Access Road'!$AA27+'Access Road'!$AD27),0)</f>
        <v>0</v>
      </c>
      <c r="I52" s="130">
        <f>IF('Access Road'!$H27=2024,('Access Road'!$Z27+'Access Road'!$AA27+'Access Road'!$AD27),0)</f>
        <v>0</v>
      </c>
      <c r="J52" s="130">
        <f>IF('Access Road'!$H27=2025,('Access Road'!$Z27+'Access Road'!$AA27+'Access Road'!$AD27),0)</f>
        <v>0</v>
      </c>
      <c r="K52" s="130">
        <f>IF('Access Road'!$H27=2026,('Access Road'!$Z27+'Access Road'!$AA27+'Access Road'!$AD27),0)</f>
        <v>0</v>
      </c>
      <c r="L52" s="130">
        <f>IF('Access Road'!$H27=2027,('Access Road'!$Z27+'Access Road'!$AA27+'Access Road'!$AD27),0)</f>
        <v>0</v>
      </c>
      <c r="M52" s="130">
        <f>IF('Access Road'!$H27=2028,('Access Road'!$Z27+'Access Road'!$AA27+'Access Road'!$AD27),0)</f>
        <v>0</v>
      </c>
      <c r="N52" s="130">
        <f>IF('Access Road'!$H27=2029,('Access Road'!$Z27+'Access Road'!$AA27+'Access Road'!$AD27),0)</f>
        <v>0</v>
      </c>
      <c r="O52" s="130">
        <f>IF('Access Road'!$H27=2030,('Access Road'!$Z27+'Access Road'!$AA27+'Access Road'!$AD27),0)</f>
        <v>290648.36969041062</v>
      </c>
      <c r="P52" s="130">
        <f>IF('Access Road'!$H27=2031,('Access Road'!$Z27+'Access Road'!$AA27+'Access Road'!$AD27),0)</f>
        <v>0</v>
      </c>
      <c r="Q52" s="133"/>
      <c r="R52" s="131" t="s">
        <v>206</v>
      </c>
    </row>
    <row r="53" spans="1:18" x14ac:dyDescent="0.25">
      <c r="A53" s="201">
        <f>'Access Road'!A28</f>
        <v>230021</v>
      </c>
      <c r="B53" s="201" t="str">
        <f>'Access Road'!B28</f>
        <v>TBD</v>
      </c>
      <c r="C53" s="201" t="str">
        <f>'Access Road'!C28</f>
        <v>TBD</v>
      </c>
      <c r="D53" s="201" t="str">
        <f>'Access Road'!D28</f>
        <v>TBD</v>
      </c>
      <c r="E53" s="162">
        <v>2028</v>
      </c>
      <c r="F53" s="158">
        <v>0</v>
      </c>
      <c r="G53" s="130">
        <f>IF('Access Road'!$H28=2022,('Access Road'!$Z28+'Access Road'!$AA28+'Access Road'!$AD28),0)</f>
        <v>0</v>
      </c>
      <c r="H53" s="130">
        <f>IF('Access Road'!$H28=2023,('Access Road'!$Z28+'Access Road'!$AA28+'Access Road'!$AD28),0)</f>
        <v>0</v>
      </c>
      <c r="I53" s="130">
        <f>IF('Access Road'!$H28=2024,('Access Road'!$Z28+'Access Road'!$AA28+'Access Road'!$AD28),0)</f>
        <v>0</v>
      </c>
      <c r="J53" s="130">
        <f>IF('Access Road'!$H28=2025,('Access Road'!$Z28+'Access Road'!$AA28+'Access Road'!$AD28),0)</f>
        <v>0</v>
      </c>
      <c r="K53" s="130">
        <f>IF('Access Road'!$H28=2026,('Access Road'!$Z28+'Access Road'!$AA28+'Access Road'!$AD28),0)</f>
        <v>0</v>
      </c>
      <c r="L53" s="130">
        <f>IF('Access Road'!$H28=2027,('Access Road'!$Z28+'Access Road'!$AA28+'Access Road'!$AD28),0)</f>
        <v>0</v>
      </c>
      <c r="M53" s="130">
        <f>IF('Access Road'!$H28=2028,('Access Road'!$Z28+'Access Road'!$AA28+'Access Road'!$AD28),0)</f>
        <v>1931686.9575232849</v>
      </c>
      <c r="N53" s="130">
        <f>IF('Access Road'!$H28=2029,('Access Road'!$Z28+'Access Road'!$AA28+'Access Road'!$AD28),0)</f>
        <v>0</v>
      </c>
      <c r="O53" s="130">
        <f>IF('Access Road'!$H28=2030,('Access Road'!$Z28+'Access Road'!$AA28+'Access Road'!$AD28),0)</f>
        <v>0</v>
      </c>
      <c r="P53" s="130">
        <f>IF('Access Road'!$H28=2031,('Access Road'!$Z28+'Access Road'!$AA28+'Access Road'!$AD28),0)</f>
        <v>0</v>
      </c>
      <c r="Q53" s="133"/>
      <c r="R53" s="131" t="s">
        <v>230</v>
      </c>
    </row>
    <row r="54" spans="1:18" x14ac:dyDescent="0.25">
      <c r="A54" s="201">
        <f>'Access Road'!A29</f>
        <v>230402</v>
      </c>
      <c r="B54" s="201" t="str">
        <f>'Access Road'!B29</f>
        <v>TBD</v>
      </c>
      <c r="C54" s="201" t="str">
        <f>'Access Road'!C29</f>
        <v>TBD</v>
      </c>
      <c r="D54" s="201" t="str">
        <f>'Access Road'!D29</f>
        <v>TBD</v>
      </c>
      <c r="E54" s="162">
        <v>2031</v>
      </c>
      <c r="F54" s="158">
        <v>0</v>
      </c>
      <c r="G54" s="130">
        <f>IF('Access Road'!$H29=2022,('Access Road'!$Z29+'Access Road'!$AA29+'Access Road'!$AD29),0)</f>
        <v>0</v>
      </c>
      <c r="H54" s="130">
        <f>IF('Access Road'!$H29=2023,('Access Road'!$Z29+'Access Road'!$AA29+'Access Road'!$AD29),0)</f>
        <v>0</v>
      </c>
      <c r="I54" s="130">
        <f>IF('Access Road'!$H29=2024,('Access Road'!$Z29+'Access Road'!$AA29+'Access Road'!$AD29),0)</f>
        <v>0</v>
      </c>
      <c r="J54" s="130">
        <f>IF('Access Road'!$H29=2025,('Access Road'!$Z29+'Access Road'!$AA29+'Access Road'!$AD29),0)</f>
        <v>0</v>
      </c>
      <c r="K54" s="130">
        <f>IF('Access Road'!$H29=2026,('Access Road'!$Z29+'Access Road'!$AA29+'Access Road'!$AD29),0)</f>
        <v>0</v>
      </c>
      <c r="L54" s="130">
        <f>IF('Access Road'!$H29=2027,('Access Road'!$Z29+'Access Road'!$AA29+'Access Road'!$AD29),0)</f>
        <v>0</v>
      </c>
      <c r="M54" s="130">
        <f>IF('Access Road'!$H29=2028,('Access Road'!$Z29+'Access Road'!$AA29+'Access Road'!$AD29),0)</f>
        <v>0</v>
      </c>
      <c r="N54" s="130">
        <f>IF('Access Road'!$H29=2029,('Access Road'!$Z29+'Access Road'!$AA29+'Access Road'!$AD29),0)</f>
        <v>0</v>
      </c>
      <c r="O54" s="130">
        <f>IF('Access Road'!$H29=2030,('Access Road'!$Z29+'Access Road'!$AA29+'Access Road'!$AD29),0)</f>
        <v>0</v>
      </c>
      <c r="P54" s="130">
        <f>IF('Access Road'!$H29=2031,('Access Road'!$Z29+'Access Road'!$AA29+'Access Road'!$AD29),0)</f>
        <v>4424772.1816004198</v>
      </c>
      <c r="Q54" s="133"/>
      <c r="R54" s="131" t="s">
        <v>206</v>
      </c>
    </row>
    <row r="55" spans="1:18" x14ac:dyDescent="0.25">
      <c r="A55" s="201">
        <f>'Access Road'!A30</f>
        <v>230604</v>
      </c>
      <c r="B55" s="201" t="str">
        <f>'Access Road'!B30</f>
        <v>TBD</v>
      </c>
      <c r="C55" s="201" t="str">
        <f>'Access Road'!C30</f>
        <v>TBD</v>
      </c>
      <c r="D55" s="201" t="str">
        <f>'Access Road'!D30</f>
        <v>TBD</v>
      </c>
      <c r="E55" s="162">
        <v>2029</v>
      </c>
      <c r="F55" s="158">
        <v>0</v>
      </c>
      <c r="G55" s="130">
        <f>IF('Access Road'!$H30=2022,('Access Road'!$Z30+'Access Road'!$AA30+'Access Road'!$AD30),0)</f>
        <v>0</v>
      </c>
      <c r="H55" s="130">
        <f>IF('Access Road'!$H30=2023,('Access Road'!$Z30+'Access Road'!$AA30+'Access Road'!$AD30),0)</f>
        <v>0</v>
      </c>
      <c r="I55" s="130">
        <f>IF('Access Road'!$H30=2024,('Access Road'!$Z30+'Access Road'!$AA30+'Access Road'!$AD30),0)</f>
        <v>0</v>
      </c>
      <c r="J55" s="130">
        <f>IF('Access Road'!$H30=2025,('Access Road'!$Z30+'Access Road'!$AA30+'Access Road'!$AD30),0)</f>
        <v>0</v>
      </c>
      <c r="K55" s="130">
        <f>IF('Access Road'!$H30=2026,('Access Road'!$Z30+'Access Road'!$AA30+'Access Road'!$AD30),0)</f>
        <v>0</v>
      </c>
      <c r="L55" s="130">
        <f>IF('Access Road'!$H30=2027,('Access Road'!$Z30+'Access Road'!$AA30+'Access Road'!$AD30),0)</f>
        <v>0</v>
      </c>
      <c r="M55" s="130">
        <f>IF('Access Road'!$H30=2028,('Access Road'!$Z30+'Access Road'!$AA30+'Access Road'!$AD30),0)</f>
        <v>0</v>
      </c>
      <c r="N55" s="130">
        <f>IF('Access Road'!$H30=2029,('Access Road'!$Z30+'Access Road'!$AA30+'Access Road'!$AD30),0)</f>
        <v>702698.03059031873</v>
      </c>
      <c r="O55" s="130">
        <f>IF('Access Road'!$H30=2030,('Access Road'!$Z30+'Access Road'!$AA30+'Access Road'!$AD30),0)</f>
        <v>0</v>
      </c>
      <c r="P55" s="130">
        <f>IF('Access Road'!$H30=2031,('Access Road'!$Z30+'Access Road'!$AA30+'Access Road'!$AD30),0)</f>
        <v>0</v>
      </c>
      <c r="Q55" s="133"/>
      <c r="R55" s="131" t="s">
        <v>205</v>
      </c>
    </row>
    <row r="56" spans="1:18" x14ac:dyDescent="0.25">
      <c r="A56" s="201">
        <f>'Access Road'!A31</f>
        <v>66014</v>
      </c>
      <c r="B56" s="201" t="str">
        <f>'Access Road'!B31</f>
        <v>TBD</v>
      </c>
      <c r="C56" s="201" t="str">
        <f>'Access Road'!C31</f>
        <v>TBD</v>
      </c>
      <c r="D56" s="201" t="str">
        <f>'Access Road'!D31</f>
        <v>TBD</v>
      </c>
      <c r="E56" s="162">
        <v>2030</v>
      </c>
      <c r="F56" s="158">
        <v>0</v>
      </c>
      <c r="G56" s="130">
        <f>IF('Access Road'!$H31=2022,('Access Road'!$Z31+'Access Road'!$AA31+'Access Road'!$AD31),0)</f>
        <v>0</v>
      </c>
      <c r="H56" s="130">
        <f>IF('Access Road'!$H31=2023,('Access Road'!$Z31+'Access Road'!$AA31+'Access Road'!$AD31),0)</f>
        <v>0</v>
      </c>
      <c r="I56" s="130">
        <f>IF('Access Road'!$H31=2024,('Access Road'!$Z31+'Access Road'!$AA31+'Access Road'!$AD31),0)</f>
        <v>0</v>
      </c>
      <c r="J56" s="130">
        <f>IF('Access Road'!$H31=2025,('Access Road'!$Z31+'Access Road'!$AA31+'Access Road'!$AD31),0)</f>
        <v>0</v>
      </c>
      <c r="K56" s="130">
        <f>IF('Access Road'!$H31=2026,('Access Road'!$Z31+'Access Road'!$AA31+'Access Road'!$AD31),0)</f>
        <v>0</v>
      </c>
      <c r="L56" s="130">
        <f>IF('Access Road'!$H31=2027,('Access Road'!$Z31+'Access Road'!$AA31+'Access Road'!$AD31),0)</f>
        <v>0</v>
      </c>
      <c r="M56" s="130">
        <f>IF('Access Road'!$H31=2028,('Access Road'!$Z31+'Access Road'!$AA31+'Access Road'!$AD31),0)</f>
        <v>0</v>
      </c>
      <c r="N56" s="130">
        <f>IF('Access Road'!$H31=2029,('Access Road'!$Z31+'Access Road'!$AA31+'Access Road'!$AD31),0)</f>
        <v>0</v>
      </c>
      <c r="O56" s="130">
        <f>IF('Access Road'!$H31=2030,('Access Road'!$Z31+'Access Road'!$AA31+'Access Road'!$AD31),0)</f>
        <v>370332.86128820671</v>
      </c>
      <c r="P56" s="130">
        <f>IF('Access Road'!$H31=2031,('Access Road'!$Z31+'Access Road'!$AA31+'Access Road'!$AD31),0)</f>
        <v>0</v>
      </c>
      <c r="Q56" s="133"/>
      <c r="R56" s="131" t="s">
        <v>206</v>
      </c>
    </row>
    <row r="57" spans="1:18" x14ac:dyDescent="0.25">
      <c r="A57" s="201">
        <f>'Access Road'!A32</f>
        <v>66025</v>
      </c>
      <c r="B57" s="201" t="str">
        <f>'Access Road'!B32</f>
        <v>TBD</v>
      </c>
      <c r="C57" s="201" t="str">
        <f>'Access Road'!C32</f>
        <v>TBD</v>
      </c>
      <c r="D57" s="201" t="str">
        <f>'Access Road'!D32</f>
        <v>TBD</v>
      </c>
      <c r="E57" s="162">
        <v>2029</v>
      </c>
      <c r="F57" s="158">
        <v>0</v>
      </c>
      <c r="G57" s="130">
        <f>IF('Access Road'!$H32=2022,('Access Road'!$Z32+'Access Road'!$AA32+'Access Road'!$AD32),0)</f>
        <v>0</v>
      </c>
      <c r="H57" s="130">
        <f>IF('Access Road'!$H32=2023,('Access Road'!$Z32+'Access Road'!$AA32+'Access Road'!$AD32),0)</f>
        <v>0</v>
      </c>
      <c r="I57" s="130">
        <f>IF('Access Road'!$H32=2024,('Access Road'!$Z32+'Access Road'!$AA32+'Access Road'!$AD32),0)</f>
        <v>0</v>
      </c>
      <c r="J57" s="130">
        <f>IF('Access Road'!$H32=2025,('Access Road'!$Z32+'Access Road'!$AA32+'Access Road'!$AD32),0)</f>
        <v>0</v>
      </c>
      <c r="K57" s="130">
        <f>IF('Access Road'!$H32=2026,('Access Road'!$Z32+'Access Road'!$AA32+'Access Road'!$AD32),0)</f>
        <v>0</v>
      </c>
      <c r="L57" s="130">
        <f>IF('Access Road'!$H32=2027,('Access Road'!$Z32+'Access Road'!$AA32+'Access Road'!$AD32),0)</f>
        <v>0</v>
      </c>
      <c r="M57" s="130">
        <f>IF('Access Road'!$H32=2028,('Access Road'!$Z32+'Access Road'!$AA32+'Access Road'!$AD32),0)</f>
        <v>0</v>
      </c>
      <c r="N57" s="130">
        <f>IF('Access Road'!$H32=2029,('Access Road'!$Z32+'Access Road'!$AA32+'Access Road'!$AD32),0)</f>
        <v>463875.52533779352</v>
      </c>
      <c r="O57" s="130">
        <f>IF('Access Road'!$H32=2030,('Access Road'!$Z32+'Access Road'!$AA32+'Access Road'!$AD32),0)</f>
        <v>0</v>
      </c>
      <c r="P57" s="130">
        <f>IF('Access Road'!$H32=2031,('Access Road'!$Z32+'Access Road'!$AA32+'Access Road'!$AD32),0)</f>
        <v>0</v>
      </c>
      <c r="Q57" s="133"/>
      <c r="R57" s="131" t="s">
        <v>206</v>
      </c>
    </row>
    <row r="58" spans="1:18" x14ac:dyDescent="0.25">
      <c r="A58" s="201">
        <f>'Access Road'!A33</f>
        <v>66021</v>
      </c>
      <c r="B58" s="201" t="str">
        <f>'Access Road'!B33</f>
        <v>TBD</v>
      </c>
      <c r="C58" s="201" t="str">
        <f>'Access Road'!C33</f>
        <v>TBD</v>
      </c>
      <c r="D58" s="201" t="str">
        <f>'Access Road'!D33</f>
        <v>TBD</v>
      </c>
      <c r="E58" s="204">
        <v>2027</v>
      </c>
      <c r="F58" s="158">
        <v>0</v>
      </c>
      <c r="G58" s="130">
        <f>IF('Access Road'!$H33=2022,('Access Road'!$Z33+'Access Road'!$AA33+'Access Road'!$AD33),0)</f>
        <v>0</v>
      </c>
      <c r="H58" s="130">
        <f>IF('Access Road'!$H33=2023,('Access Road'!$Z33+'Access Road'!$AA33+'Access Road'!$AD33),0)</f>
        <v>0</v>
      </c>
      <c r="I58" s="130">
        <f>IF('Access Road'!$H33=2024,('Access Road'!$Z33+'Access Road'!$AA33+'Access Road'!$AD33),0)</f>
        <v>0</v>
      </c>
      <c r="J58" s="130">
        <f>IF('Access Road'!$H33=2025,('Access Road'!$Z33+'Access Road'!$AA33+'Access Road'!$AD33),0)</f>
        <v>0</v>
      </c>
      <c r="K58" s="130">
        <f>IF('Access Road'!$H33=2026,('Access Road'!$Z33+'Access Road'!$AA33+'Access Road'!$AD33),0)</f>
        <v>0</v>
      </c>
      <c r="L58" s="130">
        <f>IF('Access Road'!$H33=2027,('Access Road'!$Z33+'Access Road'!$AA33+'Access Road'!$AD33),0)</f>
        <v>1087955.2247500983</v>
      </c>
      <c r="M58" s="130">
        <f>IF('Access Road'!$H33=2028,('Access Road'!$Z33+'Access Road'!$AA33+'Access Road'!$AD33),0)</f>
        <v>0</v>
      </c>
      <c r="N58" s="130">
        <f>IF('Access Road'!$H33=2029,('Access Road'!$Z33+'Access Road'!$AA33+'Access Road'!$AD33),0)</f>
        <v>0</v>
      </c>
      <c r="O58" s="130">
        <f>IF('Access Road'!$H33=2030,('Access Road'!$Z33+'Access Road'!$AA33+'Access Road'!$AD33),0)</f>
        <v>0</v>
      </c>
      <c r="P58" s="130">
        <f>IF('Access Road'!$H33=2031,('Access Road'!$Z33+'Access Road'!$AA33+'Access Road'!$AD33),0)</f>
        <v>0</v>
      </c>
      <c r="Q58" s="133"/>
      <c r="R58" s="131" t="s">
        <v>206</v>
      </c>
    </row>
    <row r="59" spans="1:18" x14ac:dyDescent="0.25">
      <c r="A59" s="147" t="s">
        <v>219</v>
      </c>
      <c r="B59" s="148"/>
      <c r="C59" s="148"/>
      <c r="D59" s="148"/>
      <c r="E59" s="152"/>
      <c r="F59" s="145">
        <f>SUM(F30:F58)</f>
        <v>310576</v>
      </c>
      <c r="G59" s="145">
        <f t="shared" ref="G59:P59" si="1">SUM(G30:G58)</f>
        <v>166473.08660501114</v>
      </c>
      <c r="H59" s="145">
        <f t="shared" si="1"/>
        <v>950222.89108487463</v>
      </c>
      <c r="I59" s="145">
        <f t="shared" si="1"/>
        <v>1800317.1785176441</v>
      </c>
      <c r="J59" s="145">
        <f t="shared" si="1"/>
        <v>1820664.2721094058</v>
      </c>
      <c r="K59" s="145">
        <f t="shared" si="1"/>
        <v>2663424.9773606192</v>
      </c>
      <c r="L59" s="145">
        <f t="shared" si="1"/>
        <v>3375026.4142227466</v>
      </c>
      <c r="M59" s="145">
        <f t="shared" si="1"/>
        <v>1931686.9575232849</v>
      </c>
      <c r="N59" s="145">
        <f t="shared" si="1"/>
        <v>1166573.5559281122</v>
      </c>
      <c r="O59" s="145">
        <f t="shared" si="1"/>
        <v>997361.569759937</v>
      </c>
      <c r="P59" s="145">
        <f t="shared" si="1"/>
        <v>4424772.1816004198</v>
      </c>
      <c r="Q59" s="145">
        <f>SUM(F59:P59)</f>
        <v>19607099.084712058</v>
      </c>
      <c r="R59" s="134"/>
    </row>
    <row r="60" spans="1:18" x14ac:dyDescent="0.25">
      <c r="A60" s="228" t="s">
        <v>203</v>
      </c>
      <c r="B60" s="229"/>
      <c r="C60" s="229"/>
      <c r="D60" s="229"/>
      <c r="E60" s="229"/>
      <c r="F60" s="132">
        <f t="shared" ref="F60:Q60" si="2">F28+F59</f>
        <v>736936</v>
      </c>
      <c r="G60" s="132">
        <f t="shared" si="2"/>
        <v>1542027.0908159516</v>
      </c>
      <c r="H60" s="132">
        <f t="shared" si="2"/>
        <v>3520799.8765499145</v>
      </c>
      <c r="I60" s="132">
        <f t="shared" si="2"/>
        <v>2997510.8278158205</v>
      </c>
      <c r="J60" s="132">
        <f t="shared" si="2"/>
        <v>4072946.2074891776</v>
      </c>
      <c r="K60" s="132">
        <f t="shared" si="2"/>
        <v>3342108.023313656</v>
      </c>
      <c r="L60" s="132">
        <f t="shared" si="2"/>
        <v>3375026.4142227466</v>
      </c>
      <c r="M60" s="132">
        <f t="shared" si="2"/>
        <v>3281466.2592548868</v>
      </c>
      <c r="N60" s="132">
        <f t="shared" si="2"/>
        <v>3018970.7576072412</v>
      </c>
      <c r="O60" s="132">
        <f t="shared" si="2"/>
        <v>2146824.8820516858</v>
      </c>
      <c r="P60" s="132">
        <f t="shared" si="2"/>
        <v>4424772.1816004198</v>
      </c>
      <c r="Q60" s="135">
        <f t="shared" si="2"/>
        <v>32459388.520721503</v>
      </c>
    </row>
    <row r="62" spans="1:18" x14ac:dyDescent="0.25">
      <c r="L62" s="1"/>
    </row>
  </sheetData>
  <mergeCells count="3">
    <mergeCell ref="A60:E60"/>
    <mergeCell ref="A2:R2"/>
    <mergeCell ref="A29:R29"/>
  </mergeCells>
  <pageMargins left="0.7" right="0.7" top="0.75" bottom="0.75" header="0.3" footer="0.3"/>
  <pageSetup orientation="portrait" r:id="rId1"/>
  <ignoredErrors>
    <ignoredError sqref="H3 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3812-4261-42A7-99B3-E040AEFF9215}">
  <dimension ref="A1:AG40"/>
  <sheetViews>
    <sheetView topLeftCell="J1" workbookViewId="0">
      <selection activeCell="N1" sqref="N1:O3"/>
    </sheetView>
  </sheetViews>
  <sheetFormatPr defaultColWidth="9.140625" defaultRowHeight="15" x14ac:dyDescent="0.25"/>
  <cols>
    <col min="1" max="1" width="31.28515625" style="3" bestFit="1" customWidth="1"/>
    <col min="2" max="2" width="9.140625" style="3"/>
    <col min="3" max="3" width="12.42578125" style="3" customWidth="1"/>
    <col min="4" max="4" width="11.28515625" style="3" bestFit="1" customWidth="1"/>
    <col min="5" max="5" width="11.85546875" style="3" bestFit="1" customWidth="1"/>
    <col min="6" max="7" width="9.140625" style="3"/>
    <col min="8" max="8" width="24.28515625" style="3" bestFit="1" customWidth="1"/>
    <col min="9" max="9" width="15.7109375" style="111" customWidth="1"/>
    <col min="10" max="15" width="15.7109375" style="3" customWidth="1"/>
    <col min="16" max="17" width="15.7109375" style="111" customWidth="1"/>
    <col min="18" max="27" width="15.7109375" style="3" customWidth="1"/>
    <col min="28" max="28" width="17.7109375" style="3" customWidth="1"/>
    <col min="29" max="29" width="14.5703125" style="3" customWidth="1"/>
    <col min="30" max="30" width="13.28515625" style="3" bestFit="1" customWidth="1"/>
    <col min="31" max="31" width="27.140625" style="3" customWidth="1"/>
    <col min="32" max="32" width="20.42578125" style="3" customWidth="1"/>
    <col min="33" max="33" width="15.7109375" style="3" customWidth="1"/>
    <col min="34" max="16384" width="9.140625" style="3"/>
  </cols>
  <sheetData>
    <row r="1" spans="1:33" s="6" customFormat="1" ht="48" thickBot="1" x14ac:dyDescent="0.3">
      <c r="I1" s="237" t="s">
        <v>24</v>
      </c>
      <c r="J1" s="238"/>
      <c r="K1" s="238"/>
      <c r="L1" s="238"/>
      <c r="M1" s="239"/>
      <c r="N1" s="231" t="s">
        <v>242</v>
      </c>
      <c r="O1" s="232"/>
      <c r="P1" s="231" t="s">
        <v>59</v>
      </c>
      <c r="Q1" s="240"/>
      <c r="R1" s="240"/>
      <c r="S1" s="240"/>
      <c r="T1" s="232"/>
      <c r="U1" s="237" t="s">
        <v>61</v>
      </c>
      <c r="V1" s="238"/>
      <c r="W1" s="238"/>
      <c r="X1" s="238"/>
      <c r="Y1" s="239"/>
      <c r="Z1" s="231" t="s">
        <v>64</v>
      </c>
      <c r="AA1" s="232"/>
      <c r="AB1" s="73" t="s">
        <v>65</v>
      </c>
      <c r="AC1" s="78"/>
      <c r="AD1" s="70"/>
      <c r="AE1" s="233" t="s">
        <v>26</v>
      </c>
      <c r="AF1" s="234"/>
      <c r="AG1" s="235"/>
    </row>
    <row r="2" spans="1:33" s="6" customFormat="1" ht="45" x14ac:dyDescent="0.25">
      <c r="C2" s="82" t="s">
        <v>98</v>
      </c>
      <c r="D2" s="82" t="s">
        <v>99</v>
      </c>
      <c r="E2" s="82" t="s">
        <v>100</v>
      </c>
      <c r="F2" s="82" t="s">
        <v>190</v>
      </c>
      <c r="G2" s="82" t="s">
        <v>189</v>
      </c>
      <c r="H2" s="82" t="s">
        <v>195</v>
      </c>
      <c r="I2" s="22" t="s">
        <v>8</v>
      </c>
      <c r="J2" s="23" t="s">
        <v>20</v>
      </c>
      <c r="K2" s="23" t="s">
        <v>96</v>
      </c>
      <c r="L2" s="23" t="s">
        <v>11</v>
      </c>
      <c r="M2" s="24" t="s">
        <v>10</v>
      </c>
      <c r="N2" s="23" t="s">
        <v>240</v>
      </c>
      <c r="O2" s="23" t="s">
        <v>241</v>
      </c>
      <c r="P2" s="22" t="s">
        <v>8</v>
      </c>
      <c r="Q2" s="23" t="s">
        <v>55</v>
      </c>
      <c r="R2" s="23" t="s">
        <v>19</v>
      </c>
      <c r="S2" s="23" t="s">
        <v>70</v>
      </c>
      <c r="T2" s="24" t="s">
        <v>96</v>
      </c>
      <c r="U2" s="22" t="s">
        <v>8</v>
      </c>
      <c r="V2" s="23" t="s">
        <v>19</v>
      </c>
      <c r="W2" s="23" t="s">
        <v>96</v>
      </c>
      <c r="X2" s="23" t="s">
        <v>11</v>
      </c>
      <c r="Y2" s="24" t="s">
        <v>9</v>
      </c>
      <c r="Z2" s="66" t="s">
        <v>62</v>
      </c>
      <c r="AA2" s="67" t="s">
        <v>63</v>
      </c>
      <c r="AB2" s="74" t="s">
        <v>66</v>
      </c>
      <c r="AC2" s="79" t="s">
        <v>221</v>
      </c>
      <c r="AD2" s="71" t="s">
        <v>58</v>
      </c>
      <c r="AE2" s="22" t="s">
        <v>23</v>
      </c>
      <c r="AF2" s="23" t="s">
        <v>27</v>
      </c>
      <c r="AG2" s="25" t="s">
        <v>12</v>
      </c>
    </row>
    <row r="3" spans="1:33" s="4" customFormat="1" x14ac:dyDescent="0.25">
      <c r="F3" s="4">
        <v>2022</v>
      </c>
      <c r="G3" s="4">
        <v>2022</v>
      </c>
      <c r="I3" s="7"/>
      <c r="J3" s="29">
        <v>270</v>
      </c>
      <c r="K3" s="83">
        <v>0</v>
      </c>
      <c r="L3" s="8">
        <v>50</v>
      </c>
      <c r="M3" s="9">
        <v>43</v>
      </c>
      <c r="N3" s="8"/>
      <c r="O3" s="8">
        <v>6</v>
      </c>
      <c r="P3" s="7"/>
      <c r="Q3" s="117">
        <v>1325</v>
      </c>
      <c r="R3" s="8">
        <v>6100</v>
      </c>
      <c r="S3" s="8">
        <v>2000</v>
      </c>
      <c r="T3" s="84">
        <v>0</v>
      </c>
      <c r="U3" s="10"/>
      <c r="V3" s="29">
        <v>285</v>
      </c>
      <c r="W3" s="83">
        <v>0</v>
      </c>
      <c r="X3" s="8">
        <v>50</v>
      </c>
      <c r="Y3" s="9">
        <v>43</v>
      </c>
      <c r="Z3" s="10">
        <v>40</v>
      </c>
      <c r="AA3" s="9">
        <v>70</v>
      </c>
      <c r="AB3" s="114">
        <v>0.06</v>
      </c>
      <c r="AC3" s="80"/>
      <c r="AD3" s="72">
        <v>0</v>
      </c>
      <c r="AE3" s="12" t="s">
        <v>33</v>
      </c>
      <c r="AF3" s="111" t="s">
        <v>54</v>
      </c>
      <c r="AG3" s="11"/>
    </row>
    <row r="4" spans="1:33" x14ac:dyDescent="0.25">
      <c r="A4" s="14" t="s">
        <v>14</v>
      </c>
      <c r="B4" s="48">
        <v>230403</v>
      </c>
      <c r="C4" s="48" t="s">
        <v>101</v>
      </c>
      <c r="D4" s="48" t="s">
        <v>102</v>
      </c>
      <c r="E4" s="48" t="s">
        <v>103</v>
      </c>
      <c r="F4" s="14">
        <v>2022</v>
      </c>
      <c r="G4" s="14">
        <f>'Annual Cost Estimate'!E3</f>
        <v>2022</v>
      </c>
      <c r="H4" s="14" t="s">
        <v>187</v>
      </c>
      <c r="I4" s="15">
        <f>228+250</f>
        <v>478</v>
      </c>
      <c r="J4" s="118">
        <f>I4*$J$3</f>
        <v>129060</v>
      </c>
      <c r="K4" s="118">
        <f>(G4-$G$3)*$K$3*J4</f>
        <v>0</v>
      </c>
      <c r="L4" s="118">
        <f t="shared" ref="L4:L28" si="0">$L$3*I4</f>
        <v>23900</v>
      </c>
      <c r="M4" s="16">
        <f>I4*$M$3</f>
        <v>20554</v>
      </c>
      <c r="N4" s="15">
        <v>1000</v>
      </c>
      <c r="O4" s="189">
        <f>$O$3*30*(N4/7)</f>
        <v>25714.285714285714</v>
      </c>
      <c r="P4" s="15">
        <v>60</v>
      </c>
      <c r="Q4" s="119">
        <f>$Q$3*P4</f>
        <v>79500</v>
      </c>
      <c r="R4" s="118">
        <f t="shared" ref="R4:R28" si="1">$R$3*P4</f>
        <v>366000</v>
      </c>
      <c r="S4" s="118">
        <f>4*$S$3</f>
        <v>8000</v>
      </c>
      <c r="T4" s="16">
        <f t="shared" ref="T4:T25" si="2">(G4-$G$3)*$K$3*(Q4+R4)</f>
        <v>0</v>
      </c>
      <c r="U4" s="15">
        <v>100</v>
      </c>
      <c r="V4" s="118">
        <f>$V$3*U4</f>
        <v>28500</v>
      </c>
      <c r="W4" s="118">
        <f t="shared" ref="W4:W28" si="3">(G4-$G$3)*$K$3*V4</f>
        <v>0</v>
      </c>
      <c r="X4" s="118">
        <f>$X$3*U4</f>
        <v>5000</v>
      </c>
      <c r="Y4" s="16">
        <f>$Y$3*U4</f>
        <v>4300</v>
      </c>
      <c r="Z4" s="68">
        <f t="shared" ref="Z4:Z28" si="4">(I4+P4+U4)*$Z$3</f>
        <v>25520</v>
      </c>
      <c r="AA4" s="16">
        <f t="shared" ref="AA4:AA28" si="5">(I4+P4+U4)*$AA$3</f>
        <v>44660</v>
      </c>
      <c r="AB4" s="76">
        <f t="shared" ref="AB4:AB28" si="6">(J4+K4+Q4+R4+T4+V4+W4)*$AB$3</f>
        <v>36183.599999999999</v>
      </c>
      <c r="AC4" s="76">
        <f>J4+K4+L4+M4+O4+Q4+R4+S4+T4+V4+W4+X4+Y4+Z4+AA4+AB4</f>
        <v>796891.88571428566</v>
      </c>
      <c r="AD4" s="16">
        <f>$AD$3*AC4</f>
        <v>0</v>
      </c>
      <c r="AE4" s="17">
        <f>50000+(60000*(U4/5280))</f>
        <v>51136.36363636364</v>
      </c>
      <c r="AF4" s="26">
        <f t="shared" ref="AF4:AF15" si="7">((((228*16)/43560)+((P4*14)/43560))*0.5)*175000</f>
        <v>9015.1515151515141</v>
      </c>
      <c r="AG4" s="16">
        <f>SUM(AE4:AF4)</f>
        <v>60151.515151515152</v>
      </c>
    </row>
    <row r="5" spans="1:33" x14ac:dyDescent="0.25">
      <c r="A5" s="14" t="s">
        <v>15</v>
      </c>
      <c r="B5" s="48">
        <v>230403</v>
      </c>
      <c r="C5" s="48" t="s">
        <v>165</v>
      </c>
      <c r="D5" s="48" t="s">
        <v>166</v>
      </c>
      <c r="E5" s="48" t="s">
        <v>167</v>
      </c>
      <c r="F5" s="14">
        <v>2025</v>
      </c>
      <c r="G5" s="14">
        <f>'Annual Cost Estimate'!E4</f>
        <v>2025</v>
      </c>
      <c r="H5" s="14" t="s">
        <v>187</v>
      </c>
      <c r="I5" s="15">
        <v>228</v>
      </c>
      <c r="J5" s="118">
        <f t="shared" ref="J5:J28" si="8">I5*$J$3</f>
        <v>61560</v>
      </c>
      <c r="K5" s="118">
        <f>(G5-$G$3)*$K$3*J5</f>
        <v>0</v>
      </c>
      <c r="L5" s="118">
        <f t="shared" si="0"/>
        <v>11400</v>
      </c>
      <c r="M5" s="16">
        <f t="shared" ref="M5:M28" si="9">I5*$M$3</f>
        <v>9804</v>
      </c>
      <c r="N5" s="15">
        <v>1000</v>
      </c>
      <c r="O5" s="189">
        <f>$O$3*30*(N5/7)</f>
        <v>25714.285714285714</v>
      </c>
      <c r="P5" s="15">
        <v>92</v>
      </c>
      <c r="Q5" s="119">
        <f t="shared" ref="Q5:Q17" si="10">$Q$3*P5</f>
        <v>121900</v>
      </c>
      <c r="R5" s="118">
        <f t="shared" si="1"/>
        <v>561200</v>
      </c>
      <c r="S5" s="118">
        <f t="shared" ref="S5:S15" si="11">4*$S$3</f>
        <v>8000</v>
      </c>
      <c r="T5" s="16">
        <f t="shared" si="2"/>
        <v>0</v>
      </c>
      <c r="U5" s="15">
        <v>100</v>
      </c>
      <c r="V5" s="118">
        <f t="shared" ref="V5:V28" si="12">$V$3*U5</f>
        <v>28500</v>
      </c>
      <c r="W5" s="118">
        <f t="shared" si="3"/>
        <v>0</v>
      </c>
      <c r="X5" s="118">
        <f t="shared" ref="X5:X28" si="13">$X$3*U5</f>
        <v>5000</v>
      </c>
      <c r="Y5" s="16">
        <f t="shared" ref="Y5:Y28" si="14">$Y$3*U5</f>
        <v>4300</v>
      </c>
      <c r="Z5" s="68">
        <f t="shared" si="4"/>
        <v>16800</v>
      </c>
      <c r="AA5" s="16">
        <f t="shared" si="5"/>
        <v>29400</v>
      </c>
      <c r="AB5" s="76">
        <f t="shared" si="6"/>
        <v>46389.599999999999</v>
      </c>
      <c r="AC5" s="76">
        <f t="shared" ref="AC5:AC28" si="15">J5+K5+L5+M5+O5+Q5+R5+S5+T5+V5+W5+X5+Y5+Z5+AA5+AB5</f>
        <v>929967.88571428566</v>
      </c>
      <c r="AD5" s="16">
        <f t="shared" ref="AD5:AD17" si="16">$AD$3*AC5</f>
        <v>0</v>
      </c>
      <c r="AE5" s="17">
        <f t="shared" ref="AE5:AE15" si="17">50000+(60000*(U5/5280))</f>
        <v>51136.36363636364</v>
      </c>
      <c r="AF5" s="26">
        <f t="shared" si="7"/>
        <v>9915.0596877869593</v>
      </c>
      <c r="AG5" s="16">
        <f t="shared" ref="AG5:AG17" si="18">SUM(AE5:AF5)</f>
        <v>61051.423324150601</v>
      </c>
    </row>
    <row r="6" spans="1:33" x14ac:dyDescent="0.25">
      <c r="A6" s="14" t="s">
        <v>16</v>
      </c>
      <c r="B6" s="48">
        <v>66413</v>
      </c>
      <c r="C6" s="48" t="s">
        <v>105</v>
      </c>
      <c r="D6" s="48" t="s">
        <v>106</v>
      </c>
      <c r="E6" s="48" t="s">
        <v>107</v>
      </c>
      <c r="F6" s="14">
        <v>2023</v>
      </c>
      <c r="G6" s="14">
        <f>'Annual Cost Estimate'!E5</f>
        <v>2024</v>
      </c>
      <c r="H6" s="14" t="s">
        <v>187</v>
      </c>
      <c r="I6" s="15">
        <v>228</v>
      </c>
      <c r="J6" s="118">
        <f t="shared" si="8"/>
        <v>61560</v>
      </c>
      <c r="K6" s="118">
        <f t="shared" ref="K6:K28" si="19">(G6-$G$3)*$K$3*J6</f>
        <v>0</v>
      </c>
      <c r="L6" s="118">
        <f t="shared" si="0"/>
        <v>11400</v>
      </c>
      <c r="M6" s="16">
        <f t="shared" si="9"/>
        <v>9804</v>
      </c>
      <c r="N6" s="15">
        <v>1000</v>
      </c>
      <c r="O6" s="189">
        <f t="shared" ref="O6:O28" si="20">$O$3*30*(N6/7)</f>
        <v>25714.285714285714</v>
      </c>
      <c r="P6" s="15">
        <v>37</v>
      </c>
      <c r="Q6" s="119">
        <f t="shared" si="10"/>
        <v>49025</v>
      </c>
      <c r="R6" s="118">
        <f t="shared" si="1"/>
        <v>225700</v>
      </c>
      <c r="S6" s="118">
        <f t="shared" si="11"/>
        <v>8000</v>
      </c>
      <c r="T6" s="16">
        <f t="shared" si="2"/>
        <v>0</v>
      </c>
      <c r="U6" s="15">
        <v>100</v>
      </c>
      <c r="V6" s="118">
        <f t="shared" si="12"/>
        <v>28500</v>
      </c>
      <c r="W6" s="118">
        <f t="shared" si="3"/>
        <v>0</v>
      </c>
      <c r="X6" s="118">
        <f t="shared" si="13"/>
        <v>5000</v>
      </c>
      <c r="Y6" s="16">
        <f t="shared" si="14"/>
        <v>4300</v>
      </c>
      <c r="Z6" s="68">
        <f t="shared" si="4"/>
        <v>14600</v>
      </c>
      <c r="AA6" s="16">
        <f t="shared" si="5"/>
        <v>25550</v>
      </c>
      <c r="AB6" s="76">
        <f t="shared" si="6"/>
        <v>21887.1</v>
      </c>
      <c r="AC6" s="76">
        <f t="shared" si="15"/>
        <v>491040.38571428566</v>
      </c>
      <c r="AD6" s="16">
        <f t="shared" si="16"/>
        <v>0</v>
      </c>
      <c r="AE6" s="17">
        <f t="shared" si="17"/>
        <v>51136.36363636364</v>
      </c>
      <c r="AF6" s="26">
        <f t="shared" si="7"/>
        <v>8368.342516069788</v>
      </c>
      <c r="AG6" s="16">
        <f t="shared" si="18"/>
        <v>59504.706152433428</v>
      </c>
    </row>
    <row r="7" spans="1:33" x14ac:dyDescent="0.25">
      <c r="A7" s="14" t="s">
        <v>13</v>
      </c>
      <c r="B7" s="48">
        <v>66413</v>
      </c>
      <c r="C7" s="48" t="s">
        <v>108</v>
      </c>
      <c r="D7" s="48" t="s">
        <v>109</v>
      </c>
      <c r="E7" s="48" t="s">
        <v>110</v>
      </c>
      <c r="F7" s="14">
        <v>2023</v>
      </c>
      <c r="G7" s="14">
        <f>'Annual Cost Estimate'!E6</f>
        <v>2024</v>
      </c>
      <c r="H7" s="14" t="s">
        <v>187</v>
      </c>
      <c r="I7" s="15">
        <v>228</v>
      </c>
      <c r="J7" s="118">
        <f t="shared" si="8"/>
        <v>61560</v>
      </c>
      <c r="K7" s="118">
        <f t="shared" si="19"/>
        <v>0</v>
      </c>
      <c r="L7" s="118">
        <f t="shared" si="0"/>
        <v>11400</v>
      </c>
      <c r="M7" s="16">
        <f t="shared" si="9"/>
        <v>9804</v>
      </c>
      <c r="N7" s="15">
        <v>1000</v>
      </c>
      <c r="O7" s="189">
        <f t="shared" si="20"/>
        <v>25714.285714285714</v>
      </c>
      <c r="P7" s="15">
        <v>49</v>
      </c>
      <c r="Q7" s="119">
        <f t="shared" si="10"/>
        <v>64925</v>
      </c>
      <c r="R7" s="118">
        <f t="shared" si="1"/>
        <v>298900</v>
      </c>
      <c r="S7" s="118">
        <f t="shared" si="11"/>
        <v>8000</v>
      </c>
      <c r="T7" s="16">
        <f t="shared" si="2"/>
        <v>0</v>
      </c>
      <c r="U7" s="15">
        <v>100</v>
      </c>
      <c r="V7" s="118">
        <f t="shared" si="12"/>
        <v>28500</v>
      </c>
      <c r="W7" s="118">
        <f t="shared" si="3"/>
        <v>0</v>
      </c>
      <c r="X7" s="118">
        <f t="shared" si="13"/>
        <v>5000</v>
      </c>
      <c r="Y7" s="16">
        <f t="shared" si="14"/>
        <v>4300</v>
      </c>
      <c r="Z7" s="68">
        <f t="shared" si="4"/>
        <v>15080</v>
      </c>
      <c r="AA7" s="16">
        <f t="shared" si="5"/>
        <v>26390</v>
      </c>
      <c r="AB7" s="76">
        <f t="shared" si="6"/>
        <v>27233.1</v>
      </c>
      <c r="AC7" s="76">
        <f t="shared" si="15"/>
        <v>586806.38571428566</v>
      </c>
      <c r="AD7" s="16">
        <f t="shared" si="16"/>
        <v>0</v>
      </c>
      <c r="AE7" s="17">
        <f t="shared" si="17"/>
        <v>51136.36363636364</v>
      </c>
      <c r="AF7" s="26">
        <f t="shared" si="7"/>
        <v>8705.8080808080813</v>
      </c>
      <c r="AG7" s="16">
        <f t="shared" si="18"/>
        <v>59842.171717171717</v>
      </c>
    </row>
    <row r="8" spans="1:33" x14ac:dyDescent="0.25">
      <c r="A8" s="14" t="s">
        <v>0</v>
      </c>
      <c r="B8" s="48">
        <v>230061</v>
      </c>
      <c r="C8" s="48" t="s">
        <v>111</v>
      </c>
      <c r="D8" s="48" t="s">
        <v>112</v>
      </c>
      <c r="E8" s="48" t="s">
        <v>113</v>
      </c>
      <c r="F8" s="14">
        <v>2023</v>
      </c>
      <c r="G8" s="14">
        <f>'Annual Cost Estimate'!E7</f>
        <v>2023</v>
      </c>
      <c r="H8" s="14" t="s">
        <v>187</v>
      </c>
      <c r="I8" s="15">
        <v>228</v>
      </c>
      <c r="J8" s="118">
        <f t="shared" si="8"/>
        <v>61560</v>
      </c>
      <c r="K8" s="118">
        <f t="shared" si="19"/>
        <v>0</v>
      </c>
      <c r="L8" s="118">
        <f t="shared" si="0"/>
        <v>11400</v>
      </c>
      <c r="M8" s="16">
        <f t="shared" si="9"/>
        <v>9804</v>
      </c>
      <c r="N8" s="15">
        <v>1000</v>
      </c>
      <c r="O8" s="189">
        <f t="shared" si="20"/>
        <v>25714.285714285714</v>
      </c>
      <c r="P8" s="15">
        <v>36</v>
      </c>
      <c r="Q8" s="119">
        <f t="shared" si="10"/>
        <v>47700</v>
      </c>
      <c r="R8" s="118">
        <f t="shared" si="1"/>
        <v>219600</v>
      </c>
      <c r="S8" s="118">
        <f t="shared" si="11"/>
        <v>8000</v>
      </c>
      <c r="T8" s="16">
        <f t="shared" si="2"/>
        <v>0</v>
      </c>
      <c r="U8" s="15">
        <v>100</v>
      </c>
      <c r="V8" s="118">
        <f t="shared" si="12"/>
        <v>28500</v>
      </c>
      <c r="W8" s="118">
        <f t="shared" si="3"/>
        <v>0</v>
      </c>
      <c r="X8" s="118">
        <f t="shared" si="13"/>
        <v>5000</v>
      </c>
      <c r="Y8" s="16">
        <f t="shared" si="14"/>
        <v>4300</v>
      </c>
      <c r="Z8" s="68">
        <f t="shared" si="4"/>
        <v>14560</v>
      </c>
      <c r="AA8" s="16">
        <f t="shared" si="5"/>
        <v>25480</v>
      </c>
      <c r="AB8" s="76">
        <f t="shared" si="6"/>
        <v>21441.599999999999</v>
      </c>
      <c r="AC8" s="76">
        <f t="shared" si="15"/>
        <v>483059.88571428566</v>
      </c>
      <c r="AD8" s="16">
        <f t="shared" si="16"/>
        <v>0</v>
      </c>
      <c r="AE8" s="17">
        <f t="shared" si="17"/>
        <v>51136.36363636364</v>
      </c>
      <c r="AF8" s="26">
        <f t="shared" si="7"/>
        <v>8340.2203856749311</v>
      </c>
      <c r="AG8" s="16">
        <f t="shared" si="18"/>
        <v>59476.584022038573</v>
      </c>
    </row>
    <row r="9" spans="1:33" x14ac:dyDescent="0.25">
      <c r="A9" s="14" t="s">
        <v>1</v>
      </c>
      <c r="B9" s="48">
        <v>230061</v>
      </c>
      <c r="C9" s="48" t="s">
        <v>159</v>
      </c>
      <c r="D9" s="48" t="s">
        <v>160</v>
      </c>
      <c r="E9" s="48" t="s">
        <v>161</v>
      </c>
      <c r="F9" s="14">
        <v>2025</v>
      </c>
      <c r="G9" s="14">
        <f>'Annual Cost Estimate'!E8</f>
        <v>2023</v>
      </c>
      <c r="H9" s="14" t="s">
        <v>187</v>
      </c>
      <c r="I9" s="15">
        <v>228</v>
      </c>
      <c r="J9" s="118">
        <f t="shared" si="8"/>
        <v>61560</v>
      </c>
      <c r="K9" s="118">
        <f t="shared" si="19"/>
        <v>0</v>
      </c>
      <c r="L9" s="118">
        <f t="shared" si="0"/>
        <v>11400</v>
      </c>
      <c r="M9" s="16">
        <f t="shared" si="9"/>
        <v>9804</v>
      </c>
      <c r="N9" s="15">
        <v>1000</v>
      </c>
      <c r="O9" s="189">
        <f t="shared" si="20"/>
        <v>25714.285714285714</v>
      </c>
      <c r="P9" s="15">
        <v>54</v>
      </c>
      <c r="Q9" s="119">
        <f t="shared" si="10"/>
        <v>71550</v>
      </c>
      <c r="R9" s="118">
        <f t="shared" si="1"/>
        <v>329400</v>
      </c>
      <c r="S9" s="118">
        <f t="shared" si="11"/>
        <v>8000</v>
      </c>
      <c r="T9" s="16">
        <f t="shared" si="2"/>
        <v>0</v>
      </c>
      <c r="U9" s="15">
        <v>100</v>
      </c>
      <c r="V9" s="118">
        <f t="shared" si="12"/>
        <v>28500</v>
      </c>
      <c r="W9" s="118">
        <f t="shared" si="3"/>
        <v>0</v>
      </c>
      <c r="X9" s="118">
        <f t="shared" si="13"/>
        <v>5000</v>
      </c>
      <c r="Y9" s="16">
        <f t="shared" si="14"/>
        <v>4300</v>
      </c>
      <c r="Z9" s="68">
        <f t="shared" si="4"/>
        <v>15280</v>
      </c>
      <c r="AA9" s="16">
        <f t="shared" si="5"/>
        <v>26740</v>
      </c>
      <c r="AB9" s="76">
        <f t="shared" si="6"/>
        <v>29460.6</v>
      </c>
      <c r="AC9" s="76">
        <f t="shared" si="15"/>
        <v>626708.88571428566</v>
      </c>
      <c r="AD9" s="16">
        <f t="shared" si="16"/>
        <v>0</v>
      </c>
      <c r="AE9" s="17">
        <f t="shared" si="17"/>
        <v>51136.36363636364</v>
      </c>
      <c r="AF9" s="26">
        <f t="shared" si="7"/>
        <v>8846.4187327823693</v>
      </c>
      <c r="AG9" s="16">
        <f t="shared" si="18"/>
        <v>59982.782369146007</v>
      </c>
    </row>
    <row r="10" spans="1:33" x14ac:dyDescent="0.25">
      <c r="A10" s="14" t="s">
        <v>2</v>
      </c>
      <c r="B10" s="48">
        <v>230061</v>
      </c>
      <c r="C10" s="48" t="s">
        <v>114</v>
      </c>
      <c r="D10" s="48" t="s">
        <v>115</v>
      </c>
      <c r="E10" s="48" t="s">
        <v>116</v>
      </c>
      <c r="F10" s="14">
        <v>2023</v>
      </c>
      <c r="G10" s="14">
        <f>'Annual Cost Estimate'!E9</f>
        <v>2023</v>
      </c>
      <c r="H10" s="14" t="s">
        <v>187</v>
      </c>
      <c r="I10" s="15">
        <v>228</v>
      </c>
      <c r="J10" s="118">
        <f t="shared" si="8"/>
        <v>61560</v>
      </c>
      <c r="K10" s="118">
        <f t="shared" si="19"/>
        <v>0</v>
      </c>
      <c r="L10" s="118">
        <f t="shared" si="0"/>
        <v>11400</v>
      </c>
      <c r="M10" s="16">
        <f t="shared" si="9"/>
        <v>9804</v>
      </c>
      <c r="N10" s="15">
        <v>1000</v>
      </c>
      <c r="O10" s="189">
        <f t="shared" si="20"/>
        <v>25714.285714285714</v>
      </c>
      <c r="P10" s="15">
        <v>48</v>
      </c>
      <c r="Q10" s="119">
        <f t="shared" si="10"/>
        <v>63600</v>
      </c>
      <c r="R10" s="118">
        <f t="shared" si="1"/>
        <v>292800</v>
      </c>
      <c r="S10" s="118">
        <f t="shared" si="11"/>
        <v>8000</v>
      </c>
      <c r="T10" s="16">
        <f t="shared" si="2"/>
        <v>0</v>
      </c>
      <c r="U10" s="15">
        <v>100</v>
      </c>
      <c r="V10" s="118">
        <f t="shared" si="12"/>
        <v>28500</v>
      </c>
      <c r="W10" s="118">
        <f t="shared" si="3"/>
        <v>0</v>
      </c>
      <c r="X10" s="118">
        <f t="shared" si="13"/>
        <v>5000</v>
      </c>
      <c r="Y10" s="16">
        <f t="shared" si="14"/>
        <v>4300</v>
      </c>
      <c r="Z10" s="68">
        <f t="shared" si="4"/>
        <v>15040</v>
      </c>
      <c r="AA10" s="16">
        <f t="shared" si="5"/>
        <v>26320</v>
      </c>
      <c r="AB10" s="76">
        <f t="shared" si="6"/>
        <v>26787.599999999999</v>
      </c>
      <c r="AC10" s="76">
        <f t="shared" si="15"/>
        <v>578825.88571428566</v>
      </c>
      <c r="AD10" s="16">
        <f t="shared" si="16"/>
        <v>0</v>
      </c>
      <c r="AE10" s="17">
        <f t="shared" si="17"/>
        <v>51136.36363636364</v>
      </c>
      <c r="AF10" s="26">
        <f t="shared" si="7"/>
        <v>8677.6859504132226</v>
      </c>
      <c r="AG10" s="16">
        <f t="shared" si="18"/>
        <v>59814.049586776862</v>
      </c>
    </row>
    <row r="11" spans="1:33" x14ac:dyDescent="0.25">
      <c r="A11" s="14" t="s">
        <v>3</v>
      </c>
      <c r="B11" s="48">
        <v>230061</v>
      </c>
      <c r="C11" s="48" t="s">
        <v>171</v>
      </c>
      <c r="D11" s="48" t="s">
        <v>172</v>
      </c>
      <c r="E11" s="48" t="s">
        <v>173</v>
      </c>
      <c r="F11" s="14">
        <v>2026</v>
      </c>
      <c r="G11" s="14">
        <f>'Annual Cost Estimate'!E10</f>
        <v>2023</v>
      </c>
      <c r="H11" s="14" t="s">
        <v>187</v>
      </c>
      <c r="I11" s="15">
        <v>228</v>
      </c>
      <c r="J11" s="118">
        <f t="shared" si="8"/>
        <v>61560</v>
      </c>
      <c r="K11" s="118">
        <f t="shared" si="19"/>
        <v>0</v>
      </c>
      <c r="L11" s="118">
        <f t="shared" si="0"/>
        <v>11400</v>
      </c>
      <c r="M11" s="16">
        <f t="shared" si="9"/>
        <v>9804</v>
      </c>
      <c r="N11" s="15">
        <v>1000</v>
      </c>
      <c r="O11" s="189">
        <f t="shared" si="20"/>
        <v>25714.285714285714</v>
      </c>
      <c r="P11" s="15">
        <v>56</v>
      </c>
      <c r="Q11" s="119">
        <f t="shared" si="10"/>
        <v>74200</v>
      </c>
      <c r="R11" s="118">
        <f t="shared" si="1"/>
        <v>341600</v>
      </c>
      <c r="S11" s="118">
        <f t="shared" si="11"/>
        <v>8000</v>
      </c>
      <c r="T11" s="16">
        <f t="shared" si="2"/>
        <v>0</v>
      </c>
      <c r="U11" s="15">
        <v>100</v>
      </c>
      <c r="V11" s="118">
        <f t="shared" si="12"/>
        <v>28500</v>
      </c>
      <c r="W11" s="118">
        <f t="shared" si="3"/>
        <v>0</v>
      </c>
      <c r="X11" s="118">
        <f t="shared" si="13"/>
        <v>5000</v>
      </c>
      <c r="Y11" s="16">
        <f t="shared" si="14"/>
        <v>4300</v>
      </c>
      <c r="Z11" s="68">
        <f t="shared" si="4"/>
        <v>15360</v>
      </c>
      <c r="AA11" s="16">
        <f t="shared" si="5"/>
        <v>26880</v>
      </c>
      <c r="AB11" s="76">
        <f t="shared" si="6"/>
        <v>30351.599999999999</v>
      </c>
      <c r="AC11" s="76">
        <f t="shared" si="15"/>
        <v>642669.88571428566</v>
      </c>
      <c r="AD11" s="16">
        <f t="shared" si="16"/>
        <v>0</v>
      </c>
      <c r="AE11" s="17">
        <f t="shared" si="17"/>
        <v>51136.36363636364</v>
      </c>
      <c r="AF11" s="26">
        <f t="shared" si="7"/>
        <v>8902.6629935720848</v>
      </c>
      <c r="AG11" s="16">
        <f t="shared" si="18"/>
        <v>60039.026629935724</v>
      </c>
    </row>
    <row r="12" spans="1:33" x14ac:dyDescent="0.25">
      <c r="A12" s="14" t="s">
        <v>17</v>
      </c>
      <c r="B12" s="48">
        <v>66426</v>
      </c>
      <c r="C12" s="48" t="s">
        <v>117</v>
      </c>
      <c r="D12" s="48" t="s">
        <v>118</v>
      </c>
      <c r="E12" s="48" t="s">
        <v>119</v>
      </c>
      <c r="F12" s="14">
        <v>2022</v>
      </c>
      <c r="G12" s="14">
        <f>'Annual Cost Estimate'!E11</f>
        <v>2022</v>
      </c>
      <c r="H12" s="14" t="s">
        <v>187</v>
      </c>
      <c r="I12" s="15">
        <v>228</v>
      </c>
      <c r="J12" s="118">
        <f t="shared" si="8"/>
        <v>61560</v>
      </c>
      <c r="K12" s="118">
        <f t="shared" si="19"/>
        <v>0</v>
      </c>
      <c r="L12" s="118">
        <f t="shared" si="0"/>
        <v>11400</v>
      </c>
      <c r="M12" s="16">
        <f t="shared" si="9"/>
        <v>9804</v>
      </c>
      <c r="N12" s="15">
        <v>1000</v>
      </c>
      <c r="O12" s="189">
        <f t="shared" si="20"/>
        <v>25714.285714285714</v>
      </c>
      <c r="P12" s="15">
        <v>33</v>
      </c>
      <c r="Q12" s="119">
        <f t="shared" si="10"/>
        <v>43725</v>
      </c>
      <c r="R12" s="118">
        <f t="shared" si="1"/>
        <v>201300</v>
      </c>
      <c r="S12" s="118">
        <f t="shared" si="11"/>
        <v>8000</v>
      </c>
      <c r="T12" s="16">
        <f t="shared" si="2"/>
        <v>0</v>
      </c>
      <c r="U12" s="15">
        <v>100</v>
      </c>
      <c r="V12" s="118">
        <f t="shared" si="12"/>
        <v>28500</v>
      </c>
      <c r="W12" s="118">
        <f t="shared" si="3"/>
        <v>0</v>
      </c>
      <c r="X12" s="118">
        <f t="shared" si="13"/>
        <v>5000</v>
      </c>
      <c r="Y12" s="16">
        <f t="shared" si="14"/>
        <v>4300</v>
      </c>
      <c r="Z12" s="68">
        <f t="shared" si="4"/>
        <v>14440</v>
      </c>
      <c r="AA12" s="16">
        <f t="shared" si="5"/>
        <v>25270</v>
      </c>
      <c r="AB12" s="76">
        <f t="shared" si="6"/>
        <v>20105.099999999999</v>
      </c>
      <c r="AC12" s="76">
        <f t="shared" si="15"/>
        <v>459118.38571428566</v>
      </c>
      <c r="AD12" s="16">
        <f t="shared" si="16"/>
        <v>0</v>
      </c>
      <c r="AE12" s="17">
        <f t="shared" si="17"/>
        <v>51136.36363636364</v>
      </c>
      <c r="AF12" s="26">
        <f t="shared" si="7"/>
        <v>8255.8539944903569</v>
      </c>
      <c r="AG12" s="16">
        <f t="shared" si="18"/>
        <v>59392.217630853993</v>
      </c>
    </row>
    <row r="13" spans="1:33" x14ac:dyDescent="0.25">
      <c r="A13" s="14" t="s">
        <v>4</v>
      </c>
      <c r="B13" s="48">
        <v>230608</v>
      </c>
      <c r="C13" s="48" t="s">
        <v>180</v>
      </c>
      <c r="D13" s="48" t="s">
        <v>181</v>
      </c>
      <c r="E13" s="48" t="s">
        <v>182</v>
      </c>
      <c r="F13" s="14">
        <v>2027</v>
      </c>
      <c r="G13" s="14">
        <f>'Annual Cost Estimate'!E12</f>
        <v>2026</v>
      </c>
      <c r="H13" s="14" t="s">
        <v>187</v>
      </c>
      <c r="I13" s="15">
        <v>228</v>
      </c>
      <c r="J13" s="118">
        <f t="shared" si="8"/>
        <v>61560</v>
      </c>
      <c r="K13" s="118">
        <f t="shared" si="19"/>
        <v>0</v>
      </c>
      <c r="L13" s="118">
        <f t="shared" si="0"/>
        <v>11400</v>
      </c>
      <c r="M13" s="16">
        <f t="shared" si="9"/>
        <v>9804</v>
      </c>
      <c r="N13" s="15">
        <v>1000</v>
      </c>
      <c r="O13" s="189">
        <f t="shared" si="20"/>
        <v>25714.285714285714</v>
      </c>
      <c r="P13" s="15">
        <v>53</v>
      </c>
      <c r="Q13" s="119">
        <f t="shared" si="10"/>
        <v>70225</v>
      </c>
      <c r="R13" s="118">
        <f t="shared" si="1"/>
        <v>323300</v>
      </c>
      <c r="S13" s="118">
        <f t="shared" si="11"/>
        <v>8000</v>
      </c>
      <c r="T13" s="16">
        <f t="shared" si="2"/>
        <v>0</v>
      </c>
      <c r="U13" s="15">
        <v>100</v>
      </c>
      <c r="V13" s="118">
        <f t="shared" si="12"/>
        <v>28500</v>
      </c>
      <c r="W13" s="118">
        <f t="shared" si="3"/>
        <v>0</v>
      </c>
      <c r="X13" s="118">
        <f t="shared" si="13"/>
        <v>5000</v>
      </c>
      <c r="Y13" s="16">
        <f t="shared" si="14"/>
        <v>4300</v>
      </c>
      <c r="Z13" s="68">
        <f t="shared" si="4"/>
        <v>15240</v>
      </c>
      <c r="AA13" s="16">
        <f t="shared" si="5"/>
        <v>26670</v>
      </c>
      <c r="AB13" s="76">
        <f t="shared" si="6"/>
        <v>29015.1</v>
      </c>
      <c r="AC13" s="76">
        <f t="shared" si="15"/>
        <v>618728.38571428566</v>
      </c>
      <c r="AD13" s="16">
        <f t="shared" si="16"/>
        <v>0</v>
      </c>
      <c r="AE13" s="17">
        <f t="shared" si="17"/>
        <v>51136.36363636364</v>
      </c>
      <c r="AF13" s="26">
        <f t="shared" si="7"/>
        <v>8818.2966023875124</v>
      </c>
      <c r="AG13" s="16">
        <f t="shared" si="18"/>
        <v>59954.660238751152</v>
      </c>
    </row>
    <row r="14" spans="1:33" x14ac:dyDescent="0.25">
      <c r="A14" s="14" t="s">
        <v>5</v>
      </c>
      <c r="B14" s="48">
        <v>230001</v>
      </c>
      <c r="C14" s="48" t="s">
        <v>120</v>
      </c>
      <c r="D14" s="48" t="s">
        <v>121</v>
      </c>
      <c r="E14" s="48" t="s">
        <v>122</v>
      </c>
      <c r="F14" s="14">
        <v>2023</v>
      </c>
      <c r="G14" s="14">
        <f>'Annual Cost Estimate'!E13</f>
        <v>2025</v>
      </c>
      <c r="H14" s="14" t="s">
        <v>187</v>
      </c>
      <c r="I14" s="15">
        <v>228</v>
      </c>
      <c r="J14" s="118">
        <f t="shared" si="8"/>
        <v>61560</v>
      </c>
      <c r="K14" s="118">
        <f t="shared" si="19"/>
        <v>0</v>
      </c>
      <c r="L14" s="118">
        <f t="shared" si="0"/>
        <v>11400</v>
      </c>
      <c r="M14" s="16">
        <f t="shared" si="9"/>
        <v>9804</v>
      </c>
      <c r="N14" s="15">
        <v>1000</v>
      </c>
      <c r="O14" s="189">
        <f t="shared" si="20"/>
        <v>25714.285714285714</v>
      </c>
      <c r="P14" s="15">
        <v>47</v>
      </c>
      <c r="Q14" s="119">
        <f t="shared" si="10"/>
        <v>62275</v>
      </c>
      <c r="R14" s="118">
        <f t="shared" si="1"/>
        <v>286700</v>
      </c>
      <c r="S14" s="118">
        <f t="shared" si="11"/>
        <v>8000</v>
      </c>
      <c r="T14" s="16">
        <f t="shared" si="2"/>
        <v>0</v>
      </c>
      <c r="U14" s="15">
        <v>100</v>
      </c>
      <c r="V14" s="118">
        <f t="shared" si="12"/>
        <v>28500</v>
      </c>
      <c r="W14" s="118">
        <f t="shared" si="3"/>
        <v>0</v>
      </c>
      <c r="X14" s="118">
        <f t="shared" si="13"/>
        <v>5000</v>
      </c>
      <c r="Y14" s="16">
        <f t="shared" si="14"/>
        <v>4300</v>
      </c>
      <c r="Z14" s="68">
        <f t="shared" si="4"/>
        <v>15000</v>
      </c>
      <c r="AA14" s="16">
        <f t="shared" si="5"/>
        <v>26250</v>
      </c>
      <c r="AB14" s="76">
        <f t="shared" si="6"/>
        <v>26342.1</v>
      </c>
      <c r="AC14" s="76">
        <f t="shared" si="15"/>
        <v>570845.38571428566</v>
      </c>
      <c r="AD14" s="16">
        <f t="shared" si="16"/>
        <v>0</v>
      </c>
      <c r="AE14" s="17">
        <f t="shared" si="17"/>
        <v>51136.36363636364</v>
      </c>
      <c r="AF14" s="26">
        <f t="shared" si="7"/>
        <v>8649.5638200183657</v>
      </c>
      <c r="AG14" s="16">
        <f t="shared" si="18"/>
        <v>59785.927456382007</v>
      </c>
    </row>
    <row r="15" spans="1:33" x14ac:dyDescent="0.25">
      <c r="A15" s="14" t="s">
        <v>6</v>
      </c>
      <c r="B15" s="48">
        <v>230001</v>
      </c>
      <c r="C15" s="48" t="s">
        <v>123</v>
      </c>
      <c r="D15" s="48" t="s">
        <v>124</v>
      </c>
      <c r="E15" s="48" t="s">
        <v>125</v>
      </c>
      <c r="F15" s="14">
        <v>2022</v>
      </c>
      <c r="G15" s="14">
        <f>'Annual Cost Estimate'!E14</f>
        <v>2025</v>
      </c>
      <c r="H15" s="14" t="s">
        <v>187</v>
      </c>
      <c r="I15" s="15">
        <v>228</v>
      </c>
      <c r="J15" s="118">
        <f t="shared" si="8"/>
        <v>61560</v>
      </c>
      <c r="K15" s="118">
        <f t="shared" si="19"/>
        <v>0</v>
      </c>
      <c r="L15" s="118">
        <f t="shared" si="0"/>
        <v>11400</v>
      </c>
      <c r="M15" s="16">
        <f t="shared" si="9"/>
        <v>9804</v>
      </c>
      <c r="N15" s="15">
        <v>1000</v>
      </c>
      <c r="O15" s="189">
        <f t="shared" si="20"/>
        <v>25714.285714285714</v>
      </c>
      <c r="P15" s="15">
        <v>47</v>
      </c>
      <c r="Q15" s="119">
        <f t="shared" si="10"/>
        <v>62275</v>
      </c>
      <c r="R15" s="118">
        <f t="shared" si="1"/>
        <v>286700</v>
      </c>
      <c r="S15" s="118">
        <f t="shared" si="11"/>
        <v>8000</v>
      </c>
      <c r="T15" s="16">
        <f t="shared" si="2"/>
        <v>0</v>
      </c>
      <c r="U15" s="15">
        <v>100</v>
      </c>
      <c r="V15" s="118">
        <f t="shared" si="12"/>
        <v>28500</v>
      </c>
      <c r="W15" s="118">
        <f t="shared" si="3"/>
        <v>0</v>
      </c>
      <c r="X15" s="118">
        <f t="shared" si="13"/>
        <v>5000</v>
      </c>
      <c r="Y15" s="16">
        <f t="shared" si="14"/>
        <v>4300</v>
      </c>
      <c r="Z15" s="68">
        <f t="shared" si="4"/>
        <v>15000</v>
      </c>
      <c r="AA15" s="16">
        <f t="shared" si="5"/>
        <v>26250</v>
      </c>
      <c r="AB15" s="76">
        <f t="shared" si="6"/>
        <v>26342.1</v>
      </c>
      <c r="AC15" s="76">
        <f t="shared" si="15"/>
        <v>570845.38571428566</v>
      </c>
      <c r="AD15" s="16">
        <f t="shared" si="16"/>
        <v>0</v>
      </c>
      <c r="AE15" s="17">
        <f t="shared" si="17"/>
        <v>51136.36363636364</v>
      </c>
      <c r="AF15" s="26">
        <f t="shared" si="7"/>
        <v>8649.5638200183657</v>
      </c>
      <c r="AG15" s="16">
        <f t="shared" si="18"/>
        <v>59785.927456382007</v>
      </c>
    </row>
    <row r="16" spans="1:33" x14ac:dyDescent="0.25">
      <c r="A16" s="121" t="s">
        <v>7</v>
      </c>
      <c r="B16" s="124">
        <v>66008</v>
      </c>
      <c r="C16" s="46" t="s">
        <v>187</v>
      </c>
      <c r="D16" s="46" t="s">
        <v>187</v>
      </c>
      <c r="E16" s="46" t="s">
        <v>187</v>
      </c>
      <c r="F16" s="18">
        <v>2024</v>
      </c>
      <c r="G16" s="18"/>
      <c r="H16" s="18" t="s">
        <v>193</v>
      </c>
      <c r="I16" s="19">
        <v>0</v>
      </c>
      <c r="J16" s="120">
        <f t="shared" si="8"/>
        <v>0</v>
      </c>
      <c r="K16" s="120">
        <f t="shared" si="19"/>
        <v>0</v>
      </c>
      <c r="L16" s="120">
        <f t="shared" si="0"/>
        <v>0</v>
      </c>
      <c r="M16" s="20">
        <f t="shared" si="9"/>
        <v>0</v>
      </c>
      <c r="N16" s="211">
        <v>0</v>
      </c>
      <c r="O16" s="164">
        <f t="shared" si="20"/>
        <v>0</v>
      </c>
      <c r="P16" s="19">
        <v>0</v>
      </c>
      <c r="Q16" s="176">
        <f t="shared" si="10"/>
        <v>0</v>
      </c>
      <c r="R16" s="120">
        <f t="shared" si="1"/>
        <v>0</v>
      </c>
      <c r="S16" s="120">
        <v>0</v>
      </c>
      <c r="T16" s="20">
        <f t="shared" si="2"/>
        <v>0</v>
      </c>
      <c r="U16" s="19">
        <v>0</v>
      </c>
      <c r="V16" s="120">
        <f t="shared" si="12"/>
        <v>0</v>
      </c>
      <c r="W16" s="120">
        <f t="shared" si="3"/>
        <v>0</v>
      </c>
      <c r="X16" s="120">
        <f t="shared" si="13"/>
        <v>0</v>
      </c>
      <c r="Y16" s="20">
        <f t="shared" si="14"/>
        <v>0</v>
      </c>
      <c r="Z16" s="69">
        <f t="shared" si="4"/>
        <v>0</v>
      </c>
      <c r="AA16" s="20">
        <f t="shared" si="5"/>
        <v>0</v>
      </c>
      <c r="AB16" s="77">
        <f t="shared" si="6"/>
        <v>0</v>
      </c>
      <c r="AC16" s="77">
        <f t="shared" si="15"/>
        <v>0</v>
      </c>
      <c r="AD16" s="20">
        <f t="shared" si="16"/>
        <v>0</v>
      </c>
      <c r="AE16" s="21">
        <v>0</v>
      </c>
      <c r="AF16" s="165">
        <v>0</v>
      </c>
      <c r="AG16" s="20">
        <f t="shared" si="18"/>
        <v>0</v>
      </c>
    </row>
    <row r="17" spans="1:33" x14ac:dyDescent="0.25">
      <c r="A17" s="121" t="s">
        <v>18</v>
      </c>
      <c r="B17" s="124">
        <v>230008</v>
      </c>
      <c r="C17" s="124" t="s">
        <v>147</v>
      </c>
      <c r="D17" s="124" t="s">
        <v>148</v>
      </c>
      <c r="E17" s="124" t="s">
        <v>149</v>
      </c>
      <c r="F17" s="18">
        <v>2023</v>
      </c>
      <c r="G17" s="18"/>
      <c r="H17" s="18" t="s">
        <v>194</v>
      </c>
      <c r="I17" s="19">
        <v>0</v>
      </c>
      <c r="J17" s="120">
        <f t="shared" si="8"/>
        <v>0</v>
      </c>
      <c r="K17" s="120">
        <f t="shared" si="19"/>
        <v>0</v>
      </c>
      <c r="L17" s="120">
        <f t="shared" si="0"/>
        <v>0</v>
      </c>
      <c r="M17" s="20">
        <f t="shared" si="9"/>
        <v>0</v>
      </c>
      <c r="N17" s="211">
        <v>0</v>
      </c>
      <c r="O17" s="164">
        <f t="shared" si="20"/>
        <v>0</v>
      </c>
      <c r="P17" s="19">
        <v>0</v>
      </c>
      <c r="Q17" s="176">
        <f t="shared" si="10"/>
        <v>0</v>
      </c>
      <c r="R17" s="120">
        <f t="shared" si="1"/>
        <v>0</v>
      </c>
      <c r="S17" s="120">
        <v>0</v>
      </c>
      <c r="T17" s="20">
        <f t="shared" si="2"/>
        <v>0</v>
      </c>
      <c r="U17" s="19">
        <v>0</v>
      </c>
      <c r="V17" s="120">
        <f t="shared" si="12"/>
        <v>0</v>
      </c>
      <c r="W17" s="120">
        <f t="shared" si="3"/>
        <v>0</v>
      </c>
      <c r="X17" s="120">
        <f t="shared" si="13"/>
        <v>0</v>
      </c>
      <c r="Y17" s="20">
        <f t="shared" si="14"/>
        <v>0</v>
      </c>
      <c r="Z17" s="69">
        <f t="shared" si="4"/>
        <v>0</v>
      </c>
      <c r="AA17" s="20">
        <f t="shared" si="5"/>
        <v>0</v>
      </c>
      <c r="AB17" s="77">
        <f t="shared" si="6"/>
        <v>0</v>
      </c>
      <c r="AC17" s="77">
        <f t="shared" si="15"/>
        <v>0</v>
      </c>
      <c r="AD17" s="20">
        <f t="shared" si="16"/>
        <v>0</v>
      </c>
      <c r="AE17" s="21">
        <v>0</v>
      </c>
      <c r="AF17" s="165">
        <v>0</v>
      </c>
      <c r="AG17" s="20">
        <f t="shared" si="18"/>
        <v>0</v>
      </c>
    </row>
    <row r="18" spans="1:33" x14ac:dyDescent="0.25">
      <c r="A18" s="206" t="s">
        <v>51</v>
      </c>
      <c r="B18" s="205">
        <v>230020</v>
      </c>
      <c r="C18" s="205" t="s">
        <v>104</v>
      </c>
      <c r="D18" s="205" t="s">
        <v>104</v>
      </c>
      <c r="E18" s="205" t="s">
        <v>104</v>
      </c>
      <c r="F18" s="14">
        <v>2029</v>
      </c>
      <c r="G18" s="14"/>
      <c r="H18" s="14" t="s">
        <v>187</v>
      </c>
      <c r="I18" s="15">
        <v>0</v>
      </c>
      <c r="J18" s="118">
        <f t="shared" si="8"/>
        <v>0</v>
      </c>
      <c r="K18" s="118">
        <f t="shared" si="19"/>
        <v>0</v>
      </c>
      <c r="L18" s="118">
        <f t="shared" si="0"/>
        <v>0</v>
      </c>
      <c r="M18" s="16">
        <f t="shared" si="9"/>
        <v>0</v>
      </c>
      <c r="N18" s="212">
        <v>0</v>
      </c>
      <c r="O18" s="189">
        <f t="shared" si="20"/>
        <v>0</v>
      </c>
      <c r="P18" s="15">
        <v>0</v>
      </c>
      <c r="Q18" s="48"/>
      <c r="R18" s="118">
        <f t="shared" si="1"/>
        <v>0</v>
      </c>
      <c r="S18" s="118">
        <v>0</v>
      </c>
      <c r="T18" s="16">
        <f t="shared" si="2"/>
        <v>0</v>
      </c>
      <c r="U18" s="15">
        <v>0</v>
      </c>
      <c r="V18" s="118">
        <f t="shared" si="12"/>
        <v>0</v>
      </c>
      <c r="W18" s="118">
        <f t="shared" si="3"/>
        <v>0</v>
      </c>
      <c r="X18" s="118">
        <f t="shared" si="13"/>
        <v>0</v>
      </c>
      <c r="Y18" s="16">
        <f t="shared" si="14"/>
        <v>0</v>
      </c>
      <c r="Z18" s="68">
        <f t="shared" si="4"/>
        <v>0</v>
      </c>
      <c r="AA18" s="16">
        <f t="shared" si="5"/>
        <v>0</v>
      </c>
      <c r="AB18" s="76">
        <f t="shared" si="6"/>
        <v>0</v>
      </c>
      <c r="AC18" s="76">
        <f t="shared" si="15"/>
        <v>0</v>
      </c>
      <c r="AD18" s="16">
        <f>$AD$3*AC18</f>
        <v>0</v>
      </c>
      <c r="AE18" s="17">
        <v>0</v>
      </c>
      <c r="AF18" s="175">
        <v>0</v>
      </c>
      <c r="AG18" s="16">
        <f t="shared" ref="AG18:AG28" si="21">SUM(AE18:AF18)</f>
        <v>0</v>
      </c>
    </row>
    <row r="19" spans="1:33" x14ac:dyDescent="0.25">
      <c r="A19" s="121" t="s">
        <v>52</v>
      </c>
      <c r="B19" s="124">
        <v>230401</v>
      </c>
      <c r="C19" s="124" t="s">
        <v>150</v>
      </c>
      <c r="D19" s="124" t="s">
        <v>151</v>
      </c>
      <c r="E19" s="124" t="s">
        <v>152</v>
      </c>
      <c r="F19" s="18">
        <v>2023</v>
      </c>
      <c r="G19" s="18"/>
      <c r="H19" s="18" t="s">
        <v>196</v>
      </c>
      <c r="I19" s="19">
        <v>0</v>
      </c>
      <c r="J19" s="120">
        <f t="shared" si="8"/>
        <v>0</v>
      </c>
      <c r="K19" s="120">
        <f t="shared" si="19"/>
        <v>0</v>
      </c>
      <c r="L19" s="120">
        <f t="shared" si="0"/>
        <v>0</v>
      </c>
      <c r="M19" s="20">
        <f t="shared" si="9"/>
        <v>0</v>
      </c>
      <c r="N19" s="211">
        <v>0</v>
      </c>
      <c r="O19" s="164">
        <f t="shared" si="20"/>
        <v>0</v>
      </c>
      <c r="P19" s="19">
        <v>0</v>
      </c>
      <c r="Q19" s="46"/>
      <c r="R19" s="120">
        <f t="shared" si="1"/>
        <v>0</v>
      </c>
      <c r="S19" s="120">
        <v>0</v>
      </c>
      <c r="T19" s="20">
        <f t="shared" si="2"/>
        <v>0</v>
      </c>
      <c r="U19" s="19">
        <v>0</v>
      </c>
      <c r="V19" s="120">
        <f t="shared" si="12"/>
        <v>0</v>
      </c>
      <c r="W19" s="120">
        <f t="shared" si="3"/>
        <v>0</v>
      </c>
      <c r="X19" s="120">
        <f t="shared" si="13"/>
        <v>0</v>
      </c>
      <c r="Y19" s="20">
        <f t="shared" si="14"/>
        <v>0</v>
      </c>
      <c r="Z19" s="69">
        <f t="shared" si="4"/>
        <v>0</v>
      </c>
      <c r="AA19" s="20">
        <f t="shared" si="5"/>
        <v>0</v>
      </c>
      <c r="AB19" s="77">
        <f t="shared" si="6"/>
        <v>0</v>
      </c>
      <c r="AC19" s="77">
        <f t="shared" si="15"/>
        <v>0</v>
      </c>
      <c r="AD19" s="20">
        <f t="shared" ref="AD19:AD28" si="22">$AD$3*AC19</f>
        <v>0</v>
      </c>
      <c r="AE19" s="21">
        <v>0</v>
      </c>
      <c r="AF19" s="44">
        <v>0</v>
      </c>
      <c r="AG19" s="20">
        <f t="shared" si="21"/>
        <v>0</v>
      </c>
    </row>
    <row r="20" spans="1:33" x14ac:dyDescent="0.25">
      <c r="A20" s="121" t="s">
        <v>53</v>
      </c>
      <c r="B20" s="124">
        <v>66008</v>
      </c>
      <c r="C20" s="124" t="s">
        <v>153</v>
      </c>
      <c r="D20" s="124" t="s">
        <v>154</v>
      </c>
      <c r="E20" s="124" t="s">
        <v>155</v>
      </c>
      <c r="F20" s="18">
        <v>2022</v>
      </c>
      <c r="G20" s="18"/>
      <c r="H20" s="18" t="s">
        <v>193</v>
      </c>
      <c r="I20" s="19">
        <v>0</v>
      </c>
      <c r="J20" s="164">
        <f t="shared" si="8"/>
        <v>0</v>
      </c>
      <c r="K20" s="164">
        <f t="shared" si="19"/>
        <v>0</v>
      </c>
      <c r="L20" s="164">
        <f t="shared" si="0"/>
        <v>0</v>
      </c>
      <c r="M20" s="20">
        <f t="shared" si="9"/>
        <v>0</v>
      </c>
      <c r="N20" s="211">
        <v>0</v>
      </c>
      <c r="O20" s="164">
        <f t="shared" si="20"/>
        <v>0</v>
      </c>
      <c r="P20" s="19">
        <v>0</v>
      </c>
      <c r="Q20" s="163"/>
      <c r="R20" s="164">
        <f t="shared" si="1"/>
        <v>0</v>
      </c>
      <c r="S20" s="164">
        <v>0</v>
      </c>
      <c r="T20" s="20">
        <f t="shared" si="2"/>
        <v>0</v>
      </c>
      <c r="U20" s="19">
        <v>0</v>
      </c>
      <c r="V20" s="164">
        <f t="shared" si="12"/>
        <v>0</v>
      </c>
      <c r="W20" s="164">
        <f t="shared" si="3"/>
        <v>0</v>
      </c>
      <c r="X20" s="164">
        <f t="shared" si="13"/>
        <v>0</v>
      </c>
      <c r="Y20" s="20">
        <f t="shared" si="14"/>
        <v>0</v>
      </c>
      <c r="Z20" s="69">
        <f t="shared" si="4"/>
        <v>0</v>
      </c>
      <c r="AA20" s="20">
        <f t="shared" si="5"/>
        <v>0</v>
      </c>
      <c r="AB20" s="77">
        <f t="shared" si="6"/>
        <v>0</v>
      </c>
      <c r="AC20" s="77">
        <f t="shared" si="15"/>
        <v>0</v>
      </c>
      <c r="AD20" s="20">
        <f t="shared" si="22"/>
        <v>0</v>
      </c>
      <c r="AE20" s="21">
        <v>0</v>
      </c>
      <c r="AF20" s="44">
        <v>0</v>
      </c>
      <c r="AG20" s="20">
        <f t="shared" si="21"/>
        <v>0</v>
      </c>
    </row>
    <row r="21" spans="1:33" x14ac:dyDescent="0.25">
      <c r="A21" s="166" t="s">
        <v>222</v>
      </c>
      <c r="B21" s="167">
        <v>230011</v>
      </c>
      <c r="C21" s="168" t="s">
        <v>104</v>
      </c>
      <c r="D21" s="168" t="s">
        <v>104</v>
      </c>
      <c r="E21" s="168" t="s">
        <v>104</v>
      </c>
      <c r="F21" s="166"/>
      <c r="G21" s="169">
        <f>'Annual Cost Estimate'!E20</f>
        <v>2028</v>
      </c>
      <c r="H21" s="169" t="s">
        <v>187</v>
      </c>
      <c r="I21" s="177">
        <v>228</v>
      </c>
      <c r="J21" s="170">
        <f t="shared" si="8"/>
        <v>61560</v>
      </c>
      <c r="K21" s="170">
        <f t="shared" si="19"/>
        <v>0</v>
      </c>
      <c r="L21" s="170">
        <f t="shared" si="0"/>
        <v>11400</v>
      </c>
      <c r="M21" s="174">
        <f t="shared" si="9"/>
        <v>9804</v>
      </c>
      <c r="N21" s="213">
        <v>1000</v>
      </c>
      <c r="O21" s="170">
        <f t="shared" si="20"/>
        <v>25714.285714285714</v>
      </c>
      <c r="P21" s="177">
        <v>34</v>
      </c>
      <c r="Q21" s="181">
        <f t="shared" ref="Q21:Q28" si="23">$Q$3*P21</f>
        <v>45050</v>
      </c>
      <c r="R21" s="170">
        <f t="shared" si="1"/>
        <v>207400</v>
      </c>
      <c r="S21" s="170">
        <f t="shared" ref="S21:S28" si="24">4*$S$3</f>
        <v>8000</v>
      </c>
      <c r="T21" s="174">
        <f t="shared" si="2"/>
        <v>0</v>
      </c>
      <c r="U21" s="177">
        <v>100</v>
      </c>
      <c r="V21" s="170">
        <f t="shared" si="12"/>
        <v>28500</v>
      </c>
      <c r="W21" s="170">
        <f t="shared" si="3"/>
        <v>0</v>
      </c>
      <c r="X21" s="170">
        <f t="shared" si="13"/>
        <v>5000</v>
      </c>
      <c r="Y21" s="174">
        <f t="shared" si="14"/>
        <v>4300</v>
      </c>
      <c r="Z21" s="183">
        <f t="shared" si="4"/>
        <v>14480</v>
      </c>
      <c r="AA21" s="174">
        <f t="shared" si="5"/>
        <v>25340</v>
      </c>
      <c r="AB21" s="171">
        <f t="shared" si="6"/>
        <v>20550.599999999999</v>
      </c>
      <c r="AC21" s="171">
        <f t="shared" si="15"/>
        <v>467098.88571428566</v>
      </c>
      <c r="AD21" s="171">
        <f t="shared" si="22"/>
        <v>0</v>
      </c>
      <c r="AE21" s="172">
        <f t="shared" ref="AE21:AE28" si="25">50000+(60000*(U21/5280))</f>
        <v>51136.36363636364</v>
      </c>
      <c r="AF21" s="173">
        <f t="shared" ref="AF21:AF28" si="26">((((228*16)/43560)+((P21*16)/43560))*0.5)*175000</f>
        <v>8420.5693296602385</v>
      </c>
      <c r="AG21" s="174">
        <f t="shared" si="21"/>
        <v>59556.93296602388</v>
      </c>
    </row>
    <row r="22" spans="1:33" x14ac:dyDescent="0.25">
      <c r="A22" s="166" t="s">
        <v>223</v>
      </c>
      <c r="B22" s="167">
        <v>230011</v>
      </c>
      <c r="C22" s="168" t="s">
        <v>104</v>
      </c>
      <c r="D22" s="168" t="s">
        <v>104</v>
      </c>
      <c r="E22" s="168" t="s">
        <v>104</v>
      </c>
      <c r="F22" s="169"/>
      <c r="G22" s="169">
        <f>'Annual Cost Estimate'!E21</f>
        <v>2028</v>
      </c>
      <c r="H22" s="169" t="s">
        <v>187</v>
      </c>
      <c r="I22" s="177">
        <v>228</v>
      </c>
      <c r="J22" s="170">
        <f t="shared" si="8"/>
        <v>61560</v>
      </c>
      <c r="K22" s="170">
        <f t="shared" si="19"/>
        <v>0</v>
      </c>
      <c r="L22" s="170">
        <f t="shared" si="0"/>
        <v>11400</v>
      </c>
      <c r="M22" s="174">
        <f t="shared" si="9"/>
        <v>9804</v>
      </c>
      <c r="N22" s="213">
        <v>1000</v>
      </c>
      <c r="O22" s="170">
        <f t="shared" si="20"/>
        <v>25714.285714285714</v>
      </c>
      <c r="P22" s="177">
        <v>71</v>
      </c>
      <c r="Q22" s="181">
        <f t="shared" si="23"/>
        <v>94075</v>
      </c>
      <c r="R22" s="170">
        <f t="shared" si="1"/>
        <v>433100</v>
      </c>
      <c r="S22" s="170">
        <f t="shared" si="24"/>
        <v>8000</v>
      </c>
      <c r="T22" s="174">
        <f t="shared" si="2"/>
        <v>0</v>
      </c>
      <c r="U22" s="177">
        <v>100</v>
      </c>
      <c r="V22" s="170">
        <f t="shared" si="12"/>
        <v>28500</v>
      </c>
      <c r="W22" s="170">
        <f t="shared" si="3"/>
        <v>0</v>
      </c>
      <c r="X22" s="170">
        <f t="shared" si="13"/>
        <v>5000</v>
      </c>
      <c r="Y22" s="174">
        <f t="shared" si="14"/>
        <v>4300</v>
      </c>
      <c r="Z22" s="183">
        <f t="shared" si="4"/>
        <v>15960</v>
      </c>
      <c r="AA22" s="174">
        <f t="shared" si="5"/>
        <v>27930</v>
      </c>
      <c r="AB22" s="171">
        <f t="shared" si="6"/>
        <v>37034.1</v>
      </c>
      <c r="AC22" s="171">
        <f t="shared" si="15"/>
        <v>762377.38571428566</v>
      </c>
      <c r="AD22" s="171">
        <f t="shared" si="22"/>
        <v>0</v>
      </c>
      <c r="AE22" s="172">
        <f t="shared" si="25"/>
        <v>51136.36363636364</v>
      </c>
      <c r="AF22" s="173">
        <f t="shared" si="26"/>
        <v>9609.7337006427915</v>
      </c>
      <c r="AG22" s="174">
        <f t="shared" si="21"/>
        <v>60746.097337006431</v>
      </c>
    </row>
    <row r="23" spans="1:33" x14ac:dyDescent="0.25">
      <c r="A23" s="209" t="s">
        <v>224</v>
      </c>
      <c r="B23" s="210">
        <v>66007</v>
      </c>
      <c r="C23" s="210" t="s">
        <v>104</v>
      </c>
      <c r="D23" s="210" t="s">
        <v>104</v>
      </c>
      <c r="E23" s="210" t="s">
        <v>104</v>
      </c>
      <c r="F23" s="169"/>
      <c r="G23" s="209">
        <f>'Annual Cost Estimate'!E22</f>
        <v>2030</v>
      </c>
      <c r="H23" s="169" t="s">
        <v>238</v>
      </c>
      <c r="I23" s="177">
        <v>0</v>
      </c>
      <c r="J23" s="170">
        <f t="shared" si="8"/>
        <v>0</v>
      </c>
      <c r="K23" s="170">
        <f t="shared" si="19"/>
        <v>0</v>
      </c>
      <c r="L23" s="170">
        <f t="shared" si="0"/>
        <v>0</v>
      </c>
      <c r="M23" s="174">
        <f t="shared" si="9"/>
        <v>0</v>
      </c>
      <c r="N23" s="213">
        <v>0</v>
      </c>
      <c r="O23" s="170">
        <f t="shared" si="20"/>
        <v>0</v>
      </c>
      <c r="P23" s="177">
        <v>0</v>
      </c>
      <c r="Q23" s="181">
        <f t="shared" si="23"/>
        <v>0</v>
      </c>
      <c r="R23" s="170">
        <f t="shared" si="1"/>
        <v>0</v>
      </c>
      <c r="S23" s="170">
        <v>0</v>
      </c>
      <c r="T23" s="174">
        <f t="shared" si="2"/>
        <v>0</v>
      </c>
      <c r="U23" s="177">
        <v>0</v>
      </c>
      <c r="V23" s="170">
        <f t="shared" si="12"/>
        <v>0</v>
      </c>
      <c r="W23" s="170">
        <f t="shared" si="3"/>
        <v>0</v>
      </c>
      <c r="X23" s="170">
        <f t="shared" si="13"/>
        <v>0</v>
      </c>
      <c r="Y23" s="174">
        <f t="shared" si="14"/>
        <v>0</v>
      </c>
      <c r="Z23" s="183">
        <f t="shared" si="4"/>
        <v>0</v>
      </c>
      <c r="AA23" s="174">
        <f t="shared" si="5"/>
        <v>0</v>
      </c>
      <c r="AB23" s="171">
        <f t="shared" si="6"/>
        <v>0</v>
      </c>
      <c r="AC23" s="171">
        <f t="shared" si="15"/>
        <v>0</v>
      </c>
      <c r="AD23" s="171">
        <f t="shared" si="22"/>
        <v>0</v>
      </c>
      <c r="AE23" s="172">
        <v>0</v>
      </c>
      <c r="AF23" s="173">
        <v>0</v>
      </c>
      <c r="AG23" s="174">
        <f t="shared" si="21"/>
        <v>0</v>
      </c>
    </row>
    <row r="24" spans="1:33" x14ac:dyDescent="0.25">
      <c r="A24" s="166" t="s">
        <v>225</v>
      </c>
      <c r="B24" s="167">
        <v>230005</v>
      </c>
      <c r="C24" s="168" t="s">
        <v>104</v>
      </c>
      <c r="D24" s="168" t="s">
        <v>104</v>
      </c>
      <c r="E24" s="168" t="s">
        <v>104</v>
      </c>
      <c r="F24" s="169"/>
      <c r="G24" s="169">
        <f>'Annual Cost Estimate'!E23</f>
        <v>2030</v>
      </c>
      <c r="H24" s="169" t="s">
        <v>187</v>
      </c>
      <c r="I24" s="177">
        <v>228</v>
      </c>
      <c r="J24" s="170">
        <f t="shared" si="8"/>
        <v>61560</v>
      </c>
      <c r="K24" s="170">
        <f t="shared" si="19"/>
        <v>0</v>
      </c>
      <c r="L24" s="170">
        <f t="shared" si="0"/>
        <v>11400</v>
      </c>
      <c r="M24" s="174">
        <f t="shared" si="9"/>
        <v>9804</v>
      </c>
      <c r="N24" s="213">
        <v>1000</v>
      </c>
      <c r="O24" s="170">
        <f t="shared" si="20"/>
        <v>25714.285714285714</v>
      </c>
      <c r="P24" s="177">
        <v>34</v>
      </c>
      <c r="Q24" s="181">
        <f t="shared" si="23"/>
        <v>45050</v>
      </c>
      <c r="R24" s="170">
        <f t="shared" si="1"/>
        <v>207400</v>
      </c>
      <c r="S24" s="170">
        <f t="shared" si="24"/>
        <v>8000</v>
      </c>
      <c r="T24" s="174">
        <f t="shared" si="2"/>
        <v>0</v>
      </c>
      <c r="U24" s="177">
        <v>100</v>
      </c>
      <c r="V24" s="170">
        <f t="shared" si="12"/>
        <v>28500</v>
      </c>
      <c r="W24" s="170">
        <f t="shared" si="3"/>
        <v>0</v>
      </c>
      <c r="X24" s="170">
        <f t="shared" si="13"/>
        <v>5000</v>
      </c>
      <c r="Y24" s="174">
        <f t="shared" si="14"/>
        <v>4300</v>
      </c>
      <c r="Z24" s="183">
        <f t="shared" si="4"/>
        <v>14480</v>
      </c>
      <c r="AA24" s="174">
        <f t="shared" si="5"/>
        <v>25340</v>
      </c>
      <c r="AB24" s="171">
        <f t="shared" si="6"/>
        <v>20550.599999999999</v>
      </c>
      <c r="AC24" s="171">
        <f t="shared" si="15"/>
        <v>467098.88571428566</v>
      </c>
      <c r="AD24" s="171">
        <f t="shared" si="22"/>
        <v>0</v>
      </c>
      <c r="AE24" s="172">
        <f t="shared" si="25"/>
        <v>51136.36363636364</v>
      </c>
      <c r="AF24" s="173">
        <f t="shared" si="26"/>
        <v>8420.5693296602385</v>
      </c>
      <c r="AG24" s="174">
        <f t="shared" si="21"/>
        <v>59556.93296602388</v>
      </c>
    </row>
    <row r="25" spans="1:33" x14ac:dyDescent="0.25">
      <c r="A25" s="166" t="s">
        <v>226</v>
      </c>
      <c r="B25" s="167">
        <v>230021</v>
      </c>
      <c r="C25" s="168" t="s">
        <v>104</v>
      </c>
      <c r="D25" s="168" t="s">
        <v>104</v>
      </c>
      <c r="E25" s="168" t="s">
        <v>104</v>
      </c>
      <c r="F25" s="169"/>
      <c r="G25" s="169">
        <f>'Annual Cost Estimate'!E24</f>
        <v>2030</v>
      </c>
      <c r="H25" s="169" t="s">
        <v>187</v>
      </c>
      <c r="I25" s="177">
        <v>228</v>
      </c>
      <c r="J25" s="170">
        <f t="shared" si="8"/>
        <v>61560</v>
      </c>
      <c r="K25" s="170">
        <f t="shared" si="19"/>
        <v>0</v>
      </c>
      <c r="L25" s="170">
        <f t="shared" si="0"/>
        <v>11400</v>
      </c>
      <c r="M25" s="174">
        <f t="shared" si="9"/>
        <v>9804</v>
      </c>
      <c r="N25" s="213">
        <v>1000</v>
      </c>
      <c r="O25" s="170">
        <f t="shared" si="20"/>
        <v>25714.285714285714</v>
      </c>
      <c r="P25" s="177">
        <v>46</v>
      </c>
      <c r="Q25" s="181">
        <f t="shared" si="23"/>
        <v>60950</v>
      </c>
      <c r="R25" s="170">
        <f t="shared" si="1"/>
        <v>280600</v>
      </c>
      <c r="S25" s="170">
        <f t="shared" si="24"/>
        <v>8000</v>
      </c>
      <c r="T25" s="174">
        <f t="shared" si="2"/>
        <v>0</v>
      </c>
      <c r="U25" s="177">
        <v>100</v>
      </c>
      <c r="V25" s="170">
        <f t="shared" si="12"/>
        <v>28500</v>
      </c>
      <c r="W25" s="170">
        <f t="shared" si="3"/>
        <v>0</v>
      </c>
      <c r="X25" s="170">
        <f t="shared" si="13"/>
        <v>5000</v>
      </c>
      <c r="Y25" s="174">
        <f t="shared" si="14"/>
        <v>4300</v>
      </c>
      <c r="Z25" s="183">
        <f t="shared" si="4"/>
        <v>14960</v>
      </c>
      <c r="AA25" s="174">
        <f t="shared" si="5"/>
        <v>26180</v>
      </c>
      <c r="AB25" s="171">
        <f t="shared" si="6"/>
        <v>25896.6</v>
      </c>
      <c r="AC25" s="171">
        <f t="shared" si="15"/>
        <v>562864.88571428566</v>
      </c>
      <c r="AD25" s="171">
        <f t="shared" si="22"/>
        <v>0</v>
      </c>
      <c r="AE25" s="172">
        <f t="shared" si="25"/>
        <v>51136.36363636364</v>
      </c>
      <c r="AF25" s="173">
        <f t="shared" si="26"/>
        <v>8806.2442607897156</v>
      </c>
      <c r="AG25" s="174">
        <f t="shared" si="21"/>
        <v>59942.607897153357</v>
      </c>
    </row>
    <row r="26" spans="1:33" x14ac:dyDescent="0.25">
      <c r="A26" s="166" t="s">
        <v>229</v>
      </c>
      <c r="B26" s="167">
        <v>230403</v>
      </c>
      <c r="C26" s="168" t="s">
        <v>104</v>
      </c>
      <c r="D26" s="168" t="s">
        <v>104</v>
      </c>
      <c r="E26" s="168" t="s">
        <v>104</v>
      </c>
      <c r="F26" s="166"/>
      <c r="G26" s="169">
        <f>'Annual Cost Estimate'!E25</f>
        <v>2029</v>
      </c>
      <c r="H26" s="169" t="s">
        <v>187</v>
      </c>
      <c r="I26" s="177">
        <v>228</v>
      </c>
      <c r="J26" s="170">
        <f t="shared" si="8"/>
        <v>61560</v>
      </c>
      <c r="K26" s="170">
        <f t="shared" si="19"/>
        <v>0</v>
      </c>
      <c r="L26" s="170">
        <f t="shared" si="0"/>
        <v>11400</v>
      </c>
      <c r="M26" s="174">
        <f t="shared" si="9"/>
        <v>9804</v>
      </c>
      <c r="N26" s="213">
        <v>1000</v>
      </c>
      <c r="O26" s="170">
        <f t="shared" si="20"/>
        <v>25714.285714285714</v>
      </c>
      <c r="P26" s="177">
        <v>48</v>
      </c>
      <c r="Q26" s="181">
        <f t="shared" si="23"/>
        <v>63600</v>
      </c>
      <c r="R26" s="170">
        <f t="shared" si="1"/>
        <v>292800</v>
      </c>
      <c r="S26" s="170">
        <f t="shared" si="24"/>
        <v>8000</v>
      </c>
      <c r="T26" s="174">
        <f>(G27-$G$3)*$K$3*(Q26+R26)</f>
        <v>0</v>
      </c>
      <c r="U26" s="177">
        <v>100</v>
      </c>
      <c r="V26" s="170">
        <f t="shared" si="12"/>
        <v>28500</v>
      </c>
      <c r="W26" s="170">
        <f t="shared" si="3"/>
        <v>0</v>
      </c>
      <c r="X26" s="170">
        <f t="shared" si="13"/>
        <v>5000</v>
      </c>
      <c r="Y26" s="174">
        <f t="shared" si="14"/>
        <v>4300</v>
      </c>
      <c r="Z26" s="183">
        <f t="shared" si="4"/>
        <v>15040</v>
      </c>
      <c r="AA26" s="174">
        <f t="shared" si="5"/>
        <v>26320</v>
      </c>
      <c r="AB26" s="171">
        <f t="shared" si="6"/>
        <v>26787.599999999999</v>
      </c>
      <c r="AC26" s="171">
        <f t="shared" si="15"/>
        <v>578825.88571428566</v>
      </c>
      <c r="AD26" s="171">
        <f t="shared" si="22"/>
        <v>0</v>
      </c>
      <c r="AE26" s="172">
        <f t="shared" si="25"/>
        <v>51136.36363636364</v>
      </c>
      <c r="AF26" s="173">
        <f t="shared" si="26"/>
        <v>8870.5234159779611</v>
      </c>
      <c r="AG26" s="174">
        <f t="shared" si="21"/>
        <v>60006.887052341597</v>
      </c>
    </row>
    <row r="27" spans="1:33" x14ac:dyDescent="0.25">
      <c r="A27" s="166" t="s">
        <v>227</v>
      </c>
      <c r="B27" s="167">
        <v>66024</v>
      </c>
      <c r="C27" s="168" t="s">
        <v>104</v>
      </c>
      <c r="D27" s="168" t="s">
        <v>104</v>
      </c>
      <c r="E27" s="168" t="s">
        <v>104</v>
      </c>
      <c r="F27" s="169"/>
      <c r="G27" s="169">
        <f>'Annual Cost Estimate'!E26</f>
        <v>2029</v>
      </c>
      <c r="H27" s="169" t="s">
        <v>187</v>
      </c>
      <c r="I27" s="177">
        <v>228</v>
      </c>
      <c r="J27" s="170">
        <f t="shared" si="8"/>
        <v>61560</v>
      </c>
      <c r="K27" s="170">
        <f t="shared" si="19"/>
        <v>0</v>
      </c>
      <c r="L27" s="170">
        <f t="shared" si="0"/>
        <v>11400</v>
      </c>
      <c r="M27" s="174">
        <f t="shared" si="9"/>
        <v>9804</v>
      </c>
      <c r="N27" s="213">
        <v>1000</v>
      </c>
      <c r="O27" s="170">
        <f t="shared" si="20"/>
        <v>25714.285714285714</v>
      </c>
      <c r="P27" s="177">
        <v>46</v>
      </c>
      <c r="Q27" s="181">
        <f t="shared" si="23"/>
        <v>60950</v>
      </c>
      <c r="R27" s="170">
        <f t="shared" si="1"/>
        <v>280600</v>
      </c>
      <c r="S27" s="170">
        <f t="shared" si="24"/>
        <v>8000</v>
      </c>
      <c r="T27" s="174">
        <f>(G28-$G$3)*$K$3*(Q27+R27)</f>
        <v>0</v>
      </c>
      <c r="U27" s="177">
        <v>100</v>
      </c>
      <c r="V27" s="170">
        <f t="shared" si="12"/>
        <v>28500</v>
      </c>
      <c r="W27" s="170">
        <f t="shared" si="3"/>
        <v>0</v>
      </c>
      <c r="X27" s="170">
        <f t="shared" si="13"/>
        <v>5000</v>
      </c>
      <c r="Y27" s="174">
        <f t="shared" si="14"/>
        <v>4300</v>
      </c>
      <c r="Z27" s="183">
        <f t="shared" si="4"/>
        <v>14960</v>
      </c>
      <c r="AA27" s="174">
        <f t="shared" si="5"/>
        <v>26180</v>
      </c>
      <c r="AB27" s="171">
        <f t="shared" si="6"/>
        <v>25896.6</v>
      </c>
      <c r="AC27" s="171">
        <f t="shared" si="15"/>
        <v>562864.88571428566</v>
      </c>
      <c r="AD27" s="171">
        <f t="shared" si="22"/>
        <v>0</v>
      </c>
      <c r="AE27" s="172">
        <f t="shared" si="25"/>
        <v>51136.36363636364</v>
      </c>
      <c r="AF27" s="173">
        <f t="shared" si="26"/>
        <v>8806.2442607897156</v>
      </c>
      <c r="AG27" s="174">
        <f t="shared" si="21"/>
        <v>59942.607897153357</v>
      </c>
    </row>
    <row r="28" spans="1:33" ht="15.75" thickBot="1" x14ac:dyDescent="0.3">
      <c r="A28" s="166" t="s">
        <v>228</v>
      </c>
      <c r="B28" s="167">
        <v>230021</v>
      </c>
      <c r="C28" s="168" t="s">
        <v>104</v>
      </c>
      <c r="D28" s="168" t="s">
        <v>104</v>
      </c>
      <c r="E28" s="168" t="s">
        <v>104</v>
      </c>
      <c r="F28" s="169"/>
      <c r="G28" s="169">
        <f>'Annual Cost Estimate'!E27</f>
        <v>2029</v>
      </c>
      <c r="H28" s="169" t="s">
        <v>187</v>
      </c>
      <c r="I28" s="178">
        <v>228</v>
      </c>
      <c r="J28" s="179">
        <f t="shared" si="8"/>
        <v>61560</v>
      </c>
      <c r="K28" s="179">
        <f t="shared" si="19"/>
        <v>0</v>
      </c>
      <c r="L28" s="179">
        <f t="shared" si="0"/>
        <v>11400</v>
      </c>
      <c r="M28" s="180">
        <f t="shared" si="9"/>
        <v>9804</v>
      </c>
      <c r="N28" s="214">
        <v>1000</v>
      </c>
      <c r="O28" s="180">
        <f t="shared" si="20"/>
        <v>25714.285714285714</v>
      </c>
      <c r="P28" s="178">
        <v>42</v>
      </c>
      <c r="Q28" s="182">
        <f t="shared" si="23"/>
        <v>55650</v>
      </c>
      <c r="R28" s="179">
        <f t="shared" si="1"/>
        <v>256200</v>
      </c>
      <c r="S28" s="179">
        <f t="shared" si="24"/>
        <v>8000</v>
      </c>
      <c r="T28" s="180"/>
      <c r="U28" s="178">
        <v>100</v>
      </c>
      <c r="V28" s="179">
        <f t="shared" si="12"/>
        <v>28500</v>
      </c>
      <c r="W28" s="179">
        <f t="shared" si="3"/>
        <v>0</v>
      </c>
      <c r="X28" s="179">
        <f t="shared" si="13"/>
        <v>5000</v>
      </c>
      <c r="Y28" s="180">
        <f t="shared" si="14"/>
        <v>4300</v>
      </c>
      <c r="Z28" s="184">
        <f t="shared" si="4"/>
        <v>14800</v>
      </c>
      <c r="AA28" s="180">
        <f t="shared" si="5"/>
        <v>25900</v>
      </c>
      <c r="AB28" s="185">
        <f t="shared" si="6"/>
        <v>24114.6</v>
      </c>
      <c r="AC28" s="185">
        <f t="shared" si="15"/>
        <v>530942.88571428566</v>
      </c>
      <c r="AD28" s="185">
        <f t="shared" si="22"/>
        <v>0</v>
      </c>
      <c r="AE28" s="186">
        <f t="shared" si="25"/>
        <v>51136.36363636364</v>
      </c>
      <c r="AF28" s="187">
        <f t="shared" si="26"/>
        <v>8677.6859504132226</v>
      </c>
      <c r="AG28" s="180">
        <f t="shared" si="21"/>
        <v>59814.049586776862</v>
      </c>
    </row>
    <row r="29" spans="1:33" x14ac:dyDescent="0.25">
      <c r="I29" s="111">
        <f t="shared" ref="I29:AG29" si="27">SUM(I4:I28)</f>
        <v>4582</v>
      </c>
      <c r="J29" s="81">
        <f t="shared" si="27"/>
        <v>1237140</v>
      </c>
      <c r="K29" s="81">
        <f t="shared" si="27"/>
        <v>0</v>
      </c>
      <c r="L29" s="81">
        <f t="shared" si="27"/>
        <v>229100</v>
      </c>
      <c r="M29" s="81">
        <f t="shared" si="27"/>
        <v>197026</v>
      </c>
      <c r="N29" s="81"/>
      <c r="O29" s="81">
        <f>SUM(O4:O28)</f>
        <v>488571.42857142875</v>
      </c>
      <c r="P29" s="111">
        <f t="shared" si="27"/>
        <v>933</v>
      </c>
      <c r="Q29" s="81">
        <f t="shared" si="27"/>
        <v>1236225</v>
      </c>
      <c r="R29" s="81">
        <f t="shared" si="27"/>
        <v>5691300</v>
      </c>
      <c r="S29" s="81">
        <f t="shared" si="27"/>
        <v>152000</v>
      </c>
      <c r="T29" s="81">
        <f t="shared" si="27"/>
        <v>0</v>
      </c>
      <c r="U29" s="111">
        <f t="shared" si="27"/>
        <v>1900</v>
      </c>
      <c r="V29" s="81">
        <f t="shared" si="27"/>
        <v>541500</v>
      </c>
      <c r="W29" s="81">
        <f t="shared" si="27"/>
        <v>0</v>
      </c>
      <c r="X29" s="81">
        <f t="shared" si="27"/>
        <v>95000</v>
      </c>
      <c r="Y29" s="81">
        <f t="shared" si="27"/>
        <v>81700</v>
      </c>
      <c r="Z29" s="81">
        <f t="shared" si="27"/>
        <v>296600</v>
      </c>
      <c r="AA29" s="81">
        <f t="shared" si="27"/>
        <v>519050</v>
      </c>
      <c r="AB29" s="81">
        <f t="shared" si="27"/>
        <v>522369.89999999979</v>
      </c>
      <c r="AC29" s="13">
        <f t="shared" si="27"/>
        <v>11287582.328571426</v>
      </c>
      <c r="AD29" s="64">
        <f t="shared" si="27"/>
        <v>0</v>
      </c>
      <c r="AE29" s="64">
        <f t="shared" si="27"/>
        <v>971590.90909090918</v>
      </c>
      <c r="AF29" s="64">
        <f t="shared" si="27"/>
        <v>166756.19834710742</v>
      </c>
      <c r="AG29" s="13">
        <f t="shared" si="27"/>
        <v>1138347.1074380165</v>
      </c>
    </row>
    <row r="30" spans="1:33" x14ac:dyDescent="0.25">
      <c r="R30" s="58"/>
      <c r="S30" s="58"/>
      <c r="T30" s="58"/>
      <c r="Y30" s="65"/>
      <c r="Z30" s="65"/>
      <c r="AA30" s="65"/>
      <c r="AB30" s="65"/>
      <c r="AC30" s="13">
        <f>AC29+AG29</f>
        <v>12425929.436009442</v>
      </c>
      <c r="AD30" s="3" t="s">
        <v>25</v>
      </c>
    </row>
    <row r="31" spans="1:33" x14ac:dyDescent="0.25">
      <c r="H31" s="64"/>
      <c r="M31" s="64"/>
      <c r="N31" s="64"/>
      <c r="O31" s="64"/>
      <c r="AC31" s="13"/>
    </row>
    <row r="32" spans="1:33" x14ac:dyDescent="0.25">
      <c r="H32" s="64"/>
      <c r="V32" s="65"/>
      <c r="W32" s="65"/>
      <c r="AC32" s="13"/>
    </row>
    <row r="33" spans="1:32" x14ac:dyDescent="0.25">
      <c r="H33" s="64"/>
      <c r="AE33" s="65"/>
      <c r="AF33" s="65"/>
    </row>
    <row r="34" spans="1:32" x14ac:dyDescent="0.25">
      <c r="A34" s="28" t="s">
        <v>34</v>
      </c>
      <c r="B34" s="3" t="s">
        <v>56</v>
      </c>
      <c r="K34" s="236" t="s">
        <v>36</v>
      </c>
      <c r="L34" s="236"/>
      <c r="T34" s="64"/>
      <c r="AF34" s="65"/>
    </row>
    <row r="35" spans="1:32" x14ac:dyDescent="0.25">
      <c r="B35" s="3" t="s">
        <v>45</v>
      </c>
      <c r="K35" s="236"/>
      <c r="L35" s="236"/>
      <c r="AC35" s="65"/>
    </row>
    <row r="36" spans="1:32" x14ac:dyDescent="0.25">
      <c r="B36" s="3" t="s">
        <v>35</v>
      </c>
      <c r="K36" s="236"/>
      <c r="L36" s="236"/>
      <c r="AC36" s="65"/>
    </row>
    <row r="37" spans="1:32" x14ac:dyDescent="0.25">
      <c r="B37" s="3" t="s">
        <v>44</v>
      </c>
    </row>
    <row r="38" spans="1:32" x14ac:dyDescent="0.25">
      <c r="B38" s="3" t="s">
        <v>50</v>
      </c>
      <c r="AC38" s="64"/>
    </row>
    <row r="39" spans="1:32" x14ac:dyDescent="0.25">
      <c r="B39" s="3" t="s">
        <v>57</v>
      </c>
      <c r="AC39" s="64"/>
    </row>
    <row r="40" spans="1:32" x14ac:dyDescent="0.25">
      <c r="B40" s="3" t="s">
        <v>60</v>
      </c>
    </row>
  </sheetData>
  <mergeCells count="8">
    <mergeCell ref="Z1:AA1"/>
    <mergeCell ref="AE1:AG1"/>
    <mergeCell ref="K34:K36"/>
    <mergeCell ref="L34:L36"/>
    <mergeCell ref="I1:M1"/>
    <mergeCell ref="P1:T1"/>
    <mergeCell ref="U1:Y1"/>
    <mergeCell ref="N1:O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0195-DE5F-4238-ACEB-4332B15E93E4}">
  <dimension ref="A1:AE44"/>
  <sheetViews>
    <sheetView workbookViewId="0">
      <selection activeCell="AA20" sqref="AA20"/>
    </sheetView>
  </sheetViews>
  <sheetFormatPr defaultRowHeight="15" x14ac:dyDescent="0.25"/>
  <cols>
    <col min="1" max="1" width="40.140625" bestFit="1" customWidth="1"/>
    <col min="2" max="2" width="13.85546875" bestFit="1" customWidth="1"/>
    <col min="3" max="3" width="11.28515625" bestFit="1" customWidth="1"/>
    <col min="4" max="4" width="13.28515625" bestFit="1" customWidth="1"/>
    <col min="5" max="5" width="10.7109375" style="31" customWidth="1"/>
    <col min="6" max="8" width="10.7109375" customWidth="1"/>
    <col min="9" max="9" width="23.28515625" bestFit="1" customWidth="1"/>
    <col min="10" max="22" width="15.7109375" customWidth="1"/>
    <col min="23" max="24" width="15.7109375" style="3" customWidth="1"/>
    <col min="25" max="25" width="18.140625" style="3" customWidth="1"/>
    <col min="26" max="27" width="15.7109375" customWidth="1"/>
    <col min="28" max="30" width="20.7109375" customWidth="1"/>
  </cols>
  <sheetData>
    <row r="1" spans="1:31" s="111" customFormat="1" ht="48" thickBot="1" x14ac:dyDescent="0.3">
      <c r="B1" s="127"/>
      <c r="C1" s="127"/>
      <c r="D1" s="127"/>
      <c r="E1" s="30"/>
      <c r="G1" s="129"/>
      <c r="I1" s="129"/>
      <c r="J1" s="242" t="s">
        <v>28</v>
      </c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4"/>
      <c r="V1" s="63" t="s">
        <v>39</v>
      </c>
      <c r="W1" s="231" t="s">
        <v>64</v>
      </c>
      <c r="X1" s="240"/>
      <c r="Y1" s="73" t="s">
        <v>65</v>
      </c>
      <c r="Z1" s="85"/>
      <c r="AA1" s="89"/>
      <c r="AB1" s="242" t="s">
        <v>32</v>
      </c>
      <c r="AC1" s="243"/>
      <c r="AD1" s="244"/>
    </row>
    <row r="2" spans="1:31" s="111" customFormat="1" ht="30" x14ac:dyDescent="0.25">
      <c r="B2" s="127"/>
      <c r="C2" s="127"/>
      <c r="D2" s="127"/>
      <c r="E2" s="30"/>
      <c r="G2" s="129"/>
      <c r="I2" s="129"/>
      <c r="J2" s="245" t="s">
        <v>19</v>
      </c>
      <c r="K2" s="246"/>
      <c r="L2" s="246"/>
      <c r="M2" s="246"/>
      <c r="N2" s="246"/>
      <c r="O2" s="246"/>
      <c r="P2" s="246"/>
      <c r="Q2" s="250" t="s">
        <v>242</v>
      </c>
      <c r="R2" s="250"/>
      <c r="S2" s="23" t="s">
        <v>67</v>
      </c>
      <c r="T2" s="113" t="s">
        <v>10</v>
      </c>
      <c r="U2" s="60" t="s">
        <v>11</v>
      </c>
      <c r="V2" s="61" t="s">
        <v>40</v>
      </c>
      <c r="W2" s="66" t="s">
        <v>62</v>
      </c>
      <c r="X2" s="82" t="s">
        <v>63</v>
      </c>
      <c r="Y2" s="74" t="s">
        <v>68</v>
      </c>
      <c r="Z2" s="36"/>
      <c r="AA2" s="12"/>
      <c r="AB2" s="112" t="s">
        <v>21</v>
      </c>
      <c r="AC2" s="113" t="s">
        <v>22</v>
      </c>
      <c r="AD2" s="32"/>
    </row>
    <row r="3" spans="1:31" s="111" customFormat="1" ht="45" x14ac:dyDescent="0.25">
      <c r="B3" s="82" t="s">
        <v>98</v>
      </c>
      <c r="C3" s="82" t="s">
        <v>99</v>
      </c>
      <c r="D3" s="82" t="s">
        <v>100</v>
      </c>
      <c r="E3" s="30"/>
      <c r="G3" s="82" t="s">
        <v>192</v>
      </c>
      <c r="H3" s="82" t="s">
        <v>191</v>
      </c>
      <c r="I3" s="82" t="s">
        <v>195</v>
      </c>
      <c r="J3" s="247" t="s">
        <v>38</v>
      </c>
      <c r="K3" s="248"/>
      <c r="L3" s="2" t="s">
        <v>31</v>
      </c>
      <c r="M3" s="2" t="s">
        <v>43</v>
      </c>
      <c r="N3" s="2" t="s">
        <v>69</v>
      </c>
      <c r="O3" s="2" t="s">
        <v>71</v>
      </c>
      <c r="P3" s="2" t="s">
        <v>72</v>
      </c>
      <c r="Q3" s="215" t="s">
        <v>240</v>
      </c>
      <c r="R3" s="215" t="s">
        <v>241</v>
      </c>
      <c r="S3" s="111" t="s">
        <v>97</v>
      </c>
      <c r="T3" s="236"/>
      <c r="U3" s="249"/>
      <c r="V3" s="36"/>
      <c r="W3" s="10"/>
      <c r="X3" s="8"/>
      <c r="Y3" s="75"/>
      <c r="Z3" s="86" t="s">
        <v>221</v>
      </c>
      <c r="AA3" s="71" t="s">
        <v>58</v>
      </c>
      <c r="AB3" s="12"/>
      <c r="AD3" s="62" t="s">
        <v>12</v>
      </c>
    </row>
    <row r="4" spans="1:31" s="2" customFormat="1" ht="15" customHeight="1" x14ac:dyDescent="0.25">
      <c r="A4" s="2" t="s">
        <v>37</v>
      </c>
      <c r="B4" s="128"/>
      <c r="C4" s="128"/>
      <c r="D4" s="128"/>
      <c r="E4" s="56" t="s">
        <v>30</v>
      </c>
      <c r="F4" s="57" t="s">
        <v>29</v>
      </c>
      <c r="G4" s="4">
        <v>2022</v>
      </c>
      <c r="H4" s="4">
        <v>2022</v>
      </c>
      <c r="I4" s="4"/>
      <c r="J4" s="33">
        <v>110</v>
      </c>
      <c r="K4" s="59">
        <v>30</v>
      </c>
      <c r="L4" s="34">
        <v>155</v>
      </c>
      <c r="M4" s="34">
        <v>430</v>
      </c>
      <c r="N4" s="34">
        <v>25000</v>
      </c>
      <c r="O4" s="34">
        <v>2500</v>
      </c>
      <c r="P4" s="34">
        <v>1500</v>
      </c>
      <c r="Q4" s="216"/>
      <c r="R4" s="217">
        <v>6</v>
      </c>
      <c r="S4" s="90">
        <v>0</v>
      </c>
      <c r="T4" s="34">
        <v>10</v>
      </c>
      <c r="U4" s="35">
        <v>10</v>
      </c>
      <c r="V4" s="37">
        <v>5</v>
      </c>
      <c r="W4" s="122">
        <v>10</v>
      </c>
      <c r="X4" s="65">
        <v>8</v>
      </c>
      <c r="Y4" s="116">
        <v>0.06</v>
      </c>
      <c r="Z4" s="37"/>
      <c r="AA4" s="72">
        <v>0</v>
      </c>
      <c r="AB4" s="12" t="s">
        <v>42</v>
      </c>
      <c r="AC4" s="111" t="s">
        <v>54</v>
      </c>
      <c r="AD4" s="35"/>
    </row>
    <row r="5" spans="1:31" x14ac:dyDescent="0.25">
      <c r="A5" s="48">
        <v>230623</v>
      </c>
      <c r="B5" s="48" t="s">
        <v>126</v>
      </c>
      <c r="C5" s="48" t="s">
        <v>127</v>
      </c>
      <c r="D5" s="48" t="s">
        <v>128</v>
      </c>
      <c r="E5" s="49">
        <f>1142-731</f>
        <v>411</v>
      </c>
      <c r="F5" s="50">
        <f t="shared" ref="F5:F33" si="0">(E5*14)/43560</f>
        <v>0.13209366391184574</v>
      </c>
      <c r="G5" s="88">
        <v>2022</v>
      </c>
      <c r="H5" s="88">
        <f>'Annual Cost Estimate'!E30</f>
        <v>2027</v>
      </c>
      <c r="I5" s="88" t="s">
        <v>187</v>
      </c>
      <c r="J5" s="51">
        <f t="shared" ref="J5:J33" si="1">$J$4*(E5*0.825)</f>
        <v>37298.25</v>
      </c>
      <c r="K5" s="125">
        <f t="shared" ref="K5:K33" si="2">$K$4*(E5*0.825)</f>
        <v>10172.25</v>
      </c>
      <c r="L5" s="125">
        <f t="shared" ref="L5:L33" si="3">$L$4*(E5*0.15)</f>
        <v>9555.75</v>
      </c>
      <c r="M5" s="125">
        <f t="shared" ref="M5:M33" si="4">$M$4*(E5*0.025)</f>
        <v>4418.25</v>
      </c>
      <c r="N5" s="125">
        <f>1*$N$4</f>
        <v>25000</v>
      </c>
      <c r="O5" s="125">
        <f>1*$O$4</f>
        <v>2500</v>
      </c>
      <c r="P5" s="125">
        <f>1*$P$4</f>
        <v>1500</v>
      </c>
      <c r="Q5" s="222">
        <v>1000</v>
      </c>
      <c r="R5" s="218">
        <f>$R$4*(Q5/7)*30</f>
        <v>25714.285714285714</v>
      </c>
      <c r="S5" s="125">
        <f t="shared" ref="S5:S33" si="5">(H5-$H$4)*$S$4*SUM(J5:N5)</f>
        <v>0</v>
      </c>
      <c r="T5" s="125">
        <f t="shared" ref="T5:T33" si="6">E5*$T$4</f>
        <v>4110</v>
      </c>
      <c r="U5" s="52">
        <f t="shared" ref="U5:U33" si="7">E5*$U$4</f>
        <v>4110</v>
      </c>
      <c r="V5" s="53">
        <v>0</v>
      </c>
      <c r="W5" s="68">
        <f t="shared" ref="W5:W33" si="8">E5*$W$4</f>
        <v>4110</v>
      </c>
      <c r="X5" s="118">
        <f t="shared" ref="X5:X33" si="9">E5*$X$4</f>
        <v>3288</v>
      </c>
      <c r="Y5" s="76">
        <f>(J5+K5+L5+M5+N5)*$Y$4</f>
        <v>5186.67</v>
      </c>
      <c r="Z5" s="53">
        <f>SUM(J5:P5)+SUM(R5:Y5)</f>
        <v>136963.45571428572</v>
      </c>
      <c r="AA5" s="51">
        <f>Z5*$AA$4</f>
        <v>0</v>
      </c>
      <c r="AB5" s="54">
        <f t="shared" ref="AB5:AB33" si="10">60000*(E5/43560)</f>
        <v>566.11570247933878</v>
      </c>
      <c r="AC5" s="55">
        <f t="shared" ref="AC5:AC33" si="11">(F5*0.5)*175000</f>
        <v>11558.195592286502</v>
      </c>
      <c r="AD5" s="52">
        <f t="shared" ref="AD5:AD22" si="12">SUM(AB5:AC5)</f>
        <v>12124.311294765841</v>
      </c>
    </row>
    <row r="6" spans="1:31" x14ac:dyDescent="0.25">
      <c r="A6" s="48">
        <v>230612</v>
      </c>
      <c r="B6" s="48" t="s">
        <v>177</v>
      </c>
      <c r="C6" s="48" t="s">
        <v>178</v>
      </c>
      <c r="D6" s="48" t="s">
        <v>179</v>
      </c>
      <c r="E6" s="49">
        <v>3608</v>
      </c>
      <c r="F6" s="50">
        <f t="shared" si="0"/>
        <v>1.1595959595959595</v>
      </c>
      <c r="G6" s="88">
        <v>2025</v>
      </c>
      <c r="H6" s="88">
        <f>'Annual Cost Estimate'!E31</f>
        <v>2025</v>
      </c>
      <c r="I6" s="88" t="s">
        <v>187</v>
      </c>
      <c r="J6" s="51">
        <f t="shared" si="1"/>
        <v>327426</v>
      </c>
      <c r="K6" s="125">
        <f t="shared" si="2"/>
        <v>89298</v>
      </c>
      <c r="L6" s="125">
        <f t="shared" si="3"/>
        <v>83885.999999999985</v>
      </c>
      <c r="M6" s="125">
        <f t="shared" si="4"/>
        <v>38786</v>
      </c>
      <c r="N6" s="125">
        <f t="shared" ref="N6:N17" si="13">1*$N$4</f>
        <v>25000</v>
      </c>
      <c r="O6" s="125">
        <f>1*$O$4</f>
        <v>2500</v>
      </c>
      <c r="P6" s="125">
        <f t="shared" ref="P6:P33" si="14">1*$P$4</f>
        <v>1500</v>
      </c>
      <c r="Q6" s="222">
        <v>1000</v>
      </c>
      <c r="R6" s="218">
        <f t="shared" ref="R6:R33" si="15">$R$4*(Q6/7)*30</f>
        <v>25714.285714285714</v>
      </c>
      <c r="S6" s="125">
        <f t="shared" si="5"/>
        <v>0</v>
      </c>
      <c r="T6" s="125">
        <f t="shared" si="6"/>
        <v>36080</v>
      </c>
      <c r="U6" s="52">
        <f t="shared" si="7"/>
        <v>36080</v>
      </c>
      <c r="V6" s="53">
        <v>0</v>
      </c>
      <c r="W6" s="68">
        <f t="shared" si="8"/>
        <v>36080</v>
      </c>
      <c r="X6" s="118">
        <f t="shared" si="9"/>
        <v>28864</v>
      </c>
      <c r="Y6" s="76">
        <f t="shared" ref="Y6:Y33" si="16">(J6+K6+L6+M6+N6)*$Y$4</f>
        <v>33863.760000000002</v>
      </c>
      <c r="Z6" s="53">
        <f t="shared" ref="Z6:Z34" si="17">SUM(J6:P6)+SUM(R6:Y6)</f>
        <v>765078.04571428569</v>
      </c>
      <c r="AA6" s="51">
        <f t="shared" ref="AA6:AA33" si="18">Z6*$AA$4</f>
        <v>0</v>
      </c>
      <c r="AB6" s="54">
        <f t="shared" si="10"/>
        <v>4969.69696969697</v>
      </c>
      <c r="AC6" s="55">
        <f t="shared" si="11"/>
        <v>101464.64646464646</v>
      </c>
      <c r="AD6" s="52">
        <f t="shared" si="12"/>
        <v>106434.34343434343</v>
      </c>
    </row>
    <row r="7" spans="1:31" x14ac:dyDescent="0.25">
      <c r="A7" s="48">
        <v>230606</v>
      </c>
      <c r="B7" s="48" t="s">
        <v>129</v>
      </c>
      <c r="C7" s="48" t="s">
        <v>130</v>
      </c>
      <c r="D7" s="48" t="s">
        <v>131</v>
      </c>
      <c r="E7" s="49">
        <f>978-558</f>
        <v>420</v>
      </c>
      <c r="F7" s="50">
        <f t="shared" si="0"/>
        <v>0.13498622589531681</v>
      </c>
      <c r="G7" s="88">
        <v>2022</v>
      </c>
      <c r="H7" s="88">
        <f>'Annual Cost Estimate'!E32</f>
        <v>2025</v>
      </c>
      <c r="I7" s="88" t="s">
        <v>187</v>
      </c>
      <c r="J7" s="51">
        <f t="shared" si="1"/>
        <v>38115</v>
      </c>
      <c r="K7" s="125">
        <f t="shared" si="2"/>
        <v>10395</v>
      </c>
      <c r="L7" s="125">
        <f t="shared" si="3"/>
        <v>9765</v>
      </c>
      <c r="M7" s="125">
        <f t="shared" si="4"/>
        <v>4515</v>
      </c>
      <c r="N7" s="125">
        <f t="shared" si="13"/>
        <v>25000</v>
      </c>
      <c r="O7" s="125">
        <v>0</v>
      </c>
      <c r="P7" s="125">
        <f t="shared" si="14"/>
        <v>1500</v>
      </c>
      <c r="Q7" s="222">
        <v>1000</v>
      </c>
      <c r="R7" s="218">
        <f t="shared" si="15"/>
        <v>25714.285714285714</v>
      </c>
      <c r="S7" s="125">
        <f t="shared" si="5"/>
        <v>0</v>
      </c>
      <c r="T7" s="125">
        <f t="shared" si="6"/>
        <v>4200</v>
      </c>
      <c r="U7" s="52">
        <f t="shared" si="7"/>
        <v>4200</v>
      </c>
      <c r="V7" s="53">
        <v>0</v>
      </c>
      <c r="W7" s="68">
        <f t="shared" si="8"/>
        <v>4200</v>
      </c>
      <c r="X7" s="118">
        <f t="shared" si="9"/>
        <v>3360</v>
      </c>
      <c r="Y7" s="76">
        <f t="shared" si="16"/>
        <v>5267.4</v>
      </c>
      <c r="Z7" s="53">
        <f t="shared" si="17"/>
        <v>136231.6857142857</v>
      </c>
      <c r="AA7" s="51">
        <f t="shared" si="18"/>
        <v>0</v>
      </c>
      <c r="AB7" s="54">
        <f t="shared" si="10"/>
        <v>578.51239669421489</v>
      </c>
      <c r="AC7" s="55">
        <f t="shared" si="11"/>
        <v>11811.294765840221</v>
      </c>
      <c r="AD7" s="52">
        <f t="shared" si="12"/>
        <v>12389.807162534436</v>
      </c>
    </row>
    <row r="8" spans="1:31" x14ac:dyDescent="0.25">
      <c r="A8" s="124">
        <v>230037</v>
      </c>
      <c r="B8" s="124" t="s">
        <v>132</v>
      </c>
      <c r="C8" s="124" t="s">
        <v>133</v>
      </c>
      <c r="D8" s="124" t="s">
        <v>134</v>
      </c>
      <c r="E8" s="38">
        <v>0</v>
      </c>
      <c r="F8" s="39">
        <f t="shared" si="0"/>
        <v>0</v>
      </c>
      <c r="G8" s="87">
        <v>2022</v>
      </c>
      <c r="H8" s="87"/>
      <c r="I8" s="87" t="s">
        <v>197</v>
      </c>
      <c r="J8" s="47">
        <f t="shared" si="1"/>
        <v>0</v>
      </c>
      <c r="K8" s="123">
        <f t="shared" si="2"/>
        <v>0</v>
      </c>
      <c r="L8" s="123">
        <f t="shared" si="3"/>
        <v>0</v>
      </c>
      <c r="M8" s="123">
        <f t="shared" si="4"/>
        <v>0</v>
      </c>
      <c r="N8" s="123">
        <v>0</v>
      </c>
      <c r="O8" s="123">
        <v>0</v>
      </c>
      <c r="P8" s="123">
        <v>0</v>
      </c>
      <c r="Q8" s="224">
        <v>0</v>
      </c>
      <c r="R8" s="219">
        <f t="shared" si="15"/>
        <v>0</v>
      </c>
      <c r="S8" s="123">
        <f t="shared" si="5"/>
        <v>0</v>
      </c>
      <c r="T8" s="123">
        <f t="shared" si="6"/>
        <v>0</v>
      </c>
      <c r="U8" s="40">
        <f t="shared" si="7"/>
        <v>0</v>
      </c>
      <c r="V8" s="41">
        <v>0</v>
      </c>
      <c r="W8" s="69">
        <f t="shared" si="8"/>
        <v>0</v>
      </c>
      <c r="X8" s="120">
        <f t="shared" si="9"/>
        <v>0</v>
      </c>
      <c r="Y8" s="77">
        <f t="shared" si="16"/>
        <v>0</v>
      </c>
      <c r="Z8" s="41">
        <f t="shared" si="17"/>
        <v>0</v>
      </c>
      <c r="AA8" s="47">
        <f t="shared" si="18"/>
        <v>0</v>
      </c>
      <c r="AB8" s="42">
        <f t="shared" si="10"/>
        <v>0</v>
      </c>
      <c r="AC8" s="43">
        <f t="shared" si="11"/>
        <v>0</v>
      </c>
      <c r="AD8" s="40">
        <f t="shared" si="12"/>
        <v>0</v>
      </c>
    </row>
    <row r="9" spans="1:31" x14ac:dyDescent="0.25">
      <c r="A9" s="124">
        <v>230033</v>
      </c>
      <c r="B9" s="124" t="s">
        <v>135</v>
      </c>
      <c r="C9" s="124" t="s">
        <v>136</v>
      </c>
      <c r="D9" s="124" t="s">
        <v>137</v>
      </c>
      <c r="E9" s="38">
        <v>0</v>
      </c>
      <c r="F9" s="39">
        <f t="shared" si="0"/>
        <v>0</v>
      </c>
      <c r="G9" s="87">
        <v>2022</v>
      </c>
      <c r="H9" s="87"/>
      <c r="I9" s="87" t="s">
        <v>198</v>
      </c>
      <c r="J9" s="47">
        <f t="shared" si="1"/>
        <v>0</v>
      </c>
      <c r="K9" s="123">
        <f t="shared" si="2"/>
        <v>0</v>
      </c>
      <c r="L9" s="123">
        <f t="shared" si="3"/>
        <v>0</v>
      </c>
      <c r="M9" s="123">
        <f t="shared" si="4"/>
        <v>0</v>
      </c>
      <c r="N9" s="123">
        <v>0</v>
      </c>
      <c r="O9" s="123">
        <v>0</v>
      </c>
      <c r="P9" s="123">
        <v>0</v>
      </c>
      <c r="Q9" s="224">
        <v>0</v>
      </c>
      <c r="R9" s="219">
        <f t="shared" si="15"/>
        <v>0</v>
      </c>
      <c r="S9" s="123">
        <f t="shared" si="5"/>
        <v>0</v>
      </c>
      <c r="T9" s="123">
        <f t="shared" si="6"/>
        <v>0</v>
      </c>
      <c r="U9" s="40">
        <f t="shared" si="7"/>
        <v>0</v>
      </c>
      <c r="V9" s="41">
        <v>0</v>
      </c>
      <c r="W9" s="69">
        <f t="shared" si="8"/>
        <v>0</v>
      </c>
      <c r="X9" s="120">
        <f t="shared" si="9"/>
        <v>0</v>
      </c>
      <c r="Y9" s="77">
        <f t="shared" si="16"/>
        <v>0</v>
      </c>
      <c r="Z9" s="41">
        <f t="shared" si="17"/>
        <v>0</v>
      </c>
      <c r="AA9" s="47">
        <f t="shared" si="18"/>
        <v>0</v>
      </c>
      <c r="AB9" s="42">
        <f t="shared" si="10"/>
        <v>0</v>
      </c>
      <c r="AC9" s="43">
        <f t="shared" si="11"/>
        <v>0</v>
      </c>
      <c r="AD9" s="40">
        <f t="shared" si="12"/>
        <v>0</v>
      </c>
    </row>
    <row r="10" spans="1:31" x14ac:dyDescent="0.25">
      <c r="A10" s="48">
        <v>230020</v>
      </c>
      <c r="B10" s="48" t="s">
        <v>156</v>
      </c>
      <c r="C10" s="48" t="s">
        <v>157</v>
      </c>
      <c r="D10" s="48" t="s">
        <v>158</v>
      </c>
      <c r="E10" s="49">
        <f>4466+1600-1283+750</f>
        <v>5533</v>
      </c>
      <c r="F10" s="50">
        <f t="shared" si="0"/>
        <v>1.7782828282828282</v>
      </c>
      <c r="G10" s="88">
        <v>2024</v>
      </c>
      <c r="H10" s="88">
        <f>'Annual Cost Estimate'!E33</f>
        <v>2024</v>
      </c>
      <c r="I10" s="88" t="s">
        <v>187</v>
      </c>
      <c r="J10" s="51">
        <f t="shared" si="1"/>
        <v>502119.74999999994</v>
      </c>
      <c r="K10" s="125">
        <f t="shared" si="2"/>
        <v>136941.74999999997</v>
      </c>
      <c r="L10" s="125">
        <f t="shared" si="3"/>
        <v>128642.24999999999</v>
      </c>
      <c r="M10" s="125">
        <f t="shared" si="4"/>
        <v>59479.750000000007</v>
      </c>
      <c r="N10" s="125">
        <f t="shared" si="13"/>
        <v>25000</v>
      </c>
      <c r="O10" s="125">
        <f t="shared" ref="O10:O24" si="19">1*O9</f>
        <v>0</v>
      </c>
      <c r="P10" s="125">
        <f t="shared" si="14"/>
        <v>1500</v>
      </c>
      <c r="Q10" s="222">
        <v>1000</v>
      </c>
      <c r="R10" s="218">
        <f t="shared" si="15"/>
        <v>25714.285714285714</v>
      </c>
      <c r="S10" s="125">
        <f t="shared" si="5"/>
        <v>0</v>
      </c>
      <c r="T10" s="125">
        <f t="shared" si="6"/>
        <v>55330</v>
      </c>
      <c r="U10" s="52">
        <f t="shared" si="7"/>
        <v>55330</v>
      </c>
      <c r="V10" s="53">
        <v>0</v>
      </c>
      <c r="W10" s="68">
        <f t="shared" si="8"/>
        <v>55330</v>
      </c>
      <c r="X10" s="118">
        <f t="shared" si="9"/>
        <v>44264</v>
      </c>
      <c r="Y10" s="76">
        <f t="shared" si="16"/>
        <v>51131.009999999995</v>
      </c>
      <c r="Z10" s="53">
        <f t="shared" si="17"/>
        <v>1140782.7957142857</v>
      </c>
      <c r="AA10" s="51">
        <f t="shared" si="18"/>
        <v>0</v>
      </c>
      <c r="AB10" s="54">
        <f t="shared" si="10"/>
        <v>7621.2121212121219</v>
      </c>
      <c r="AC10" s="55">
        <f t="shared" si="11"/>
        <v>155599.74747474748</v>
      </c>
      <c r="AD10" s="52">
        <f t="shared" si="12"/>
        <v>163220.9595959596</v>
      </c>
    </row>
    <row r="11" spans="1:31" x14ac:dyDescent="0.25">
      <c r="A11" s="48">
        <v>230008</v>
      </c>
      <c r="B11" s="48" t="s">
        <v>138</v>
      </c>
      <c r="C11" s="48" t="s">
        <v>139</v>
      </c>
      <c r="D11" s="48" t="s">
        <v>140</v>
      </c>
      <c r="E11" s="49">
        <f>389+110</f>
        <v>499</v>
      </c>
      <c r="F11" s="50">
        <f t="shared" si="0"/>
        <v>0.16037649219467401</v>
      </c>
      <c r="G11" s="88">
        <v>2022</v>
      </c>
      <c r="H11" s="88">
        <f>'Annual Cost Estimate'!E34</f>
        <v>2022</v>
      </c>
      <c r="I11" s="88" t="s">
        <v>187</v>
      </c>
      <c r="J11" s="51">
        <f t="shared" si="1"/>
        <v>45284.249999999993</v>
      </c>
      <c r="K11" s="125">
        <f t="shared" si="2"/>
        <v>12350.249999999998</v>
      </c>
      <c r="L11" s="125">
        <f t="shared" si="3"/>
        <v>11601.75</v>
      </c>
      <c r="M11" s="125">
        <f t="shared" si="4"/>
        <v>5364.2500000000009</v>
      </c>
      <c r="N11" s="125">
        <f t="shared" si="13"/>
        <v>25000</v>
      </c>
      <c r="O11" s="125">
        <f t="shared" si="19"/>
        <v>0</v>
      </c>
      <c r="P11" s="125">
        <f t="shared" si="14"/>
        <v>1500</v>
      </c>
      <c r="Q11" s="222">
        <v>1000</v>
      </c>
      <c r="R11" s="218">
        <f t="shared" si="15"/>
        <v>25714.285714285714</v>
      </c>
      <c r="S11" s="125">
        <f t="shared" si="5"/>
        <v>0</v>
      </c>
      <c r="T11" s="125">
        <f t="shared" si="6"/>
        <v>4990</v>
      </c>
      <c r="U11" s="52">
        <f t="shared" si="7"/>
        <v>4990</v>
      </c>
      <c r="V11" s="53">
        <v>0</v>
      </c>
      <c r="W11" s="68">
        <f t="shared" si="8"/>
        <v>4990</v>
      </c>
      <c r="X11" s="118">
        <f t="shared" si="9"/>
        <v>3992</v>
      </c>
      <c r="Y11" s="76">
        <f t="shared" si="16"/>
        <v>5976.03</v>
      </c>
      <c r="Z11" s="53">
        <f t="shared" si="17"/>
        <v>151752.81571428571</v>
      </c>
      <c r="AA11" s="51">
        <f t="shared" si="18"/>
        <v>0</v>
      </c>
      <c r="AB11" s="54">
        <f t="shared" si="10"/>
        <v>687.32782369146003</v>
      </c>
      <c r="AC11" s="55">
        <f t="shared" si="11"/>
        <v>14032.943067033975</v>
      </c>
      <c r="AD11" s="52">
        <f t="shared" si="12"/>
        <v>14720.270890725435</v>
      </c>
      <c r="AE11" s="1"/>
    </row>
    <row r="12" spans="1:31" x14ac:dyDescent="0.25">
      <c r="A12" s="48">
        <v>230007</v>
      </c>
      <c r="B12" s="48" t="s">
        <v>183</v>
      </c>
      <c r="C12" s="48" t="s">
        <v>184</v>
      </c>
      <c r="D12" s="48" t="s">
        <v>185</v>
      </c>
      <c r="E12" s="49">
        <f>2934-1734</f>
        <v>1200</v>
      </c>
      <c r="F12" s="50">
        <f t="shared" si="0"/>
        <v>0.38567493112947659</v>
      </c>
      <c r="G12" s="88">
        <v>2027</v>
      </c>
      <c r="H12" s="88">
        <f>'Annual Cost Estimate'!E35</f>
        <v>2023</v>
      </c>
      <c r="I12" s="88" t="s">
        <v>187</v>
      </c>
      <c r="J12" s="51">
        <f t="shared" si="1"/>
        <v>108900</v>
      </c>
      <c r="K12" s="125">
        <f t="shared" si="2"/>
        <v>29700</v>
      </c>
      <c r="L12" s="125">
        <f t="shared" si="3"/>
        <v>27900</v>
      </c>
      <c r="M12" s="125">
        <f t="shared" si="4"/>
        <v>12900</v>
      </c>
      <c r="N12" s="125">
        <f t="shared" si="13"/>
        <v>25000</v>
      </c>
      <c r="O12" s="125">
        <f t="shared" si="19"/>
        <v>0</v>
      </c>
      <c r="P12" s="125">
        <f t="shared" si="14"/>
        <v>1500</v>
      </c>
      <c r="Q12" s="222">
        <v>1000</v>
      </c>
      <c r="R12" s="218">
        <f t="shared" si="15"/>
        <v>25714.285714285714</v>
      </c>
      <c r="S12" s="125">
        <f t="shared" si="5"/>
        <v>0</v>
      </c>
      <c r="T12" s="125">
        <f t="shared" si="6"/>
        <v>12000</v>
      </c>
      <c r="U12" s="52">
        <f t="shared" si="7"/>
        <v>12000</v>
      </c>
      <c r="V12" s="53">
        <v>0</v>
      </c>
      <c r="W12" s="68">
        <f t="shared" si="8"/>
        <v>12000</v>
      </c>
      <c r="X12" s="118">
        <f t="shared" si="9"/>
        <v>9600</v>
      </c>
      <c r="Y12" s="76">
        <f t="shared" si="16"/>
        <v>12264</v>
      </c>
      <c r="Z12" s="53">
        <f t="shared" si="17"/>
        <v>289478.28571428568</v>
      </c>
      <c r="AA12" s="51">
        <f t="shared" si="18"/>
        <v>0</v>
      </c>
      <c r="AB12" s="54">
        <f t="shared" si="10"/>
        <v>1652.8925619834711</v>
      </c>
      <c r="AC12" s="55">
        <f t="shared" si="11"/>
        <v>33746.556473829201</v>
      </c>
      <c r="AD12" s="52">
        <f t="shared" si="12"/>
        <v>35399.449035812671</v>
      </c>
    </row>
    <row r="13" spans="1:31" x14ac:dyDescent="0.25">
      <c r="A13" s="48">
        <v>230006</v>
      </c>
      <c r="B13" s="48" t="s">
        <v>104</v>
      </c>
      <c r="C13" s="48" t="s">
        <v>104</v>
      </c>
      <c r="D13" s="48" t="s">
        <v>104</v>
      </c>
      <c r="E13" s="49">
        <f>5541-150-50</f>
        <v>5341</v>
      </c>
      <c r="F13" s="50">
        <f t="shared" si="0"/>
        <v>1.7165748393021121</v>
      </c>
      <c r="G13" s="88">
        <v>2028</v>
      </c>
      <c r="H13" s="88">
        <f>'Annual Cost Estimate'!E36</f>
        <v>2026</v>
      </c>
      <c r="I13" s="88" t="s">
        <v>187</v>
      </c>
      <c r="J13" s="51">
        <f t="shared" si="1"/>
        <v>484695.75</v>
      </c>
      <c r="K13" s="125">
        <f t="shared" si="2"/>
        <v>132189.75</v>
      </c>
      <c r="L13" s="125">
        <f t="shared" si="3"/>
        <v>124178.25</v>
      </c>
      <c r="M13" s="125">
        <f t="shared" si="4"/>
        <v>57415.75</v>
      </c>
      <c r="N13" s="125">
        <f t="shared" si="13"/>
        <v>25000</v>
      </c>
      <c r="O13" s="125">
        <f t="shared" si="19"/>
        <v>0</v>
      </c>
      <c r="P13" s="125">
        <f t="shared" si="14"/>
        <v>1500</v>
      </c>
      <c r="Q13" s="222">
        <v>1000</v>
      </c>
      <c r="R13" s="218">
        <f t="shared" si="15"/>
        <v>25714.285714285714</v>
      </c>
      <c r="S13" s="125">
        <f t="shared" si="5"/>
        <v>0</v>
      </c>
      <c r="T13" s="125">
        <f t="shared" si="6"/>
        <v>53410</v>
      </c>
      <c r="U13" s="52">
        <f t="shared" si="7"/>
        <v>53410</v>
      </c>
      <c r="V13" s="53">
        <v>0</v>
      </c>
      <c r="W13" s="68">
        <f t="shared" si="8"/>
        <v>53410</v>
      </c>
      <c r="X13" s="118">
        <f t="shared" si="9"/>
        <v>42728</v>
      </c>
      <c r="Y13" s="76">
        <f t="shared" si="16"/>
        <v>49408.77</v>
      </c>
      <c r="Z13" s="53">
        <f t="shared" si="17"/>
        <v>1103060.5557142857</v>
      </c>
      <c r="AA13" s="51">
        <f t="shared" si="18"/>
        <v>0</v>
      </c>
      <c r="AB13" s="54">
        <f t="shared" si="10"/>
        <v>7356.749311294765</v>
      </c>
      <c r="AC13" s="55">
        <f t="shared" si="11"/>
        <v>150200.29843893481</v>
      </c>
      <c r="AD13" s="52">
        <f t="shared" si="12"/>
        <v>157557.04775022957</v>
      </c>
    </row>
    <row r="14" spans="1:31" x14ac:dyDescent="0.25">
      <c r="A14" s="48">
        <v>66839</v>
      </c>
      <c r="B14" s="48" t="s">
        <v>141</v>
      </c>
      <c r="C14" s="48" t="s">
        <v>142</v>
      </c>
      <c r="D14" s="48" t="s">
        <v>143</v>
      </c>
      <c r="E14" s="49">
        <f>1292-262</f>
        <v>1030</v>
      </c>
      <c r="F14" s="50">
        <f t="shared" si="0"/>
        <v>0.33103764921946738</v>
      </c>
      <c r="G14" s="88">
        <v>2022</v>
      </c>
      <c r="H14" s="88">
        <f>'Annual Cost Estimate'!E37</f>
        <v>2025</v>
      </c>
      <c r="I14" s="88" t="s">
        <v>187</v>
      </c>
      <c r="J14" s="51">
        <f t="shared" si="1"/>
        <v>93472.5</v>
      </c>
      <c r="K14" s="125">
        <f t="shared" si="2"/>
        <v>25492.5</v>
      </c>
      <c r="L14" s="125">
        <f t="shared" si="3"/>
        <v>23947.5</v>
      </c>
      <c r="M14" s="125">
        <f t="shared" si="4"/>
        <v>11072.5</v>
      </c>
      <c r="N14" s="125">
        <f t="shared" si="13"/>
        <v>25000</v>
      </c>
      <c r="O14" s="125">
        <f t="shared" si="19"/>
        <v>0</v>
      </c>
      <c r="P14" s="125">
        <f t="shared" si="14"/>
        <v>1500</v>
      </c>
      <c r="Q14" s="222">
        <v>1000</v>
      </c>
      <c r="R14" s="218">
        <f t="shared" si="15"/>
        <v>25714.285714285714</v>
      </c>
      <c r="S14" s="125">
        <f t="shared" si="5"/>
        <v>0</v>
      </c>
      <c r="T14" s="125">
        <f t="shared" si="6"/>
        <v>10300</v>
      </c>
      <c r="U14" s="52">
        <f t="shared" si="7"/>
        <v>10300</v>
      </c>
      <c r="V14" s="53">
        <f t="shared" ref="V14:V33" si="20">E14*$V$4</f>
        <v>5150</v>
      </c>
      <c r="W14" s="68">
        <f t="shared" si="8"/>
        <v>10300</v>
      </c>
      <c r="X14" s="118">
        <f t="shared" si="9"/>
        <v>8240</v>
      </c>
      <c r="Y14" s="76">
        <f t="shared" si="16"/>
        <v>10739.1</v>
      </c>
      <c r="Z14" s="53">
        <f t="shared" si="17"/>
        <v>261228.38571428572</v>
      </c>
      <c r="AA14" s="51">
        <f t="shared" si="18"/>
        <v>0</v>
      </c>
      <c r="AB14" s="54">
        <f t="shared" si="10"/>
        <v>1418.732782369146</v>
      </c>
      <c r="AC14" s="55">
        <f t="shared" si="11"/>
        <v>28965.794306703396</v>
      </c>
      <c r="AD14" s="52">
        <f t="shared" si="12"/>
        <v>30384.527089072541</v>
      </c>
    </row>
    <row r="15" spans="1:31" x14ac:dyDescent="0.25">
      <c r="A15" s="48">
        <v>66833</v>
      </c>
      <c r="B15" s="48" t="s">
        <v>104</v>
      </c>
      <c r="C15" s="48" t="s">
        <v>104</v>
      </c>
      <c r="D15" s="48" t="s">
        <v>104</v>
      </c>
      <c r="E15" s="49">
        <v>9024</v>
      </c>
      <c r="F15" s="50">
        <f t="shared" si="0"/>
        <v>2.9002754820936638</v>
      </c>
      <c r="G15" s="88">
        <v>2027</v>
      </c>
      <c r="H15" s="88">
        <f>'Annual Cost Estimate'!E38</f>
        <v>2027</v>
      </c>
      <c r="I15" s="88" t="s">
        <v>187</v>
      </c>
      <c r="J15" s="51">
        <f t="shared" si="1"/>
        <v>818927.99999999988</v>
      </c>
      <c r="K15" s="125">
        <f t="shared" si="2"/>
        <v>223343.99999999997</v>
      </c>
      <c r="L15" s="125">
        <f t="shared" si="3"/>
        <v>209808</v>
      </c>
      <c r="M15" s="125">
        <f t="shared" si="4"/>
        <v>97008.000000000015</v>
      </c>
      <c r="N15" s="125">
        <f t="shared" si="13"/>
        <v>25000</v>
      </c>
      <c r="O15" s="125">
        <f t="shared" si="19"/>
        <v>0</v>
      </c>
      <c r="P15" s="125">
        <f t="shared" si="14"/>
        <v>1500</v>
      </c>
      <c r="Q15" s="222">
        <v>1000</v>
      </c>
      <c r="R15" s="218">
        <f t="shared" si="15"/>
        <v>25714.285714285714</v>
      </c>
      <c r="S15" s="125">
        <f t="shared" si="5"/>
        <v>0</v>
      </c>
      <c r="T15" s="125">
        <f t="shared" si="6"/>
        <v>90240</v>
      </c>
      <c r="U15" s="52">
        <f t="shared" si="7"/>
        <v>90240</v>
      </c>
      <c r="V15" s="53">
        <f t="shared" si="20"/>
        <v>45120</v>
      </c>
      <c r="W15" s="68">
        <f t="shared" si="8"/>
        <v>90240</v>
      </c>
      <c r="X15" s="118">
        <f t="shared" si="9"/>
        <v>72192</v>
      </c>
      <c r="Y15" s="76">
        <f t="shared" si="16"/>
        <v>82445.279999999999</v>
      </c>
      <c r="Z15" s="53">
        <f t="shared" si="17"/>
        <v>1871779.5657142857</v>
      </c>
      <c r="AA15" s="51">
        <f t="shared" si="18"/>
        <v>0</v>
      </c>
      <c r="AB15" s="54">
        <f t="shared" si="10"/>
        <v>12429.752066115701</v>
      </c>
      <c r="AC15" s="55">
        <f t="shared" si="11"/>
        <v>253774.10468319559</v>
      </c>
      <c r="AD15" s="52">
        <f t="shared" si="12"/>
        <v>266203.85674931126</v>
      </c>
    </row>
    <row r="16" spans="1:31" x14ac:dyDescent="0.25">
      <c r="A16" s="124">
        <v>66830</v>
      </c>
      <c r="B16" s="124" t="s">
        <v>162</v>
      </c>
      <c r="C16" s="124" t="s">
        <v>163</v>
      </c>
      <c r="D16" s="124" t="s">
        <v>164</v>
      </c>
      <c r="E16" s="38">
        <v>0</v>
      </c>
      <c r="F16" s="39">
        <f t="shared" si="0"/>
        <v>0</v>
      </c>
      <c r="G16" s="87">
        <v>2025</v>
      </c>
      <c r="H16" s="87"/>
      <c r="I16" s="87" t="s">
        <v>199</v>
      </c>
      <c r="J16" s="47">
        <f t="shared" si="1"/>
        <v>0</v>
      </c>
      <c r="K16" s="123">
        <f t="shared" si="2"/>
        <v>0</v>
      </c>
      <c r="L16" s="123">
        <f t="shared" si="3"/>
        <v>0</v>
      </c>
      <c r="M16" s="123">
        <f t="shared" si="4"/>
        <v>0</v>
      </c>
      <c r="N16" s="123">
        <v>0</v>
      </c>
      <c r="O16" s="123">
        <f t="shared" si="19"/>
        <v>0</v>
      </c>
      <c r="P16" s="123">
        <v>0</v>
      </c>
      <c r="Q16" s="224">
        <v>0</v>
      </c>
      <c r="R16" s="219">
        <f t="shared" si="15"/>
        <v>0</v>
      </c>
      <c r="S16" s="123">
        <f t="shared" si="5"/>
        <v>0</v>
      </c>
      <c r="T16" s="123">
        <f t="shared" si="6"/>
        <v>0</v>
      </c>
      <c r="U16" s="40">
        <f t="shared" si="7"/>
        <v>0</v>
      </c>
      <c r="V16" s="41">
        <f t="shared" si="20"/>
        <v>0</v>
      </c>
      <c r="W16" s="69">
        <f t="shared" si="8"/>
        <v>0</v>
      </c>
      <c r="X16" s="120">
        <f t="shared" si="9"/>
        <v>0</v>
      </c>
      <c r="Y16" s="77">
        <f t="shared" si="16"/>
        <v>0</v>
      </c>
      <c r="Z16" s="41">
        <f t="shared" si="17"/>
        <v>0</v>
      </c>
      <c r="AA16" s="47">
        <f t="shared" si="18"/>
        <v>0</v>
      </c>
      <c r="AB16" s="42">
        <f t="shared" si="10"/>
        <v>0</v>
      </c>
      <c r="AC16" s="43">
        <f t="shared" si="11"/>
        <v>0</v>
      </c>
      <c r="AD16" s="40">
        <f t="shared" si="12"/>
        <v>0</v>
      </c>
    </row>
    <row r="17" spans="1:30" x14ac:dyDescent="0.25">
      <c r="A17" s="48">
        <v>66055</v>
      </c>
      <c r="B17" s="48" t="s">
        <v>104</v>
      </c>
      <c r="C17" s="48" t="s">
        <v>104</v>
      </c>
      <c r="D17" s="48" t="s">
        <v>104</v>
      </c>
      <c r="E17" s="49">
        <f>6676-335-500</f>
        <v>5841</v>
      </c>
      <c r="F17" s="50">
        <f t="shared" si="0"/>
        <v>1.8772727272727272</v>
      </c>
      <c r="G17" s="88">
        <v>2028</v>
      </c>
      <c r="H17" s="88">
        <f>'Annual Cost Estimate'!E39</f>
        <v>2026</v>
      </c>
      <c r="I17" s="88" t="s">
        <v>187</v>
      </c>
      <c r="J17" s="51">
        <f t="shared" si="1"/>
        <v>530070.75</v>
      </c>
      <c r="K17" s="125">
        <f t="shared" si="2"/>
        <v>144564.75</v>
      </c>
      <c r="L17" s="125">
        <f t="shared" si="3"/>
        <v>135803.25</v>
      </c>
      <c r="M17" s="125">
        <f t="shared" si="4"/>
        <v>62790.75</v>
      </c>
      <c r="N17" s="125">
        <f t="shared" si="13"/>
        <v>25000</v>
      </c>
      <c r="O17" s="125">
        <f t="shared" si="19"/>
        <v>0</v>
      </c>
      <c r="P17" s="125">
        <f t="shared" si="14"/>
        <v>1500</v>
      </c>
      <c r="Q17" s="222">
        <v>1000</v>
      </c>
      <c r="R17" s="218">
        <f t="shared" si="15"/>
        <v>25714.285714285714</v>
      </c>
      <c r="S17" s="125">
        <f t="shared" si="5"/>
        <v>0</v>
      </c>
      <c r="T17" s="125">
        <f t="shared" si="6"/>
        <v>58410</v>
      </c>
      <c r="U17" s="52">
        <f t="shared" si="7"/>
        <v>58410</v>
      </c>
      <c r="V17" s="53">
        <f t="shared" si="20"/>
        <v>29205</v>
      </c>
      <c r="W17" s="68">
        <f t="shared" si="8"/>
        <v>58410</v>
      </c>
      <c r="X17" s="118">
        <f t="shared" si="9"/>
        <v>46728</v>
      </c>
      <c r="Y17" s="76">
        <f t="shared" si="16"/>
        <v>53893.77</v>
      </c>
      <c r="Z17" s="53">
        <f t="shared" si="17"/>
        <v>1230500.5557142857</v>
      </c>
      <c r="AA17" s="51">
        <f t="shared" si="18"/>
        <v>0</v>
      </c>
      <c r="AB17" s="54">
        <f t="shared" si="10"/>
        <v>8045.454545454546</v>
      </c>
      <c r="AC17" s="55">
        <f t="shared" si="11"/>
        <v>164261.36363636362</v>
      </c>
      <c r="AD17" s="52">
        <f t="shared" si="12"/>
        <v>172306.81818181818</v>
      </c>
    </row>
    <row r="18" spans="1:30" x14ac:dyDescent="0.25">
      <c r="A18" s="205">
        <v>67051</v>
      </c>
      <c r="B18" s="205" t="s">
        <v>104</v>
      </c>
      <c r="C18" s="205" t="s">
        <v>104</v>
      </c>
      <c r="D18" s="205" t="s">
        <v>104</v>
      </c>
      <c r="E18" s="49">
        <v>0</v>
      </c>
      <c r="F18" s="50">
        <f t="shared" si="0"/>
        <v>0</v>
      </c>
      <c r="G18" s="88">
        <v>2029</v>
      </c>
      <c r="H18" s="88"/>
      <c r="I18" s="88" t="s">
        <v>236</v>
      </c>
      <c r="J18" s="51">
        <f t="shared" si="1"/>
        <v>0</v>
      </c>
      <c r="K18" s="125">
        <f t="shared" si="2"/>
        <v>0</v>
      </c>
      <c r="L18" s="125">
        <f t="shared" si="3"/>
        <v>0</v>
      </c>
      <c r="M18" s="125">
        <f t="shared" si="4"/>
        <v>0</v>
      </c>
      <c r="N18" s="125">
        <v>0</v>
      </c>
      <c r="O18" s="125">
        <f t="shared" si="19"/>
        <v>0</v>
      </c>
      <c r="P18" s="125">
        <v>0</v>
      </c>
      <c r="Q18" s="222">
        <v>0</v>
      </c>
      <c r="R18" s="218">
        <f t="shared" si="15"/>
        <v>0</v>
      </c>
      <c r="S18" s="125">
        <f t="shared" si="5"/>
        <v>0</v>
      </c>
      <c r="T18" s="125">
        <f t="shared" si="6"/>
        <v>0</v>
      </c>
      <c r="U18" s="52">
        <f t="shared" si="7"/>
        <v>0</v>
      </c>
      <c r="V18" s="53">
        <f t="shared" si="20"/>
        <v>0</v>
      </c>
      <c r="W18" s="68">
        <f t="shared" si="8"/>
        <v>0</v>
      </c>
      <c r="X18" s="118">
        <f t="shared" si="9"/>
        <v>0</v>
      </c>
      <c r="Y18" s="76">
        <f t="shared" si="16"/>
        <v>0</v>
      </c>
      <c r="Z18" s="53">
        <f t="shared" si="17"/>
        <v>0</v>
      </c>
      <c r="AA18" s="51">
        <f t="shared" si="18"/>
        <v>0</v>
      </c>
      <c r="AB18" s="54">
        <f t="shared" si="10"/>
        <v>0</v>
      </c>
      <c r="AC18" s="55">
        <f t="shared" si="11"/>
        <v>0</v>
      </c>
      <c r="AD18" s="52">
        <f t="shared" si="12"/>
        <v>0</v>
      </c>
    </row>
    <row r="19" spans="1:30" x14ac:dyDescent="0.25">
      <c r="A19" s="48">
        <v>66046</v>
      </c>
      <c r="B19" s="48" t="s">
        <v>104</v>
      </c>
      <c r="C19" s="48" t="s">
        <v>104</v>
      </c>
      <c r="D19" s="48" t="s">
        <v>104</v>
      </c>
      <c r="E19" s="49">
        <f>2631-600</f>
        <v>2031</v>
      </c>
      <c r="F19" s="50">
        <f t="shared" si="0"/>
        <v>0.65275482093663917</v>
      </c>
      <c r="G19" s="88">
        <v>2029</v>
      </c>
      <c r="H19" s="88">
        <f>'Annual Cost Estimate'!E41</f>
        <v>2024</v>
      </c>
      <c r="I19" s="88" t="s">
        <v>187</v>
      </c>
      <c r="J19" s="51">
        <f t="shared" si="1"/>
        <v>184313.24999999997</v>
      </c>
      <c r="K19" s="125">
        <f t="shared" si="2"/>
        <v>50267.249999999993</v>
      </c>
      <c r="L19" s="125">
        <f t="shared" si="3"/>
        <v>47220.75</v>
      </c>
      <c r="M19" s="125">
        <f t="shared" si="4"/>
        <v>21833.250000000004</v>
      </c>
      <c r="N19" s="125">
        <v>0</v>
      </c>
      <c r="O19" s="125">
        <f t="shared" si="19"/>
        <v>0</v>
      </c>
      <c r="P19" s="125">
        <f t="shared" si="14"/>
        <v>1500</v>
      </c>
      <c r="Q19" s="222">
        <v>1000</v>
      </c>
      <c r="R19" s="218">
        <f t="shared" si="15"/>
        <v>25714.285714285714</v>
      </c>
      <c r="S19" s="125">
        <f t="shared" si="5"/>
        <v>0</v>
      </c>
      <c r="T19" s="125">
        <f t="shared" si="6"/>
        <v>20310</v>
      </c>
      <c r="U19" s="52">
        <f t="shared" si="7"/>
        <v>20310</v>
      </c>
      <c r="V19" s="53">
        <f t="shared" si="20"/>
        <v>10155</v>
      </c>
      <c r="W19" s="68">
        <f t="shared" si="8"/>
        <v>20310</v>
      </c>
      <c r="X19" s="118">
        <f t="shared" si="9"/>
        <v>16248</v>
      </c>
      <c r="Y19" s="76">
        <f t="shared" si="16"/>
        <v>18218.07</v>
      </c>
      <c r="Z19" s="53">
        <f t="shared" si="17"/>
        <v>436399.85571428575</v>
      </c>
      <c r="AA19" s="51">
        <f t="shared" si="18"/>
        <v>0</v>
      </c>
      <c r="AB19" s="54">
        <f t="shared" si="10"/>
        <v>2797.5206611570247</v>
      </c>
      <c r="AC19" s="55">
        <f t="shared" si="11"/>
        <v>57116.04683195593</v>
      </c>
      <c r="AD19" s="52">
        <f t="shared" si="12"/>
        <v>59913.567493112954</v>
      </c>
    </row>
    <row r="20" spans="1:30" x14ac:dyDescent="0.25">
      <c r="A20" s="48">
        <v>66035</v>
      </c>
      <c r="B20" s="48" t="s">
        <v>174</v>
      </c>
      <c r="C20" s="48" t="s">
        <v>175</v>
      </c>
      <c r="D20" s="48" t="s">
        <v>176</v>
      </c>
      <c r="E20" s="49">
        <f>1204-387</f>
        <v>817</v>
      </c>
      <c r="F20" s="50">
        <f t="shared" si="0"/>
        <v>0.2625803489439853</v>
      </c>
      <c r="G20" s="88">
        <v>2025</v>
      </c>
      <c r="H20" s="88">
        <f>'Annual Cost Estimate'!E42</f>
        <v>2025</v>
      </c>
      <c r="I20" s="88" t="s">
        <v>187</v>
      </c>
      <c r="J20" s="51">
        <f t="shared" si="1"/>
        <v>74142.75</v>
      </c>
      <c r="K20" s="125">
        <f t="shared" si="2"/>
        <v>20220.75</v>
      </c>
      <c r="L20" s="125">
        <f t="shared" si="3"/>
        <v>18995.25</v>
      </c>
      <c r="M20" s="125">
        <f t="shared" si="4"/>
        <v>8782.75</v>
      </c>
      <c r="N20" s="125">
        <v>0</v>
      </c>
      <c r="O20" s="125">
        <f t="shared" si="19"/>
        <v>0</v>
      </c>
      <c r="P20" s="125">
        <f t="shared" si="14"/>
        <v>1500</v>
      </c>
      <c r="Q20" s="222">
        <v>1000</v>
      </c>
      <c r="R20" s="218">
        <f t="shared" si="15"/>
        <v>25714.285714285714</v>
      </c>
      <c r="S20" s="125">
        <f t="shared" si="5"/>
        <v>0</v>
      </c>
      <c r="T20" s="125">
        <f t="shared" si="6"/>
        <v>8170</v>
      </c>
      <c r="U20" s="52">
        <f t="shared" si="7"/>
        <v>8170</v>
      </c>
      <c r="V20" s="53">
        <f t="shared" si="20"/>
        <v>4085</v>
      </c>
      <c r="W20" s="68">
        <f t="shared" si="8"/>
        <v>8170</v>
      </c>
      <c r="X20" s="118">
        <f t="shared" si="9"/>
        <v>6536</v>
      </c>
      <c r="Y20" s="76">
        <f t="shared" si="16"/>
        <v>7328.49</v>
      </c>
      <c r="Z20" s="53">
        <f t="shared" si="17"/>
        <v>191815.27571428573</v>
      </c>
      <c r="AA20" s="51">
        <f t="shared" si="18"/>
        <v>0</v>
      </c>
      <c r="AB20" s="54">
        <f t="shared" si="10"/>
        <v>1125.3443526170799</v>
      </c>
      <c r="AC20" s="55">
        <f t="shared" si="11"/>
        <v>22975.780532598714</v>
      </c>
      <c r="AD20" s="52">
        <f t="shared" si="12"/>
        <v>24101.124885215795</v>
      </c>
    </row>
    <row r="21" spans="1:30" x14ac:dyDescent="0.25">
      <c r="A21" s="48">
        <v>66033</v>
      </c>
      <c r="B21" s="48" t="s">
        <v>104</v>
      </c>
      <c r="C21" s="48" t="s">
        <v>104</v>
      </c>
      <c r="D21" s="48" t="s">
        <v>104</v>
      </c>
      <c r="E21" s="49">
        <v>816</v>
      </c>
      <c r="F21" s="50">
        <f t="shared" si="0"/>
        <v>0.2622589531680441</v>
      </c>
      <c r="G21" s="88">
        <v>2028</v>
      </c>
      <c r="H21" s="88">
        <f>'Annual Cost Estimate'!E43</f>
        <v>2023</v>
      </c>
      <c r="I21" s="88" t="s">
        <v>187</v>
      </c>
      <c r="J21" s="51">
        <f t="shared" si="1"/>
        <v>74051.999999999985</v>
      </c>
      <c r="K21" s="125">
        <f t="shared" si="2"/>
        <v>20195.999999999996</v>
      </c>
      <c r="L21" s="125">
        <f t="shared" si="3"/>
        <v>18972</v>
      </c>
      <c r="M21" s="125">
        <f t="shared" si="4"/>
        <v>8772.0000000000018</v>
      </c>
      <c r="N21" s="125">
        <v>0</v>
      </c>
      <c r="O21" s="125">
        <f t="shared" si="19"/>
        <v>0</v>
      </c>
      <c r="P21" s="125">
        <f t="shared" si="14"/>
        <v>1500</v>
      </c>
      <c r="Q21" s="222">
        <v>1000</v>
      </c>
      <c r="R21" s="218">
        <f t="shared" si="15"/>
        <v>25714.285714285714</v>
      </c>
      <c r="S21" s="125">
        <f t="shared" si="5"/>
        <v>0</v>
      </c>
      <c r="T21" s="125">
        <f t="shared" si="6"/>
        <v>8160</v>
      </c>
      <c r="U21" s="52">
        <f t="shared" si="7"/>
        <v>8160</v>
      </c>
      <c r="V21" s="53">
        <f t="shared" si="20"/>
        <v>4080</v>
      </c>
      <c r="W21" s="68">
        <f t="shared" si="8"/>
        <v>8160</v>
      </c>
      <c r="X21" s="118">
        <f t="shared" si="9"/>
        <v>6528</v>
      </c>
      <c r="Y21" s="76">
        <f t="shared" si="16"/>
        <v>7319.5199999999986</v>
      </c>
      <c r="Z21" s="53">
        <f t="shared" si="17"/>
        <v>191613.8057142857</v>
      </c>
      <c r="AA21" s="51">
        <f t="shared" si="18"/>
        <v>0</v>
      </c>
      <c r="AB21" s="54">
        <f t="shared" si="10"/>
        <v>1123.9669421487604</v>
      </c>
      <c r="AC21" s="55">
        <f t="shared" si="11"/>
        <v>22947.658402203859</v>
      </c>
      <c r="AD21" s="52">
        <f t="shared" si="12"/>
        <v>24071.625344352618</v>
      </c>
    </row>
    <row r="22" spans="1:30" x14ac:dyDescent="0.25">
      <c r="A22" s="48">
        <v>66016</v>
      </c>
      <c r="B22" s="48" t="s">
        <v>168</v>
      </c>
      <c r="C22" s="48" t="s">
        <v>169</v>
      </c>
      <c r="D22" s="48" t="s">
        <v>170</v>
      </c>
      <c r="E22" s="49">
        <f>564-50</f>
        <v>514</v>
      </c>
      <c r="F22" s="50">
        <f t="shared" si="0"/>
        <v>0.16519742883379246</v>
      </c>
      <c r="G22" s="88">
        <v>2026</v>
      </c>
      <c r="H22" s="88">
        <f>'Annual Cost Estimate'!E44</f>
        <v>2025</v>
      </c>
      <c r="I22" s="88" t="s">
        <v>187</v>
      </c>
      <c r="J22" s="51">
        <f t="shared" si="1"/>
        <v>46645.499999999993</v>
      </c>
      <c r="K22" s="125">
        <f t="shared" si="2"/>
        <v>12721.499999999998</v>
      </c>
      <c r="L22" s="125">
        <f t="shared" si="3"/>
        <v>11950.5</v>
      </c>
      <c r="M22" s="125">
        <f t="shared" si="4"/>
        <v>5525.5000000000009</v>
      </c>
      <c r="N22" s="125">
        <v>0</v>
      </c>
      <c r="O22" s="125">
        <f t="shared" si="19"/>
        <v>0</v>
      </c>
      <c r="P22" s="125">
        <f t="shared" si="14"/>
        <v>1500</v>
      </c>
      <c r="Q22" s="222">
        <v>1000</v>
      </c>
      <c r="R22" s="218">
        <f t="shared" si="15"/>
        <v>25714.285714285714</v>
      </c>
      <c r="S22" s="125">
        <f t="shared" si="5"/>
        <v>0</v>
      </c>
      <c r="T22" s="125">
        <f t="shared" si="6"/>
        <v>5140</v>
      </c>
      <c r="U22" s="52">
        <f t="shared" si="7"/>
        <v>5140</v>
      </c>
      <c r="V22" s="53">
        <f t="shared" si="20"/>
        <v>2570</v>
      </c>
      <c r="W22" s="68">
        <f t="shared" si="8"/>
        <v>5140</v>
      </c>
      <c r="X22" s="118">
        <f t="shared" si="9"/>
        <v>4112</v>
      </c>
      <c r="Y22" s="76">
        <f t="shared" si="16"/>
        <v>4610.58</v>
      </c>
      <c r="Z22" s="53">
        <f t="shared" si="17"/>
        <v>130769.86571428571</v>
      </c>
      <c r="AA22" s="51">
        <f t="shared" si="18"/>
        <v>0</v>
      </c>
      <c r="AB22" s="54">
        <f t="shared" si="10"/>
        <v>707.98898071625342</v>
      </c>
      <c r="AC22" s="55">
        <f t="shared" si="11"/>
        <v>14454.775022956841</v>
      </c>
      <c r="AD22" s="52">
        <f t="shared" si="12"/>
        <v>15162.764003673094</v>
      </c>
    </row>
    <row r="23" spans="1:30" x14ac:dyDescent="0.25">
      <c r="A23" s="48">
        <v>66007</v>
      </c>
      <c r="B23" s="48" t="s">
        <v>144</v>
      </c>
      <c r="C23" s="48" t="s">
        <v>145</v>
      </c>
      <c r="D23" s="48" t="s">
        <v>146</v>
      </c>
      <c r="E23" s="49">
        <f>651-50</f>
        <v>601</v>
      </c>
      <c r="F23" s="50">
        <f t="shared" si="0"/>
        <v>0.19315886134067953</v>
      </c>
      <c r="G23" s="88">
        <v>2022</v>
      </c>
      <c r="H23" s="88">
        <f>'Annual Cost Estimate'!E45</f>
        <v>2023</v>
      </c>
      <c r="I23" s="88" t="s">
        <v>187</v>
      </c>
      <c r="J23" s="51">
        <f t="shared" si="1"/>
        <v>54540.75</v>
      </c>
      <c r="K23" s="125">
        <f t="shared" si="2"/>
        <v>14874.75</v>
      </c>
      <c r="L23" s="125">
        <f t="shared" si="3"/>
        <v>13973.249999999998</v>
      </c>
      <c r="M23" s="125">
        <f t="shared" si="4"/>
        <v>6460.75</v>
      </c>
      <c r="N23" s="125">
        <v>0</v>
      </c>
      <c r="O23" s="125">
        <f t="shared" si="19"/>
        <v>0</v>
      </c>
      <c r="P23" s="125">
        <f t="shared" si="14"/>
        <v>1500</v>
      </c>
      <c r="Q23" s="222">
        <v>1000</v>
      </c>
      <c r="R23" s="218">
        <f t="shared" si="15"/>
        <v>25714.285714285714</v>
      </c>
      <c r="S23" s="125">
        <f t="shared" si="5"/>
        <v>0</v>
      </c>
      <c r="T23" s="125">
        <f t="shared" si="6"/>
        <v>6010</v>
      </c>
      <c r="U23" s="52">
        <f t="shared" si="7"/>
        <v>6010</v>
      </c>
      <c r="V23" s="53">
        <f t="shared" si="20"/>
        <v>3005</v>
      </c>
      <c r="W23" s="68">
        <f t="shared" si="8"/>
        <v>6010</v>
      </c>
      <c r="X23" s="118">
        <f t="shared" si="9"/>
        <v>4808</v>
      </c>
      <c r="Y23" s="76">
        <f t="shared" si="16"/>
        <v>5390.97</v>
      </c>
      <c r="Z23" s="53">
        <f t="shared" si="17"/>
        <v>148297.75571428571</v>
      </c>
      <c r="AA23" s="51">
        <f t="shared" si="18"/>
        <v>0</v>
      </c>
      <c r="AB23" s="54">
        <f t="shared" si="10"/>
        <v>827.8236914600551</v>
      </c>
      <c r="AC23" s="55">
        <f t="shared" si="11"/>
        <v>16901.400367309459</v>
      </c>
      <c r="AD23" s="52">
        <f t="shared" ref="AD23:AD33" si="21">SUM(AB23:AC23)</f>
        <v>17729.224058769516</v>
      </c>
    </row>
    <row r="24" spans="1:30" x14ac:dyDescent="0.25">
      <c r="A24" s="48">
        <v>66001</v>
      </c>
      <c r="B24" s="48" t="s">
        <v>104</v>
      </c>
      <c r="C24" s="48" t="s">
        <v>104</v>
      </c>
      <c r="D24" s="48" t="s">
        <v>104</v>
      </c>
      <c r="E24" s="49">
        <f>1154-520-617+920</f>
        <v>937</v>
      </c>
      <c r="F24" s="50">
        <f t="shared" si="0"/>
        <v>0.30114784205693296</v>
      </c>
      <c r="G24" s="88">
        <v>2029</v>
      </c>
      <c r="H24" s="88">
        <f>'Annual Cost Estimate'!E46</f>
        <v>2023</v>
      </c>
      <c r="I24" s="88" t="s">
        <v>187</v>
      </c>
      <c r="J24" s="51">
        <f t="shared" si="1"/>
        <v>85032.75</v>
      </c>
      <c r="K24" s="125">
        <f t="shared" si="2"/>
        <v>23190.75</v>
      </c>
      <c r="L24" s="125">
        <f t="shared" si="3"/>
        <v>21785.249999999996</v>
      </c>
      <c r="M24" s="125">
        <f t="shared" si="4"/>
        <v>10072.75</v>
      </c>
      <c r="N24" s="125">
        <v>0</v>
      </c>
      <c r="O24" s="125">
        <f t="shared" si="19"/>
        <v>0</v>
      </c>
      <c r="P24" s="125">
        <f t="shared" si="14"/>
        <v>1500</v>
      </c>
      <c r="Q24" s="222">
        <v>1000</v>
      </c>
      <c r="R24" s="218">
        <f t="shared" si="15"/>
        <v>25714.285714285714</v>
      </c>
      <c r="S24" s="125">
        <f t="shared" si="5"/>
        <v>0</v>
      </c>
      <c r="T24" s="125">
        <f t="shared" si="6"/>
        <v>9370</v>
      </c>
      <c r="U24" s="52">
        <f t="shared" si="7"/>
        <v>9370</v>
      </c>
      <c r="V24" s="53">
        <f t="shared" si="20"/>
        <v>4685</v>
      </c>
      <c r="W24" s="68">
        <f t="shared" si="8"/>
        <v>9370</v>
      </c>
      <c r="X24" s="118">
        <f t="shared" si="9"/>
        <v>7496</v>
      </c>
      <c r="Y24" s="76">
        <f t="shared" si="16"/>
        <v>8404.89</v>
      </c>
      <c r="Z24" s="53">
        <f t="shared" si="17"/>
        <v>215991.67571428569</v>
      </c>
      <c r="AA24" s="53">
        <f t="shared" si="18"/>
        <v>0</v>
      </c>
      <c r="AB24" s="54">
        <f t="shared" si="10"/>
        <v>1290.6336088154271</v>
      </c>
      <c r="AC24" s="55">
        <f t="shared" si="11"/>
        <v>26350.436179981632</v>
      </c>
      <c r="AD24" s="52">
        <f t="shared" si="21"/>
        <v>27641.06978879706</v>
      </c>
    </row>
    <row r="25" spans="1:30" x14ac:dyDescent="0.25">
      <c r="A25" s="48">
        <v>230010</v>
      </c>
      <c r="B25" s="48" t="s">
        <v>120</v>
      </c>
      <c r="C25" s="48" t="s">
        <v>121</v>
      </c>
      <c r="D25" s="48" t="s">
        <v>122</v>
      </c>
      <c r="E25" s="49">
        <v>520</v>
      </c>
      <c r="F25" s="50">
        <f t="shared" si="0"/>
        <v>0.16712580348943984</v>
      </c>
      <c r="G25" s="88">
        <v>2023</v>
      </c>
      <c r="H25" s="88">
        <f>'Annual Cost Estimate'!E47</f>
        <v>2025</v>
      </c>
      <c r="I25" s="88" t="s">
        <v>187</v>
      </c>
      <c r="J25" s="51">
        <f t="shared" si="1"/>
        <v>47190</v>
      </c>
      <c r="K25" s="188">
        <f t="shared" si="2"/>
        <v>12870</v>
      </c>
      <c r="L25" s="188">
        <f t="shared" si="3"/>
        <v>12090</v>
      </c>
      <c r="M25" s="188">
        <f t="shared" si="4"/>
        <v>5590</v>
      </c>
      <c r="N25" s="188">
        <v>0</v>
      </c>
      <c r="O25" s="188">
        <v>0</v>
      </c>
      <c r="P25" s="188">
        <v>1250</v>
      </c>
      <c r="Q25" s="222">
        <v>1000</v>
      </c>
      <c r="R25" s="218">
        <f t="shared" si="15"/>
        <v>25714.285714285714</v>
      </c>
      <c r="S25" s="188">
        <f t="shared" si="5"/>
        <v>0</v>
      </c>
      <c r="T25" s="188">
        <f t="shared" si="6"/>
        <v>5200</v>
      </c>
      <c r="U25" s="188">
        <f t="shared" si="7"/>
        <v>5200</v>
      </c>
      <c r="V25" s="53">
        <f t="shared" si="20"/>
        <v>2600</v>
      </c>
      <c r="W25" s="189">
        <f t="shared" si="8"/>
        <v>5200</v>
      </c>
      <c r="X25" s="16">
        <f t="shared" si="9"/>
        <v>4160</v>
      </c>
      <c r="Y25" s="76">
        <f t="shared" si="16"/>
        <v>4664.3999999999996</v>
      </c>
      <c r="Z25" s="53">
        <f t="shared" si="17"/>
        <v>131728.6857142857</v>
      </c>
      <c r="AA25" s="53">
        <f t="shared" si="18"/>
        <v>0</v>
      </c>
      <c r="AB25" s="55">
        <f t="shared" si="10"/>
        <v>716.25344352617083</v>
      </c>
      <c r="AC25" s="55">
        <f t="shared" si="11"/>
        <v>14623.507805325986</v>
      </c>
      <c r="AD25" s="52">
        <f t="shared" si="21"/>
        <v>15339.761248852157</v>
      </c>
    </row>
    <row r="26" spans="1:30" x14ac:dyDescent="0.25">
      <c r="A26" s="167">
        <v>230004</v>
      </c>
      <c r="B26" s="167" t="s">
        <v>104</v>
      </c>
      <c r="C26" s="167" t="s">
        <v>104</v>
      </c>
      <c r="D26" s="167" t="s">
        <v>104</v>
      </c>
      <c r="E26" s="190">
        <v>1213</v>
      </c>
      <c r="F26" s="191">
        <f t="shared" si="0"/>
        <v>0.38985307621671256</v>
      </c>
      <c r="G26" s="192"/>
      <c r="H26" s="192">
        <f>'Annual Cost Estimate'!E51</f>
        <v>2030</v>
      </c>
      <c r="I26" s="192" t="s">
        <v>187</v>
      </c>
      <c r="J26" s="193">
        <f t="shared" si="1"/>
        <v>110079.74999999999</v>
      </c>
      <c r="K26" s="194">
        <f t="shared" si="2"/>
        <v>30021.749999999996</v>
      </c>
      <c r="L26" s="194">
        <f t="shared" si="3"/>
        <v>28202.25</v>
      </c>
      <c r="M26" s="194">
        <f t="shared" si="4"/>
        <v>13039.750000000002</v>
      </c>
      <c r="N26" s="194">
        <f t="shared" ref="N26:N33" si="22">1*$N$4</f>
        <v>25000</v>
      </c>
      <c r="O26" s="194">
        <f t="shared" ref="O26:O33" si="23">1*$O$4</f>
        <v>2500</v>
      </c>
      <c r="P26" s="194">
        <f t="shared" si="14"/>
        <v>1500</v>
      </c>
      <c r="Q26" s="223">
        <v>1000</v>
      </c>
      <c r="R26" s="220">
        <f t="shared" si="15"/>
        <v>25714.285714285714</v>
      </c>
      <c r="S26" s="194">
        <f t="shared" si="5"/>
        <v>0</v>
      </c>
      <c r="T26" s="194">
        <f t="shared" si="6"/>
        <v>12130</v>
      </c>
      <c r="U26" s="195">
        <f t="shared" si="7"/>
        <v>12130</v>
      </c>
      <c r="V26" s="196">
        <f t="shared" si="20"/>
        <v>6065</v>
      </c>
      <c r="W26" s="193">
        <f t="shared" si="8"/>
        <v>12130</v>
      </c>
      <c r="X26" s="195">
        <f t="shared" si="9"/>
        <v>9704</v>
      </c>
      <c r="Y26" s="196">
        <f t="shared" si="16"/>
        <v>12380.609999999997</v>
      </c>
      <c r="Z26" s="196">
        <f t="shared" si="17"/>
        <v>300597.39571428567</v>
      </c>
      <c r="AA26" s="196">
        <f t="shared" si="18"/>
        <v>0</v>
      </c>
      <c r="AB26" s="193">
        <f t="shared" si="10"/>
        <v>1670.7988980716254</v>
      </c>
      <c r="AC26" s="194">
        <f t="shared" si="11"/>
        <v>34112.144168962346</v>
      </c>
      <c r="AD26" s="195">
        <f t="shared" si="21"/>
        <v>35782.943067033972</v>
      </c>
    </row>
    <row r="27" spans="1:30" x14ac:dyDescent="0.25">
      <c r="A27" s="167">
        <v>230005</v>
      </c>
      <c r="B27" s="167" t="s">
        <v>104</v>
      </c>
      <c r="C27" s="167" t="s">
        <v>104</v>
      </c>
      <c r="D27" s="167" t="s">
        <v>104</v>
      </c>
      <c r="E27" s="190">
        <v>1015</v>
      </c>
      <c r="F27" s="191">
        <f t="shared" si="0"/>
        <v>0.32621671258034896</v>
      </c>
      <c r="G27" s="192"/>
      <c r="H27" s="192">
        <f>'Annual Cost Estimate'!E52</f>
        <v>2030</v>
      </c>
      <c r="I27" s="192" t="s">
        <v>187</v>
      </c>
      <c r="J27" s="193">
        <f t="shared" si="1"/>
        <v>92111.25</v>
      </c>
      <c r="K27" s="194">
        <f t="shared" si="2"/>
        <v>25121.25</v>
      </c>
      <c r="L27" s="194">
        <f t="shared" si="3"/>
        <v>23598.75</v>
      </c>
      <c r="M27" s="194">
        <f t="shared" si="4"/>
        <v>10911.25</v>
      </c>
      <c r="N27" s="194">
        <f t="shared" si="22"/>
        <v>25000</v>
      </c>
      <c r="O27" s="194">
        <f t="shared" si="23"/>
        <v>2500</v>
      </c>
      <c r="P27" s="194">
        <f t="shared" si="14"/>
        <v>1500</v>
      </c>
      <c r="Q27" s="223">
        <v>1000</v>
      </c>
      <c r="R27" s="220">
        <f t="shared" si="15"/>
        <v>25714.285714285714</v>
      </c>
      <c r="S27" s="194">
        <f t="shared" si="5"/>
        <v>0</v>
      </c>
      <c r="T27" s="194">
        <f t="shared" si="6"/>
        <v>10150</v>
      </c>
      <c r="U27" s="195">
        <f t="shared" si="7"/>
        <v>10150</v>
      </c>
      <c r="V27" s="196">
        <f t="shared" si="20"/>
        <v>5075</v>
      </c>
      <c r="W27" s="193">
        <f t="shared" si="8"/>
        <v>10150</v>
      </c>
      <c r="X27" s="195">
        <f t="shared" si="9"/>
        <v>8120</v>
      </c>
      <c r="Y27" s="196">
        <f t="shared" si="16"/>
        <v>10604.55</v>
      </c>
      <c r="Z27" s="196">
        <f t="shared" si="17"/>
        <v>260706.33571428573</v>
      </c>
      <c r="AA27" s="196">
        <f t="shared" si="18"/>
        <v>0</v>
      </c>
      <c r="AB27" s="193">
        <f t="shared" si="10"/>
        <v>1398.0716253443525</v>
      </c>
      <c r="AC27" s="194">
        <f t="shared" si="11"/>
        <v>28543.962350780534</v>
      </c>
      <c r="AD27" s="195">
        <f t="shared" si="21"/>
        <v>29942.033976124887</v>
      </c>
    </row>
    <row r="28" spans="1:30" x14ac:dyDescent="0.25">
      <c r="A28" s="167">
        <v>230021</v>
      </c>
      <c r="B28" s="167" t="s">
        <v>104</v>
      </c>
      <c r="C28" s="167" t="s">
        <v>104</v>
      </c>
      <c r="D28" s="167" t="s">
        <v>104</v>
      </c>
      <c r="E28" s="190">
        <v>8120</v>
      </c>
      <c r="F28" s="191">
        <f t="shared" si="0"/>
        <v>2.6097337006427916</v>
      </c>
      <c r="G28" s="192"/>
      <c r="H28" s="192">
        <f>'Annual Cost Estimate'!E53</f>
        <v>2028</v>
      </c>
      <c r="I28" s="192" t="s">
        <v>187</v>
      </c>
      <c r="J28" s="193">
        <f t="shared" si="1"/>
        <v>736890</v>
      </c>
      <c r="K28" s="194">
        <f t="shared" si="2"/>
        <v>200970</v>
      </c>
      <c r="L28" s="194">
        <f t="shared" si="3"/>
        <v>188790</v>
      </c>
      <c r="M28" s="194">
        <f t="shared" si="4"/>
        <v>87290</v>
      </c>
      <c r="N28" s="194">
        <f t="shared" si="22"/>
        <v>25000</v>
      </c>
      <c r="O28" s="194">
        <f t="shared" si="23"/>
        <v>2500</v>
      </c>
      <c r="P28" s="194">
        <f t="shared" si="14"/>
        <v>1500</v>
      </c>
      <c r="Q28" s="223">
        <v>1000</v>
      </c>
      <c r="R28" s="220">
        <f t="shared" si="15"/>
        <v>25714.285714285714</v>
      </c>
      <c r="S28" s="194">
        <f t="shared" si="5"/>
        <v>0</v>
      </c>
      <c r="T28" s="194">
        <f t="shared" si="6"/>
        <v>81200</v>
      </c>
      <c r="U28" s="195">
        <f t="shared" si="7"/>
        <v>81200</v>
      </c>
      <c r="V28" s="196">
        <f t="shared" si="20"/>
        <v>40600</v>
      </c>
      <c r="W28" s="193">
        <f t="shared" si="8"/>
        <v>81200</v>
      </c>
      <c r="X28" s="195">
        <f t="shared" si="9"/>
        <v>64960</v>
      </c>
      <c r="Y28" s="196">
        <f t="shared" si="16"/>
        <v>74336.399999999994</v>
      </c>
      <c r="Z28" s="196">
        <f t="shared" si="17"/>
        <v>1692150.6857142858</v>
      </c>
      <c r="AA28" s="196">
        <f t="shared" si="18"/>
        <v>0</v>
      </c>
      <c r="AB28" s="193">
        <f t="shared" si="10"/>
        <v>11184.57300275482</v>
      </c>
      <c r="AC28" s="194">
        <f t="shared" si="11"/>
        <v>228351.69880624427</v>
      </c>
      <c r="AD28" s="195">
        <f t="shared" si="21"/>
        <v>239536.2718089991</v>
      </c>
    </row>
    <row r="29" spans="1:30" x14ac:dyDescent="0.25">
      <c r="A29" s="167">
        <v>230402</v>
      </c>
      <c r="B29" s="167" t="s">
        <v>104</v>
      </c>
      <c r="C29" s="167" t="s">
        <v>104</v>
      </c>
      <c r="D29" s="167" t="s">
        <v>104</v>
      </c>
      <c r="E29" s="190">
        <v>18914</v>
      </c>
      <c r="F29" s="191">
        <f t="shared" si="0"/>
        <v>6.0788797061524331</v>
      </c>
      <c r="G29" s="192"/>
      <c r="H29" s="192">
        <f>'Annual Cost Estimate'!E54</f>
        <v>2031</v>
      </c>
      <c r="I29" s="192" t="s">
        <v>187</v>
      </c>
      <c r="J29" s="193">
        <f t="shared" si="1"/>
        <v>1716445.5</v>
      </c>
      <c r="K29" s="194">
        <f t="shared" si="2"/>
        <v>468121.5</v>
      </c>
      <c r="L29" s="194">
        <f t="shared" si="3"/>
        <v>439750.5</v>
      </c>
      <c r="M29" s="194">
        <f t="shared" si="4"/>
        <v>203325.5</v>
      </c>
      <c r="N29" s="194">
        <f t="shared" si="22"/>
        <v>25000</v>
      </c>
      <c r="O29" s="194">
        <f t="shared" si="23"/>
        <v>2500</v>
      </c>
      <c r="P29" s="194">
        <f t="shared" si="14"/>
        <v>1500</v>
      </c>
      <c r="Q29" s="223">
        <v>1000</v>
      </c>
      <c r="R29" s="220">
        <f t="shared" si="15"/>
        <v>25714.285714285714</v>
      </c>
      <c r="S29" s="194">
        <f t="shared" si="5"/>
        <v>0</v>
      </c>
      <c r="T29" s="194">
        <f t="shared" si="6"/>
        <v>189140</v>
      </c>
      <c r="U29" s="195">
        <f t="shared" si="7"/>
        <v>189140</v>
      </c>
      <c r="V29" s="196">
        <f t="shared" si="20"/>
        <v>94570</v>
      </c>
      <c r="W29" s="193">
        <f t="shared" si="8"/>
        <v>189140</v>
      </c>
      <c r="X29" s="195">
        <f t="shared" si="9"/>
        <v>151312</v>
      </c>
      <c r="Y29" s="196">
        <f t="shared" si="16"/>
        <v>171158.58</v>
      </c>
      <c r="Z29" s="196">
        <f t="shared" si="17"/>
        <v>3866817.8657142855</v>
      </c>
      <c r="AA29" s="196">
        <f t="shared" si="18"/>
        <v>0</v>
      </c>
      <c r="AB29" s="193">
        <f t="shared" si="10"/>
        <v>26052.341597796145</v>
      </c>
      <c r="AC29" s="194">
        <f t="shared" si="11"/>
        <v>531901.97428833786</v>
      </c>
      <c r="AD29" s="195">
        <f t="shared" si="21"/>
        <v>557954.31588613405</v>
      </c>
    </row>
    <row r="30" spans="1:30" x14ac:dyDescent="0.25">
      <c r="A30" s="167">
        <v>230604</v>
      </c>
      <c r="B30" s="167" t="s">
        <v>104</v>
      </c>
      <c r="C30" s="167" t="s">
        <v>104</v>
      </c>
      <c r="D30" s="167" t="s">
        <v>104</v>
      </c>
      <c r="E30" s="190">
        <v>2799</v>
      </c>
      <c r="F30" s="191">
        <f t="shared" si="0"/>
        <v>0.89958677685950417</v>
      </c>
      <c r="G30" s="192"/>
      <c r="H30" s="192">
        <f>'Annual Cost Estimate'!E55</f>
        <v>2029</v>
      </c>
      <c r="I30" s="192" t="s">
        <v>187</v>
      </c>
      <c r="J30" s="193">
        <f t="shared" si="1"/>
        <v>254009.24999999997</v>
      </c>
      <c r="K30" s="194">
        <f t="shared" si="2"/>
        <v>69275.249999999985</v>
      </c>
      <c r="L30" s="194">
        <f t="shared" si="3"/>
        <v>65076.749999999993</v>
      </c>
      <c r="M30" s="194">
        <f t="shared" si="4"/>
        <v>30089.250000000004</v>
      </c>
      <c r="N30" s="194">
        <f t="shared" si="22"/>
        <v>25000</v>
      </c>
      <c r="O30" s="194">
        <f t="shared" si="23"/>
        <v>2500</v>
      </c>
      <c r="P30" s="194">
        <f t="shared" si="14"/>
        <v>1500</v>
      </c>
      <c r="Q30" s="223">
        <v>1000</v>
      </c>
      <c r="R30" s="220">
        <f t="shared" si="15"/>
        <v>25714.285714285714</v>
      </c>
      <c r="S30" s="194">
        <f t="shared" si="5"/>
        <v>0</v>
      </c>
      <c r="T30" s="194">
        <f t="shared" si="6"/>
        <v>27990</v>
      </c>
      <c r="U30" s="195">
        <f t="shared" si="7"/>
        <v>27990</v>
      </c>
      <c r="V30" s="196">
        <f t="shared" si="20"/>
        <v>13995</v>
      </c>
      <c r="W30" s="193">
        <f t="shared" si="8"/>
        <v>27990</v>
      </c>
      <c r="X30" s="195">
        <f t="shared" si="9"/>
        <v>22392</v>
      </c>
      <c r="Y30" s="196">
        <f t="shared" si="16"/>
        <v>26607.029999999995</v>
      </c>
      <c r="Z30" s="196">
        <f t="shared" si="17"/>
        <v>620128.81571428571</v>
      </c>
      <c r="AA30" s="196">
        <f t="shared" si="18"/>
        <v>0</v>
      </c>
      <c r="AB30" s="193">
        <f t="shared" si="10"/>
        <v>3855.3719008264466</v>
      </c>
      <c r="AC30" s="194">
        <f t="shared" si="11"/>
        <v>78713.842975206615</v>
      </c>
      <c r="AD30" s="195">
        <f t="shared" si="21"/>
        <v>82569.21487603306</v>
      </c>
    </row>
    <row r="31" spans="1:30" x14ac:dyDescent="0.25">
      <c r="A31" s="167">
        <v>66014</v>
      </c>
      <c r="B31" s="167" t="s">
        <v>104</v>
      </c>
      <c r="C31" s="167" t="s">
        <v>104</v>
      </c>
      <c r="D31" s="167" t="s">
        <v>104</v>
      </c>
      <c r="E31" s="190">
        <v>1360</v>
      </c>
      <c r="F31" s="191">
        <f t="shared" si="0"/>
        <v>0.43709825528007346</v>
      </c>
      <c r="G31" s="192"/>
      <c r="H31" s="192">
        <f>'Annual Cost Estimate'!E56</f>
        <v>2030</v>
      </c>
      <c r="I31" s="192" t="s">
        <v>187</v>
      </c>
      <c r="J31" s="193">
        <f t="shared" si="1"/>
        <v>123420</v>
      </c>
      <c r="K31" s="194">
        <f t="shared" si="2"/>
        <v>33660</v>
      </c>
      <c r="L31" s="194">
        <f t="shared" si="3"/>
        <v>31620</v>
      </c>
      <c r="M31" s="194">
        <f t="shared" si="4"/>
        <v>14620</v>
      </c>
      <c r="N31" s="194">
        <f t="shared" si="22"/>
        <v>25000</v>
      </c>
      <c r="O31" s="194">
        <f t="shared" si="23"/>
        <v>2500</v>
      </c>
      <c r="P31" s="194">
        <f t="shared" si="14"/>
        <v>1500</v>
      </c>
      <c r="Q31" s="223">
        <v>1000</v>
      </c>
      <c r="R31" s="220">
        <f t="shared" si="15"/>
        <v>25714.285714285714</v>
      </c>
      <c r="S31" s="194">
        <f t="shared" si="5"/>
        <v>0</v>
      </c>
      <c r="T31" s="194">
        <f t="shared" si="6"/>
        <v>13600</v>
      </c>
      <c r="U31" s="195">
        <f t="shared" si="7"/>
        <v>13600</v>
      </c>
      <c r="V31" s="196">
        <f t="shared" si="20"/>
        <v>6800</v>
      </c>
      <c r="W31" s="193">
        <f t="shared" si="8"/>
        <v>13600</v>
      </c>
      <c r="X31" s="195">
        <f t="shared" si="9"/>
        <v>10880</v>
      </c>
      <c r="Y31" s="196">
        <f t="shared" si="16"/>
        <v>13699.199999999999</v>
      </c>
      <c r="Z31" s="196">
        <f t="shared" si="17"/>
        <v>330213.48571428569</v>
      </c>
      <c r="AA31" s="196">
        <f t="shared" si="18"/>
        <v>0</v>
      </c>
      <c r="AB31" s="193">
        <f t="shared" si="10"/>
        <v>1873.2782369146005</v>
      </c>
      <c r="AC31" s="194">
        <f t="shared" si="11"/>
        <v>38246.097337006424</v>
      </c>
      <c r="AD31" s="195">
        <f t="shared" si="21"/>
        <v>40119.375573921025</v>
      </c>
    </row>
    <row r="32" spans="1:30" x14ac:dyDescent="0.25">
      <c r="A32" s="167">
        <v>66025</v>
      </c>
      <c r="B32" s="167" t="s">
        <v>104</v>
      </c>
      <c r="C32" s="167" t="s">
        <v>104</v>
      </c>
      <c r="D32" s="167" t="s">
        <v>104</v>
      </c>
      <c r="E32" s="190">
        <v>1765</v>
      </c>
      <c r="F32" s="191">
        <f t="shared" si="0"/>
        <v>0.56726354453627181</v>
      </c>
      <c r="G32" s="192"/>
      <c r="H32" s="192">
        <f>'Annual Cost Estimate'!E57</f>
        <v>2029</v>
      </c>
      <c r="I32" s="192" t="s">
        <v>187</v>
      </c>
      <c r="J32" s="193">
        <f t="shared" si="1"/>
        <v>160173.75</v>
      </c>
      <c r="K32" s="194">
        <f t="shared" si="2"/>
        <v>43683.75</v>
      </c>
      <c r="L32" s="194">
        <f t="shared" si="3"/>
        <v>41036.25</v>
      </c>
      <c r="M32" s="194">
        <f t="shared" si="4"/>
        <v>18973.75</v>
      </c>
      <c r="N32" s="194">
        <f t="shared" si="22"/>
        <v>25000</v>
      </c>
      <c r="O32" s="194">
        <f t="shared" si="23"/>
        <v>2500</v>
      </c>
      <c r="P32" s="194">
        <f t="shared" si="14"/>
        <v>1500</v>
      </c>
      <c r="Q32" s="223">
        <v>1000</v>
      </c>
      <c r="R32" s="220">
        <f t="shared" si="15"/>
        <v>25714.285714285714</v>
      </c>
      <c r="S32" s="194">
        <f t="shared" si="5"/>
        <v>0</v>
      </c>
      <c r="T32" s="194">
        <f t="shared" si="6"/>
        <v>17650</v>
      </c>
      <c r="U32" s="195">
        <f t="shared" si="7"/>
        <v>17650</v>
      </c>
      <c r="V32" s="196">
        <f t="shared" si="20"/>
        <v>8825</v>
      </c>
      <c r="W32" s="193">
        <f t="shared" si="8"/>
        <v>17650</v>
      </c>
      <c r="X32" s="195">
        <f t="shared" si="9"/>
        <v>14120</v>
      </c>
      <c r="Y32" s="196">
        <f t="shared" si="16"/>
        <v>17332.05</v>
      </c>
      <c r="Z32" s="196">
        <f t="shared" si="17"/>
        <v>411808.83571428573</v>
      </c>
      <c r="AA32" s="196">
        <f t="shared" si="18"/>
        <v>0</v>
      </c>
      <c r="AB32" s="193">
        <f t="shared" si="10"/>
        <v>2431.1294765840221</v>
      </c>
      <c r="AC32" s="194">
        <f t="shared" si="11"/>
        <v>49635.560146923781</v>
      </c>
      <c r="AD32" s="195">
        <f t="shared" si="21"/>
        <v>52066.689623507802</v>
      </c>
    </row>
    <row r="33" spans="1:30" ht="15.75" thickBot="1" x14ac:dyDescent="0.3">
      <c r="A33" s="167">
        <v>66021</v>
      </c>
      <c r="B33" s="167" t="s">
        <v>104</v>
      </c>
      <c r="C33" s="167" t="s">
        <v>104</v>
      </c>
      <c r="D33" s="167" t="s">
        <v>104</v>
      </c>
      <c r="E33" s="190">
        <v>4467</v>
      </c>
      <c r="F33" s="191">
        <f t="shared" si="0"/>
        <v>1.4356749311294765</v>
      </c>
      <c r="G33" s="192"/>
      <c r="H33" s="192">
        <f>'Annual Cost Estimate'!E58</f>
        <v>2027</v>
      </c>
      <c r="I33" s="192" t="s">
        <v>187</v>
      </c>
      <c r="J33" s="197">
        <f t="shared" si="1"/>
        <v>405380.24999999994</v>
      </c>
      <c r="K33" s="198">
        <f t="shared" si="2"/>
        <v>110558.24999999999</v>
      </c>
      <c r="L33" s="198">
        <f t="shared" si="3"/>
        <v>103857.75</v>
      </c>
      <c r="M33" s="198">
        <f t="shared" si="4"/>
        <v>48020.250000000007</v>
      </c>
      <c r="N33" s="198">
        <f t="shared" si="22"/>
        <v>25000</v>
      </c>
      <c r="O33" s="198">
        <f t="shared" si="23"/>
        <v>2500</v>
      </c>
      <c r="P33" s="198">
        <f t="shared" si="14"/>
        <v>1500</v>
      </c>
      <c r="Q33" s="225">
        <v>1000</v>
      </c>
      <c r="R33" s="221">
        <f t="shared" si="15"/>
        <v>25714.285714285714</v>
      </c>
      <c r="S33" s="198">
        <f t="shared" si="5"/>
        <v>0</v>
      </c>
      <c r="T33" s="198">
        <f t="shared" si="6"/>
        <v>44670</v>
      </c>
      <c r="U33" s="198">
        <f t="shared" si="7"/>
        <v>44670</v>
      </c>
      <c r="V33" s="200">
        <f t="shared" si="20"/>
        <v>22335</v>
      </c>
      <c r="W33" s="198">
        <f t="shared" si="8"/>
        <v>44670</v>
      </c>
      <c r="X33" s="198">
        <f t="shared" si="9"/>
        <v>35736</v>
      </c>
      <c r="Y33" s="200">
        <f t="shared" si="16"/>
        <v>41568.99</v>
      </c>
      <c r="Z33" s="196">
        <f t="shared" si="17"/>
        <v>956180.77571428567</v>
      </c>
      <c r="AA33" s="200">
        <f t="shared" si="18"/>
        <v>0</v>
      </c>
      <c r="AB33" s="198">
        <f t="shared" si="10"/>
        <v>6152.8925619834708</v>
      </c>
      <c r="AC33" s="198">
        <f t="shared" si="11"/>
        <v>125621.5564738292</v>
      </c>
      <c r="AD33" s="199">
        <f t="shared" si="21"/>
        <v>131774.44903581266</v>
      </c>
    </row>
    <row r="34" spans="1:30" x14ac:dyDescent="0.25">
      <c r="E34" s="31">
        <f>SUM(E5:E33)</f>
        <v>78796</v>
      </c>
      <c r="J34" s="1">
        <f t="shared" ref="J34:Y34" si="24">SUM(J5:J33)</f>
        <v>7150737</v>
      </c>
      <c r="K34" s="1">
        <f t="shared" si="24"/>
        <v>1950201</v>
      </c>
      <c r="L34" s="1">
        <f t="shared" si="24"/>
        <v>1832007</v>
      </c>
      <c r="M34" s="1">
        <f t="shared" si="24"/>
        <v>847057</v>
      </c>
      <c r="N34" s="1">
        <f t="shared" si="24"/>
        <v>450000</v>
      </c>
      <c r="O34" s="1">
        <f t="shared" si="24"/>
        <v>25000</v>
      </c>
      <c r="P34" s="1">
        <f t="shared" si="24"/>
        <v>37250</v>
      </c>
      <c r="Q34" s="1"/>
      <c r="R34" s="1">
        <f>SUM(R5:R33)</f>
        <v>642857.14285714296</v>
      </c>
      <c r="S34" s="1">
        <f t="shared" si="24"/>
        <v>0</v>
      </c>
      <c r="T34" s="1">
        <f t="shared" si="24"/>
        <v>787960</v>
      </c>
      <c r="U34" s="1">
        <f t="shared" si="24"/>
        <v>787960</v>
      </c>
      <c r="V34" s="1">
        <f t="shared" si="24"/>
        <v>308920</v>
      </c>
      <c r="W34" s="1">
        <f t="shared" si="24"/>
        <v>787960</v>
      </c>
      <c r="X34" s="1">
        <f t="shared" si="24"/>
        <v>630368</v>
      </c>
      <c r="Y34" s="64">
        <f t="shared" si="24"/>
        <v>733800.12</v>
      </c>
      <c r="Z34" s="226">
        <f t="shared" si="17"/>
        <v>16972077.262857143</v>
      </c>
      <c r="AA34" s="5">
        <f>SUM(AA5:AA32)</f>
        <v>0</v>
      </c>
      <c r="AB34" s="1">
        <f>SUM(AB5:AB33)</f>
        <v>108534.435261708</v>
      </c>
      <c r="AC34" s="1">
        <f>SUM(AC5:AC33)</f>
        <v>2215911.3865932049</v>
      </c>
      <c r="AD34" s="5">
        <f>SUM(AD5:AD33)</f>
        <v>2324445.8218549122</v>
      </c>
    </row>
    <row r="35" spans="1:30" x14ac:dyDescent="0.25">
      <c r="E35" s="115">
        <f>E34/5280</f>
        <v>14.923484848484849</v>
      </c>
      <c r="F35" t="s">
        <v>41</v>
      </c>
      <c r="J35" s="1"/>
      <c r="K35" s="1"/>
      <c r="L35" s="1"/>
      <c r="M35" s="1"/>
      <c r="N35" s="1"/>
      <c r="O35" s="1"/>
      <c r="P35" s="1"/>
      <c r="Q35" s="1"/>
      <c r="R35" s="1"/>
      <c r="S35" s="1"/>
      <c r="Z35" s="5">
        <f>Z34+AD34</f>
        <v>19296523.084712055</v>
      </c>
      <c r="AA35" s="3" t="s">
        <v>25</v>
      </c>
    </row>
    <row r="36" spans="1:30" x14ac:dyDescent="0.25"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Z36" s="45">
        <f>Z34/E34</f>
        <v>215.3926247887855</v>
      </c>
      <c r="AA36" t="s">
        <v>89</v>
      </c>
    </row>
    <row r="37" spans="1:30" x14ac:dyDescent="0.25">
      <c r="B37" s="28"/>
      <c r="C37" s="28"/>
      <c r="D37" s="28" t="s">
        <v>34</v>
      </c>
      <c r="E37" s="3" t="s">
        <v>56</v>
      </c>
      <c r="F37" s="111"/>
      <c r="G37" s="129"/>
      <c r="H37" s="111"/>
      <c r="I37" s="129"/>
      <c r="K37" s="241" t="s">
        <v>36</v>
      </c>
      <c r="L37" s="126"/>
      <c r="N37" s="1"/>
      <c r="Z37" s="45">
        <f>Z35/E34</f>
        <v>244.89216565196273</v>
      </c>
      <c r="AA37" t="s">
        <v>231</v>
      </c>
    </row>
    <row r="38" spans="1:30" x14ac:dyDescent="0.25">
      <c r="A38" s="3"/>
      <c r="B38" s="3"/>
      <c r="C38" s="3"/>
      <c r="D38" s="3"/>
      <c r="E38" s="3" t="s">
        <v>45</v>
      </c>
      <c r="F38" s="111"/>
      <c r="G38" s="129"/>
      <c r="H38" s="111"/>
      <c r="I38" s="129"/>
      <c r="K38" s="241"/>
      <c r="L38" s="126"/>
      <c r="Z38" s="1">
        <f>Z37*5280</f>
        <v>1293030.6346423633</v>
      </c>
      <c r="AA38" t="s">
        <v>90</v>
      </c>
      <c r="AB38" s="45"/>
    </row>
    <row r="39" spans="1:30" x14ac:dyDescent="0.25">
      <c r="A39" s="3"/>
      <c r="B39" s="3"/>
      <c r="C39" s="3"/>
      <c r="D39" s="3"/>
      <c r="E39" s="3" t="s">
        <v>48</v>
      </c>
      <c r="F39" s="111"/>
      <c r="G39" s="129"/>
      <c r="H39" s="111"/>
      <c r="I39" s="129"/>
      <c r="V39" s="1"/>
      <c r="AC39" s="45"/>
    </row>
    <row r="40" spans="1:30" x14ac:dyDescent="0.25">
      <c r="A40" s="3"/>
      <c r="B40" s="3"/>
      <c r="C40" s="3"/>
      <c r="D40" s="3"/>
      <c r="E40" s="3" t="s">
        <v>49</v>
      </c>
      <c r="F40" s="111"/>
      <c r="G40" s="129"/>
      <c r="H40" s="111"/>
      <c r="I40" s="129"/>
      <c r="Z40" s="1"/>
      <c r="AC40" s="45"/>
    </row>
    <row r="41" spans="1:30" x14ac:dyDescent="0.25">
      <c r="A41" s="3"/>
      <c r="B41" s="3"/>
      <c r="C41" s="3"/>
      <c r="D41" s="3"/>
      <c r="E41" s="31" t="s">
        <v>46</v>
      </c>
      <c r="X41" s="64"/>
      <c r="Y41" s="109"/>
      <c r="Z41" s="1"/>
    </row>
    <row r="42" spans="1:30" x14ac:dyDescent="0.25">
      <c r="E42" s="31" t="s">
        <v>47</v>
      </c>
      <c r="Y42" s="28"/>
    </row>
    <row r="43" spans="1:30" x14ac:dyDescent="0.25">
      <c r="E43" s="31" t="s">
        <v>235</v>
      </c>
      <c r="Z43" s="1"/>
    </row>
    <row r="44" spans="1:30" x14ac:dyDescent="0.25">
      <c r="D44" s="95"/>
      <c r="E44" s="31" t="s">
        <v>239</v>
      </c>
      <c r="Y44" s="28"/>
    </row>
  </sheetData>
  <mergeCells count="8">
    <mergeCell ref="K37:K38"/>
    <mergeCell ref="J1:U1"/>
    <mergeCell ref="W1:X1"/>
    <mergeCell ref="AB1:AD1"/>
    <mergeCell ref="J2:P2"/>
    <mergeCell ref="J3:K3"/>
    <mergeCell ref="T3:U3"/>
    <mergeCell ref="Q2:R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6B24E4DE-CA47-4A25-B868-58C47A115356}"/>
</file>

<file path=customXml/itemProps2.xml><?xml version="1.0" encoding="utf-8"?>
<ds:datastoreItem xmlns:ds="http://schemas.openxmlformats.org/officeDocument/2006/customXml" ds:itemID="{DB02C300-4A4D-4C78-86FF-51787285BDD6}"/>
</file>

<file path=customXml/itemProps3.xml><?xml version="1.0" encoding="utf-8"?>
<ds:datastoreItem xmlns:ds="http://schemas.openxmlformats.org/officeDocument/2006/customXml" ds:itemID="{DD3A90D3-0AA7-48D6-AA0C-791C665518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Annual Cost Estimate</vt:lpstr>
      <vt:lpstr>Access Bridge</vt:lpstr>
      <vt:lpstr>Access Road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2022-04-08T17:06:23Z</dcterms:created>
  <dcterms:modified xsi:type="dcterms:W3CDTF">2022-04-08T17:06:24Z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