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B66BF912-92F6-4A98-A3BE-E7EDE8B5631C}" xr6:coauthVersionLast="47" xr6:coauthVersionMax="47" xr10:uidLastSave="{00000000-0000-0000-0000-000000000000}"/>
  <bookViews>
    <workbookView xWindow="6945" yWindow="1125" windowWidth="21600" windowHeight="11385" firstSheet="3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4 Rev Requirement-inputs" sheetId="15" r:id="rId5"/>
    <sheet name="P-1sb" sheetId="7" r:id="rId6"/>
    <sheet name="P-1sc" sheetId="10" r:id="rId7"/>
    <sheet name="P-1sd" sheetId="1" r:id="rId8"/>
    <sheet name="2024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5" l="1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J25" i="1" l="1"/>
  <c r="J23" i="1"/>
  <c r="E35" i="15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J38" i="1" l="1"/>
  <c r="B22" i="8" s="1"/>
  <c r="C4" i="7" s="1"/>
  <c r="D4" i="7" l="1"/>
  <c r="D8" i="7" s="1"/>
  <c r="G4" i="7"/>
  <c r="G8" i="7" s="1"/>
  <c r="G13" i="7" s="1"/>
  <c r="G17" i="7" s="1"/>
  <c r="E17" i="10" s="1"/>
  <c r="E28" i="10" s="1"/>
  <c r="K4" i="7"/>
  <c r="K8" i="7" s="1"/>
  <c r="E4" i="7"/>
  <c r="E8" i="7" s="1"/>
  <c r="E13" i="7" s="1"/>
  <c r="E17" i="7" s="1"/>
  <c r="C17" i="10" s="1"/>
  <c r="C28" i="10" s="1"/>
  <c r="C8" i="7"/>
  <c r="F4" i="7"/>
  <c r="F8" i="7" s="1"/>
  <c r="F14" i="7" s="1"/>
  <c r="F22" i="7" s="1"/>
  <c r="D22" i="10" s="1"/>
  <c r="D33" i="10" s="1"/>
  <c r="H4" i="7"/>
  <c r="H8" i="7" s="1"/>
  <c r="H14" i="7" s="1"/>
  <c r="H23" i="7" s="1"/>
  <c r="F23" i="10" s="1"/>
  <c r="F34" i="10" s="1"/>
  <c r="J4" i="7"/>
  <c r="J8" i="7" s="1"/>
  <c r="J13" i="7" s="1"/>
  <c r="J17" i="7" s="1"/>
  <c r="H17" i="10" s="1"/>
  <c r="H28" i="10" s="1"/>
  <c r="I4" i="7"/>
  <c r="I8" i="7" s="1"/>
  <c r="I14" i="7" s="1"/>
  <c r="I24" i="7" s="1"/>
  <c r="G24" i="10" s="1"/>
  <c r="G35" i="10" s="1"/>
  <c r="G19" i="7"/>
  <c r="E19" i="10" s="1"/>
  <c r="E30" i="10" s="1"/>
  <c r="G18" i="7" l="1"/>
  <c r="E18" i="10" s="1"/>
  <c r="E29" i="10" s="1"/>
  <c r="F23" i="7"/>
  <c r="D23" i="10" s="1"/>
  <c r="D34" i="10" s="1"/>
  <c r="F24" i="7"/>
  <c r="D24" i="10" s="1"/>
  <c r="D35" i="10" s="1"/>
  <c r="L4" i="7"/>
  <c r="D13" i="7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<sst xmlns="http://schemas.openxmlformats.org/spreadsheetml/2006/main" count="318" uniqueCount="119">
  <si>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</si>
  <si>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</si>
  <si>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</si>
  <si>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</si>
  <si>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</si>
  <si>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</si>
  <si>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</si>
  <si>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</si>
  <si>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</si>
  <si>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</si>
  <si>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</si>
  <si>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</si>
  <si>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</si>
  <si>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</si>
  <si>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</si>
  <si>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</si>
  <si>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</si>
  <si>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</si>
  <si>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</si>
  <si>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</si>
  <si>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</si>
  <si>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</si>
  <si>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</si>
  <si>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</si>
  <si>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</si>
  <si>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</si>
  <si>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</si>
  <si>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</si>
  <si>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</si>
  <si>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</si>
  <si>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</si>
  <si>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</si>
  <si>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</si>
  <si>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</si>
  <si>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</si>
  <si>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</si>
  <si>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</si>
  <si>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</si>
  <si>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</si>
  <si>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</si>
  <si>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</si>
  <si>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</si>
  <si>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</si>
  <si>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</si>
  <si>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</si>
  <si>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</si>
  <si>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</si>
  <si>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</si>
  <si>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</si>
  <si>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</si>
  <si>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</si>
  <si>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</si>
  <si>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</si>
  <si>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</si>
  <si>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</si>
  <si>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</si>
  <si>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</si>
  <si>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</si>
  <si>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</si>
  <si>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</si>
  <si>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</si>
  <si>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</si>
  <si>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</si>
  <si>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</si>
  <si>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</si>
  <si>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</si>
  <si>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</si>
  <si>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</si>
  <si>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</si>
  <si>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</si>
  <si>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</si>
  <si>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</si>
  <si>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</si>
  <si>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</si>
  <si>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</si>
  <si>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</si>
  <si>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</si>
  <si>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</si>
  <si>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</si>
  <si>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</si>
  <si>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</si>
  <si>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</si>
  <si>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</si>
  <si>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</si>
  <si>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</si>
  <si>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</si>
  <si>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</si>
  <si>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</si>
  <si>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</si>
  <si>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</si>
  <si>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</si>
  <si>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</si>
  <si>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</si>
  <si>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</si>
  <si>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</si>
  <si>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</si>
  <si>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</si>
  <si>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</si>
  <si>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</si>
  <si>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</si>
  <si>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Incremental Jurisdictionally Separated SPP Revenue Requirement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</si>
  <si>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</si>
  <si>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</si>
  <si>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</si>
  <si>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</si>
  <si>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</si>
  <si>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</si>
  <si>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</si>
  <si>
    <t>SPP Period: January through December 2024</t>
  </si>
  <si>
    <t>Summary of 2024 SPP Revenue Requirements for Rate Calculation</t>
  </si>
  <si>
    <t>Jurisdictionally Separated SPP O&amp;M Revenue Requirement for 2024</t>
  </si>
  <si>
    <t>Jurisdictionally Separated SPP Capital Revenue Requirement for 2024</t>
  </si>
  <si>
    <t xml:space="preserve">Total Jurisdictionally Separated SPP Revenue Requirement for 2024  </t>
  </si>
  <si>
    <t>Incremental Portion Total 2024 SPP Revenue Requirements with 2021 Settlement methodology from Docket No. 20210034-EI</t>
  </si>
  <si>
    <t>2024 Revenue Requirements with 2021 Settlement methodology from Docket No. 20210034-EI</t>
  </si>
  <si>
    <t>Docket 20210034-EI, Calculation of Total 2024 SPP Rates utilizing 2021 base year portion and 2024 incremental portion, 2021 Settlement Cost of Service Methodology</t>
  </si>
  <si>
    <t>Docket 20210034-EI, Calculation of 2024 SPP Rates utilizing 2021 base year portion, 2021 Settlement Cost of Service Methodology</t>
  </si>
  <si>
    <t>Docket 20210034-EI, Calculation of 2024 SPPCRC Rates utilizing 2021 base year portion, 2021 Settlement Cost of Service Methodology</t>
  </si>
  <si>
    <t>YEAR 2024 - SPP INCREMENTAL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</si>
</sst>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4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0" xfId="4" applyFo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0" fontId="1" fillId="0" borderId="0" xfId="8" applyFont="1" applyAlignment="1">
      <alignment horizontal="center" vertical="center"/>
    </xf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169" fontId="1" fillId="2" borderId="5" xfId="4" applyNumberFormat="1" applyFon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CR%20Electric\2021%20-%20ECCR\Clause%20Settlement%20rates\Final%20Items\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Docket%20No.%2020210010-EI%20(SPPCRC)\02_2021%20Projection%20(for%202022)\02_Corrected\5-10-21\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80</v>
      </c>
    </row>
    <row r="4" spans="2:7" x14ac:dyDescent="0.25">
      <c r="D4" s="96" t="s">
        <v>81</v>
      </c>
    </row>
    <row r="5" spans="2:7" x14ac:dyDescent="0.25">
      <c r="D5" s="96" t="s">
        <v>82</v>
      </c>
    </row>
    <row r="6" spans="2:7" x14ac:dyDescent="0.25">
      <c r="D6" s="114" t="s">
        <v>90</v>
      </c>
    </row>
    <row r="7" spans="2:7" x14ac:dyDescent="0.25">
      <c r="D7" s="96"/>
    </row>
    <row r="8" spans="2:7" x14ac:dyDescent="0.25">
      <c r="D8" s="98" t="s">
        <v>88</v>
      </c>
      <c r="F8" s="96"/>
    </row>
    <row r="9" spans="2:7" x14ac:dyDescent="0.25">
      <c r="C9" s="131"/>
      <c r="D9" s="131"/>
      <c r="F9" s="96"/>
    </row>
    <row r="10" spans="2:7" x14ac:dyDescent="0.25">
      <c r="C10" s="132" t="s">
        <v>83</v>
      </c>
      <c r="D10" s="132"/>
      <c r="F10" s="132" t="s">
        <v>84</v>
      </c>
      <c r="G10" s="132"/>
    </row>
    <row r="11" spans="2:7" x14ac:dyDescent="0.25">
      <c r="C11" s="97" t="s">
        <v>35</v>
      </c>
      <c r="D11" s="87" t="s">
        <v>36</v>
      </c>
      <c r="F11" s="87" t="s">
        <v>85</v>
      </c>
      <c r="G11" s="87" t="s">
        <v>86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D7" sqref="D7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80</v>
      </c>
    </row>
    <row r="4" spans="2:18" x14ac:dyDescent="0.25">
      <c r="D4" s="96" t="s">
        <v>81</v>
      </c>
    </row>
    <row r="5" spans="2:18" x14ac:dyDescent="0.25">
      <c r="D5" s="96" t="s">
        <v>82</v>
      </c>
    </row>
    <row r="6" spans="2:18" x14ac:dyDescent="0.25">
      <c r="D6" s="130" t="s">
        <v>118</v>
      </c>
    </row>
    <row r="7" spans="2:18" x14ac:dyDescent="0.25">
      <c r="D7" s="96"/>
    </row>
    <row r="8" spans="2:18" x14ac:dyDescent="0.25">
      <c r="D8" s="98" t="s">
        <v>89</v>
      </c>
      <c r="F8" s="96"/>
    </row>
    <row r="9" spans="2:18" x14ac:dyDescent="0.25">
      <c r="C9" s="131"/>
      <c r="D9" s="131"/>
      <c r="F9" s="96"/>
    </row>
    <row r="10" spans="2:18" x14ac:dyDescent="0.25">
      <c r="C10" s="132" t="s">
        <v>83</v>
      </c>
      <c r="D10" s="132"/>
      <c r="F10" s="105" t="s">
        <v>84</v>
      </c>
      <c r="G10" s="105"/>
    </row>
    <row r="11" spans="2:18" x14ac:dyDescent="0.25">
      <c r="C11" s="97" t="s">
        <v>35</v>
      </c>
      <c r="D11" s="87" t="s">
        <v>36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workbookViewId="0">
      <selection activeCell="B2" sqref="B2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30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31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9" t="s">
        <v>32</v>
      </c>
      <c r="B7" s="140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30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41" t="s">
        <v>33</v>
      </c>
    </row>
    <row r="9" spans="1:13" x14ac:dyDescent="0.25">
      <c r="A9" s="35" t="s">
        <v>31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41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34</v>
      </c>
      <c r="B12" s="34" t="s">
        <v>35</v>
      </c>
      <c r="C12" s="44" t="s">
        <v>36</v>
      </c>
      <c r="D12" s="41"/>
      <c r="E12" s="41"/>
      <c r="F12" s="41"/>
      <c r="G12" s="41"/>
      <c r="H12" s="41"/>
      <c r="I12" s="41"/>
    </row>
    <row r="13" spans="1:13" x14ac:dyDescent="0.25">
      <c r="A13" s="45" t="s">
        <v>22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23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24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25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26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27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28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29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37</v>
      </c>
      <c r="D24" s="38" t="s">
        <v>35</v>
      </c>
      <c r="E24" s="38" t="s">
        <v>36</v>
      </c>
      <c r="F24" s="38" t="s">
        <v>35</v>
      </c>
      <c r="G24" s="38" t="s">
        <v>36</v>
      </c>
      <c r="H24" s="38" t="s">
        <v>36</v>
      </c>
      <c r="I24" s="38" t="s">
        <v>35</v>
      </c>
      <c r="J24" s="38" t="s">
        <v>35</v>
      </c>
    </row>
    <row r="25" spans="1:13" x14ac:dyDescent="0.25">
      <c r="A25" s="31" t="s">
        <v>38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39</v>
      </c>
      <c r="B29" s="142"/>
      <c r="C29" s="142"/>
      <c r="D29" s="142"/>
      <c r="E29" s="55" t="s">
        <v>40</v>
      </c>
    </row>
    <row r="30" spans="1:13" x14ac:dyDescent="0.25">
      <c r="A30" s="45" t="s">
        <v>41</v>
      </c>
      <c r="B30" s="138">
        <f>'20130040 Demand Allocation'!C23</f>
        <v>0.925763</v>
      </c>
      <c r="C30" s="138"/>
      <c r="D30" s="138"/>
      <c r="E30" s="56">
        <f>B30/B32</f>
        <v>0.925763</v>
      </c>
    </row>
    <row r="31" spans="1:13" x14ac:dyDescent="0.25">
      <c r="A31" s="45" t="s">
        <v>42</v>
      </c>
      <c r="B31" s="138">
        <f>'20130040 Demand Allocation'!C24</f>
        <v>7.4236999999999997E-2</v>
      </c>
      <c r="C31" s="138"/>
      <c r="D31" s="138"/>
      <c r="E31" s="56">
        <f>B31/B32</f>
        <v>7.4236999999999997E-2</v>
      </c>
      <c r="G31" s="33" t="s">
        <v>43</v>
      </c>
    </row>
    <row r="32" spans="1:13" x14ac:dyDescent="0.25">
      <c r="A32" s="45" t="s">
        <v>44</v>
      </c>
      <c r="B32" s="134">
        <f>SUM(B30:B31)</f>
        <v>1</v>
      </c>
      <c r="C32" s="134"/>
      <c r="D32" s="134"/>
      <c r="E32" s="57">
        <f>SUM(E30:E31)</f>
        <v>1</v>
      </c>
      <c r="F32" s="33" t="s">
        <v>33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5" t="s">
        <v>45</v>
      </c>
      <c r="C34" s="135"/>
      <c r="D34" s="135"/>
    </row>
    <row r="35" spans="1:6" ht="15.75" x14ac:dyDescent="0.25">
      <c r="A35" s="60" t="s">
        <v>46</v>
      </c>
      <c r="B35" s="136"/>
      <c r="C35" s="136"/>
      <c r="D35" s="136"/>
    </row>
    <row r="36" spans="1:6" ht="15.75" x14ac:dyDescent="0.25">
      <c r="A36" s="61" t="s">
        <v>47</v>
      </c>
      <c r="B36" s="133">
        <v>4094306</v>
      </c>
      <c r="C36" s="133"/>
      <c r="D36" s="133"/>
    </row>
    <row r="37" spans="1:6" ht="15.75" x14ac:dyDescent="0.25">
      <c r="A37" s="61" t="s">
        <v>48</v>
      </c>
      <c r="B37" s="133">
        <v>1183139</v>
      </c>
      <c r="C37" s="133"/>
      <c r="D37" s="133"/>
    </row>
    <row r="38" spans="1:6" ht="15.75" x14ac:dyDescent="0.25">
      <c r="A38" s="61" t="s">
        <v>49</v>
      </c>
      <c r="B38" s="133">
        <v>0</v>
      </c>
      <c r="C38" s="133"/>
      <c r="D38" s="133"/>
    </row>
    <row r="39" spans="1:6" ht="15.75" x14ac:dyDescent="0.25">
      <c r="A39" s="61" t="s">
        <v>50</v>
      </c>
      <c r="B39" s="133">
        <v>1108196</v>
      </c>
      <c r="C39" s="133"/>
      <c r="D39" s="133"/>
    </row>
    <row r="40" spans="1:6" ht="15.75" x14ac:dyDescent="0.25">
      <c r="A40" s="61" t="s">
        <v>51</v>
      </c>
      <c r="B40" s="133">
        <v>31312</v>
      </c>
      <c r="C40" s="133"/>
      <c r="D40" s="133"/>
    </row>
    <row r="41" spans="1:6" ht="15.75" x14ac:dyDescent="0.25">
      <c r="A41" s="61" t="s">
        <v>91</v>
      </c>
      <c r="B41" s="133">
        <v>1409852</v>
      </c>
      <c r="C41" s="133"/>
      <c r="D41" s="133"/>
    </row>
    <row r="42" spans="1:6" ht="15.75" x14ac:dyDescent="0.25">
      <c r="A42" s="61"/>
    </row>
    <row r="43" spans="1:6" ht="15.75" x14ac:dyDescent="0.25">
      <c r="A43" s="62" t="s">
        <v>52</v>
      </c>
      <c r="B43" s="135" t="s">
        <v>45</v>
      </c>
      <c r="C43" s="135"/>
      <c r="D43" s="135"/>
    </row>
    <row r="44" spans="1:6" ht="15.75" x14ac:dyDescent="0.25">
      <c r="A44" s="61" t="s">
        <v>47</v>
      </c>
      <c r="B44" s="137">
        <v>0</v>
      </c>
      <c r="C44" s="137"/>
      <c r="D44" s="137"/>
    </row>
    <row r="45" spans="1:6" ht="15.75" customHeight="1" x14ac:dyDescent="0.25">
      <c r="A45" s="61" t="s">
        <v>93</v>
      </c>
      <c r="B45" s="133">
        <v>19793075</v>
      </c>
      <c r="C45" s="133"/>
      <c r="D45" s="133"/>
      <c r="F45" s="63"/>
    </row>
    <row r="46" spans="1:6" ht="15.75" customHeight="1" x14ac:dyDescent="0.25">
      <c r="A46" s="61" t="s">
        <v>94</v>
      </c>
      <c r="B46" s="133">
        <v>1300000</v>
      </c>
      <c r="C46" s="133"/>
      <c r="D46" s="133"/>
      <c r="F46" s="63"/>
    </row>
    <row r="47" spans="1:6" ht="15.75" customHeight="1" x14ac:dyDescent="0.25">
      <c r="A47" s="64" t="s">
        <v>95</v>
      </c>
      <c r="B47" s="133">
        <v>3745210</v>
      </c>
      <c r="C47" s="133"/>
      <c r="D47" s="133"/>
      <c r="F47" s="63"/>
    </row>
    <row r="48" spans="1:6" ht="15.75" customHeight="1" x14ac:dyDescent="0.25">
      <c r="A48" s="64" t="s">
        <v>96</v>
      </c>
      <c r="B48" s="133">
        <v>0</v>
      </c>
      <c r="C48" s="133"/>
      <c r="D48" s="133"/>
      <c r="F48" s="63"/>
    </row>
    <row r="49" spans="1:6" ht="15.75" customHeight="1" x14ac:dyDescent="0.25">
      <c r="A49" s="64" t="s">
        <v>48</v>
      </c>
      <c r="B49" s="133">
        <v>412913</v>
      </c>
      <c r="C49" s="133"/>
      <c r="D49" s="133"/>
    </row>
    <row r="50" spans="1:6" ht="15.75" customHeight="1" x14ac:dyDescent="0.25">
      <c r="A50" s="61" t="s">
        <v>49</v>
      </c>
      <c r="B50" s="133">
        <v>250000</v>
      </c>
      <c r="C50" s="133"/>
      <c r="D50" s="133"/>
      <c r="F50" s="63"/>
    </row>
    <row r="51" spans="1:6" ht="15.75" customHeight="1" x14ac:dyDescent="0.25">
      <c r="A51" s="64" t="s">
        <v>50</v>
      </c>
      <c r="B51" s="133">
        <v>465592</v>
      </c>
      <c r="C51" s="133"/>
      <c r="D51" s="133"/>
    </row>
    <row r="52" spans="1:6" ht="15.75" customHeight="1" x14ac:dyDescent="0.25">
      <c r="A52" s="64" t="s">
        <v>51</v>
      </c>
      <c r="B52" s="133">
        <v>5555</v>
      </c>
      <c r="C52" s="133"/>
      <c r="D52" s="133"/>
    </row>
    <row r="53" spans="1:6" ht="15.75" customHeight="1" x14ac:dyDescent="0.25">
      <c r="A53" s="64" t="s">
        <v>53</v>
      </c>
      <c r="B53" s="133">
        <v>593036</v>
      </c>
      <c r="C53" s="133"/>
      <c r="D53" s="133"/>
    </row>
    <row r="54" spans="1:6" ht="15.75" customHeight="1" x14ac:dyDescent="0.25">
      <c r="A54" s="64" t="s">
        <v>54</v>
      </c>
      <c r="B54" s="133">
        <v>581430</v>
      </c>
      <c r="C54" s="133"/>
      <c r="D54" s="133"/>
    </row>
    <row r="55" spans="1:6" ht="15.75" customHeight="1" x14ac:dyDescent="0.25">
      <c r="A55" s="64" t="s">
        <v>55</v>
      </c>
      <c r="B55" s="133">
        <v>1134769</v>
      </c>
      <c r="C55" s="133"/>
      <c r="D55" s="133"/>
    </row>
    <row r="56" spans="1:6" ht="15.75" customHeight="1" x14ac:dyDescent="0.25">
      <c r="A56" s="64" t="s">
        <v>92</v>
      </c>
      <c r="B56" s="133">
        <v>280500</v>
      </c>
      <c r="C56" s="133"/>
      <c r="D56" s="133"/>
    </row>
    <row r="57" spans="1:6" ht="15.75" customHeight="1" x14ac:dyDescent="0.25">
      <c r="A57" s="61" t="s">
        <v>91</v>
      </c>
      <c r="B57" s="133">
        <v>615080</v>
      </c>
      <c r="C57" s="133"/>
      <c r="D57" s="133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B2" sqref="B2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3" t="s">
        <v>117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5.75" x14ac:dyDescent="0.25">
      <c r="A2" s="65" t="s">
        <v>56</v>
      </c>
      <c r="B2" s="65" t="s">
        <v>57</v>
      </c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2" ht="15.75" x14ac:dyDescent="0.25">
      <c r="A3" s="60" t="s">
        <v>46</v>
      </c>
    </row>
    <row r="4" spans="1:12" ht="15.75" x14ac:dyDescent="0.25">
      <c r="A4" s="61" t="s">
        <v>47</v>
      </c>
      <c r="B4" s="66" t="s">
        <v>59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48</v>
      </c>
      <c r="B5" s="66" t="s">
        <v>60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49</v>
      </c>
      <c r="B6" s="66" t="s">
        <v>59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50</v>
      </c>
      <c r="B7" s="66" t="s">
        <v>59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51</v>
      </c>
      <c r="B8" s="66" t="s">
        <v>60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91</v>
      </c>
      <c r="B9" s="115" t="s">
        <v>59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52</v>
      </c>
      <c r="B11" s="69"/>
    </row>
    <row r="12" spans="1:12" ht="15.75" x14ac:dyDescent="0.25">
      <c r="A12" s="61" t="s">
        <v>47</v>
      </c>
      <c r="B12" s="115" t="s">
        <v>59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93</v>
      </c>
      <c r="B13" s="66" t="s">
        <v>59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94</v>
      </c>
      <c r="B14" s="115" t="s">
        <v>59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95</v>
      </c>
      <c r="B15" s="66" t="s">
        <v>60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96</v>
      </c>
      <c r="B16" s="115" t="s">
        <v>60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48</v>
      </c>
      <c r="B17" s="66" t="s">
        <v>60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49</v>
      </c>
      <c r="B18" s="66" t="s">
        <v>59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50</v>
      </c>
      <c r="B19" s="66" t="s">
        <v>59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53</v>
      </c>
      <c r="B20" s="66" t="s">
        <v>59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54</v>
      </c>
      <c r="B21" s="66" t="s">
        <v>60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55</v>
      </c>
      <c r="B22" s="66" t="s">
        <v>59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92</v>
      </c>
      <c r="B23" s="115" t="s">
        <v>59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91</v>
      </c>
      <c r="B24" s="115" t="s">
        <v>59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6" t="s">
        <v>44</v>
      </c>
      <c r="B27" s="146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6" t="s">
        <v>61</v>
      </c>
      <c r="B29" s="146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6" t="s">
        <v>62</v>
      </c>
      <c r="B31" s="146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7" t="s">
        <v>63</v>
      </c>
      <c r="B33" s="148"/>
      <c r="C33" s="149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64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4" t="s">
        <v>65</v>
      </c>
      <c r="B36" s="144"/>
      <c r="C36" s="145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4" t="s">
        <v>66</v>
      </c>
      <c r="B37" s="144"/>
      <c r="C37" s="145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67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68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69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70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71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68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69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70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7" workbookViewId="0">
      <selection activeCell="H15" sqref="H15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20</v>
      </c>
      <c r="B1" s="32">
        <v>2024</v>
      </c>
    </row>
    <row r="3" spans="1:7" x14ac:dyDescent="0.25">
      <c r="A3" s="31" t="s">
        <v>39</v>
      </c>
      <c r="B3" s="142"/>
      <c r="C3" s="142"/>
      <c r="D3" s="142"/>
      <c r="E3" s="55" t="s">
        <v>40</v>
      </c>
    </row>
    <row r="4" spans="1:7" x14ac:dyDescent="0.25">
      <c r="A4" s="124" t="s">
        <v>41</v>
      </c>
      <c r="B4" s="138">
        <f>'Settlement Demand Allocation'!C23</f>
        <v>0.932446</v>
      </c>
      <c r="C4" s="138"/>
      <c r="D4" s="138"/>
      <c r="E4" s="56">
        <f>B4/B6</f>
        <v>0.932446</v>
      </c>
    </row>
    <row r="5" spans="1:7" x14ac:dyDescent="0.25">
      <c r="A5" s="124" t="s">
        <v>42</v>
      </c>
      <c r="B5" s="138">
        <f>'Settlement Demand Allocation'!C24</f>
        <v>6.7554000000000003E-2</v>
      </c>
      <c r="C5" s="138"/>
      <c r="D5" s="138"/>
      <c r="E5" s="56">
        <f>B5/B6</f>
        <v>6.7554000000000003E-2</v>
      </c>
      <c r="G5" s="33" t="s">
        <v>43</v>
      </c>
    </row>
    <row r="6" spans="1:7" x14ac:dyDescent="0.25">
      <c r="A6" s="124" t="s">
        <v>44</v>
      </c>
      <c r="B6" s="134">
        <f>SUM(B4:B5)</f>
        <v>1</v>
      </c>
      <c r="C6" s="134"/>
      <c r="D6" s="134"/>
      <c r="E6" s="57">
        <f>SUM(E4:E5)</f>
        <v>1</v>
      </c>
      <c r="F6" s="33" t="s">
        <v>33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5" t="s">
        <v>45</v>
      </c>
      <c r="C8" s="135"/>
      <c r="D8" s="135"/>
      <c r="E8" s="123" t="s">
        <v>105</v>
      </c>
    </row>
    <row r="9" spans="1:7" ht="15.75" x14ac:dyDescent="0.25">
      <c r="A9" s="60" t="s">
        <v>46</v>
      </c>
      <c r="B9" s="136"/>
      <c r="C9" s="136"/>
      <c r="D9" s="136"/>
    </row>
    <row r="10" spans="1:7" ht="15.75" x14ac:dyDescent="0.25">
      <c r="A10" s="61" t="s">
        <v>47</v>
      </c>
      <c r="B10" s="133">
        <v>30810798</v>
      </c>
      <c r="C10" s="133"/>
      <c r="D10" s="133"/>
      <c r="E10" s="67">
        <f>B10</f>
        <v>30810798</v>
      </c>
    </row>
    <row r="11" spans="1:7" ht="15.75" x14ac:dyDescent="0.25">
      <c r="A11" s="61" t="s">
        <v>48</v>
      </c>
      <c r="B11" s="133">
        <v>7206864</v>
      </c>
      <c r="C11" s="133"/>
      <c r="D11" s="133"/>
      <c r="E11" s="67">
        <f>B11*B4</f>
        <v>6720011.5093440004</v>
      </c>
      <c r="G11" s="73"/>
    </row>
    <row r="12" spans="1:7" ht="15.75" x14ac:dyDescent="0.25">
      <c r="A12" s="61" t="s">
        <v>103</v>
      </c>
      <c r="B12" s="151">
        <v>151160</v>
      </c>
      <c r="C12" s="152"/>
      <c r="D12" s="153"/>
      <c r="E12" s="67">
        <f>B12</f>
        <v>151160</v>
      </c>
    </row>
    <row r="13" spans="1:7" ht="15.75" x14ac:dyDescent="0.25">
      <c r="A13" s="61" t="s">
        <v>104</v>
      </c>
      <c r="B13" s="133">
        <v>81284</v>
      </c>
      <c r="C13" s="133"/>
      <c r="D13" s="133"/>
      <c r="E13" s="67">
        <f>B13*B4</f>
        <v>75792.940663999994</v>
      </c>
      <c r="G13" s="73"/>
    </row>
    <row r="14" spans="1:7" ht="15.75" x14ac:dyDescent="0.25">
      <c r="A14" s="61" t="s">
        <v>50</v>
      </c>
      <c r="B14" s="154">
        <v>10609753</v>
      </c>
      <c r="C14" s="133"/>
      <c r="D14" s="133"/>
      <c r="E14" s="67">
        <f>B14</f>
        <v>10609753</v>
      </c>
    </row>
    <row r="15" spans="1:7" ht="15.75" x14ac:dyDescent="0.25">
      <c r="A15" s="61" t="s">
        <v>51</v>
      </c>
      <c r="B15" s="133">
        <v>764901</v>
      </c>
      <c r="C15" s="133"/>
      <c r="D15" s="133"/>
      <c r="E15" s="67">
        <f>B15*B4</f>
        <v>713228.87784600002</v>
      </c>
      <c r="G15" s="73"/>
    </row>
    <row r="16" spans="1:7" ht="15.75" x14ac:dyDescent="0.25">
      <c r="A16" s="61" t="s">
        <v>91</v>
      </c>
      <c r="B16" s="133">
        <v>4693735</v>
      </c>
      <c r="C16" s="133"/>
      <c r="D16" s="133"/>
      <c r="E16" s="67">
        <f>B16</f>
        <v>4693735</v>
      </c>
    </row>
    <row r="17" spans="1:7" ht="15.75" x14ac:dyDescent="0.25">
      <c r="A17" s="61"/>
      <c r="B17" s="155"/>
      <c r="C17" s="156"/>
      <c r="D17" s="156"/>
    </row>
    <row r="18" spans="1:7" ht="15.75" x14ac:dyDescent="0.25">
      <c r="A18" s="62" t="s">
        <v>52</v>
      </c>
      <c r="B18" s="135" t="s">
        <v>45</v>
      </c>
      <c r="C18" s="135"/>
      <c r="D18" s="135"/>
    </row>
    <row r="19" spans="1:7" ht="15.75" x14ac:dyDescent="0.25">
      <c r="A19" s="61" t="s">
        <v>47</v>
      </c>
      <c r="B19" s="137">
        <v>181026</v>
      </c>
      <c r="C19" s="137"/>
      <c r="D19" s="137"/>
      <c r="E19" s="67">
        <f>B19</f>
        <v>181026</v>
      </c>
    </row>
    <row r="20" spans="1:7" ht="15.75" customHeight="1" x14ac:dyDescent="0.25">
      <c r="A20" s="61" t="s">
        <v>93</v>
      </c>
      <c r="B20" s="133">
        <v>24223436</v>
      </c>
      <c r="C20" s="133"/>
      <c r="D20" s="133"/>
      <c r="E20" s="67">
        <f t="shared" ref="E20:E21" si="0">B20</f>
        <v>24223436</v>
      </c>
      <c r="F20" s="63"/>
    </row>
    <row r="21" spans="1:7" ht="15.75" customHeight="1" x14ac:dyDescent="0.25">
      <c r="A21" s="61" t="s">
        <v>94</v>
      </c>
      <c r="B21" s="133">
        <v>1400000</v>
      </c>
      <c r="C21" s="133"/>
      <c r="D21" s="133"/>
      <c r="E21" s="67">
        <f t="shared" si="0"/>
        <v>1400000</v>
      </c>
      <c r="F21" s="63"/>
    </row>
    <row r="22" spans="1:7" ht="15.75" customHeight="1" x14ac:dyDescent="0.25">
      <c r="A22" s="64" t="s">
        <v>95</v>
      </c>
      <c r="B22" s="133">
        <v>3035212</v>
      </c>
      <c r="C22" s="133"/>
      <c r="D22" s="133"/>
      <c r="E22" s="67">
        <f>B22*B4</f>
        <v>2830171.2885520002</v>
      </c>
      <c r="F22" s="63"/>
      <c r="G22" s="73"/>
    </row>
    <row r="23" spans="1:7" ht="15.75" customHeight="1" x14ac:dyDescent="0.25">
      <c r="A23" s="64" t="s">
        <v>96</v>
      </c>
      <c r="B23" s="133">
        <v>0</v>
      </c>
      <c r="C23" s="133"/>
      <c r="D23" s="133"/>
      <c r="E23" s="67">
        <f>B23*B4</f>
        <v>0</v>
      </c>
      <c r="F23" s="63"/>
      <c r="G23" s="126"/>
    </row>
    <row r="24" spans="1:7" ht="15.75" customHeight="1" x14ac:dyDescent="0.25">
      <c r="A24" s="64" t="s">
        <v>48</v>
      </c>
      <c r="B24" s="133">
        <v>534392</v>
      </c>
      <c r="C24" s="133"/>
      <c r="D24" s="133"/>
      <c r="E24" s="67">
        <f>B24*B4</f>
        <v>498291.68283200002</v>
      </c>
      <c r="G24" s="73"/>
    </row>
    <row r="25" spans="1:7" ht="15.75" customHeight="1" x14ac:dyDescent="0.25">
      <c r="A25" s="61" t="s">
        <v>103</v>
      </c>
      <c r="B25" s="151">
        <v>0</v>
      </c>
      <c r="C25" s="152"/>
      <c r="D25" s="153"/>
      <c r="E25" s="67">
        <f>B25</f>
        <v>0</v>
      </c>
    </row>
    <row r="26" spans="1:7" ht="15.75" customHeight="1" x14ac:dyDescent="0.25">
      <c r="A26" s="61" t="s">
        <v>104</v>
      </c>
      <c r="B26" s="133">
        <v>0</v>
      </c>
      <c r="C26" s="133"/>
      <c r="D26" s="133"/>
      <c r="E26" s="67">
        <f>B26*B4</f>
        <v>0</v>
      </c>
      <c r="F26" s="63"/>
    </row>
    <row r="27" spans="1:7" ht="15.75" customHeight="1" x14ac:dyDescent="0.25">
      <c r="A27" s="64" t="s">
        <v>50</v>
      </c>
      <c r="B27" s="133">
        <v>670300</v>
      </c>
      <c r="C27" s="133"/>
      <c r="D27" s="133"/>
      <c r="E27" s="67">
        <f>B27</f>
        <v>670300</v>
      </c>
    </row>
    <row r="28" spans="1:7" ht="15.75" customHeight="1" x14ac:dyDescent="0.25">
      <c r="A28" s="64" t="s">
        <v>51</v>
      </c>
      <c r="B28" s="133">
        <v>0</v>
      </c>
      <c r="C28" s="133"/>
      <c r="D28" s="133"/>
      <c r="E28" s="67">
        <f>B28*B4</f>
        <v>0</v>
      </c>
    </row>
    <row r="29" spans="1:7" ht="15.75" customHeight="1" x14ac:dyDescent="0.25">
      <c r="A29" s="64" t="s">
        <v>53</v>
      </c>
      <c r="B29" s="133">
        <v>1061165</v>
      </c>
      <c r="C29" s="133"/>
      <c r="D29" s="133"/>
      <c r="E29" s="67">
        <f>B29</f>
        <v>1061165</v>
      </c>
    </row>
    <row r="30" spans="1:7" ht="15.75" customHeight="1" x14ac:dyDescent="0.25">
      <c r="A30" s="64" t="s">
        <v>54</v>
      </c>
      <c r="B30" s="133">
        <v>554517</v>
      </c>
      <c r="C30" s="133"/>
      <c r="D30" s="133"/>
      <c r="E30" s="67">
        <f>B30*B4</f>
        <v>517057.158582</v>
      </c>
      <c r="G30" s="73"/>
    </row>
    <row r="31" spans="1:7" ht="15.75" customHeight="1" x14ac:dyDescent="0.25">
      <c r="A31" s="64" t="s">
        <v>55</v>
      </c>
      <c r="B31" s="133">
        <v>883626</v>
      </c>
      <c r="C31" s="133"/>
      <c r="D31" s="133"/>
      <c r="E31" s="67">
        <f>B31</f>
        <v>883626</v>
      </c>
    </row>
    <row r="32" spans="1:7" ht="15.75" customHeight="1" x14ac:dyDescent="0.25">
      <c r="A32" s="64" t="s">
        <v>92</v>
      </c>
      <c r="B32" s="133">
        <v>297669</v>
      </c>
      <c r="C32" s="133"/>
      <c r="D32" s="133"/>
      <c r="E32" s="67">
        <f t="shared" ref="E32:E33" si="1">B32</f>
        <v>297669</v>
      </c>
    </row>
    <row r="33" spans="1:7" ht="15.75" customHeight="1" x14ac:dyDescent="0.25">
      <c r="A33" s="61" t="s">
        <v>91</v>
      </c>
      <c r="B33" s="133">
        <v>859034</v>
      </c>
      <c r="C33" s="133"/>
      <c r="D33" s="133"/>
      <c r="E33" s="67">
        <f t="shared" si="1"/>
        <v>859034</v>
      </c>
    </row>
    <row r="34" spans="1:7" ht="15.75" customHeight="1" x14ac:dyDescent="0.25"/>
    <row r="35" spans="1:7" ht="15.75" customHeight="1" x14ac:dyDescent="0.25">
      <c r="B35" s="127" t="s">
        <v>107</v>
      </c>
      <c r="C35" s="67">
        <f>SUM(B10:D16)+SUM(B19:D33)</f>
        <v>88018872</v>
      </c>
      <c r="E35" s="67">
        <f>SUM(E10:E16)+SUM(E19:E33)</f>
        <v>87196255.457819998</v>
      </c>
      <c r="F35" s="150" t="s">
        <v>106</v>
      </c>
      <c r="G35" s="150"/>
    </row>
    <row r="36" spans="1:7" ht="15.75" customHeight="1" x14ac:dyDescent="0.25"/>
    <row r="37" spans="1:7" x14ac:dyDescent="0.25">
      <c r="E37" s="73">
        <f>E35*1.00072</f>
        <v>87259036.76174964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3" t="s">
        <v>116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3" ht="15.75" x14ac:dyDescent="0.25">
      <c r="A2" s="119" t="s">
        <v>56</v>
      </c>
      <c r="B2" s="65"/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3" ht="15.75" x14ac:dyDescent="0.25">
      <c r="A3" s="120"/>
    </row>
    <row r="4" spans="1:13" x14ac:dyDescent="0.25">
      <c r="A4" s="146" t="s">
        <v>44</v>
      </c>
      <c r="B4" s="146"/>
      <c r="C4" s="68">
        <f>'2024 incremental portion-inputs'!B22</f>
        <v>50639852.852767996</v>
      </c>
      <c r="D4" s="68">
        <f>$C$4*'2024 incremental portion-inputs'!C7</f>
        <v>39559505.188903302</v>
      </c>
      <c r="E4" s="68">
        <f>$C$4*'2024 incremental portion-inputs'!D7</f>
        <v>4840270.4125070255</v>
      </c>
      <c r="F4" s="68">
        <f>$C$4*'2024 incremental portion-inputs'!E7</f>
        <v>2242808.9390823059</v>
      </c>
      <c r="G4" s="68">
        <f>$C$4*'2024 incremental portion-inputs'!F7</f>
        <v>139457.86422840651</v>
      </c>
      <c r="H4" s="68">
        <f>$C$4*'2024 incremental portion-inputs'!G7</f>
        <v>325986.04211599455</v>
      </c>
      <c r="I4" s="68">
        <f>$C$4*'2024 incremental portion-inputs'!H7</f>
        <v>183780.92057554849</v>
      </c>
      <c r="J4" s="68">
        <f>$C$4*'2024 incremental portion-inputs'!I7</f>
        <v>3348043.4853554182</v>
      </c>
      <c r="K4" s="68">
        <f>$C$4*'2024 incremental portion-inputs'!J7</f>
        <v>0</v>
      </c>
      <c r="L4" s="68">
        <f t="shared" ref="L4" si="0">SUM(D4:K4)</f>
        <v>50639852.852768004</v>
      </c>
    </row>
    <row r="6" spans="1:13" x14ac:dyDescent="0.25">
      <c r="A6" s="146" t="s">
        <v>61</v>
      </c>
      <c r="B6" s="146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6" t="s">
        <v>62</v>
      </c>
      <c r="B8" s="146"/>
      <c r="C8" s="68">
        <f>C4*C6</f>
        <v>50676313.546821989</v>
      </c>
      <c r="D8" s="68">
        <f t="shared" ref="D8:K8" si="1">D4*D6</f>
        <v>39587988.032639317</v>
      </c>
      <c r="E8" s="68">
        <f t="shared" si="1"/>
        <v>4843755.407204031</v>
      </c>
      <c r="F8" s="68">
        <f t="shared" si="1"/>
        <v>2244423.7615184453</v>
      </c>
      <c r="G8" s="68">
        <f t="shared" si="1"/>
        <v>139558.27389065098</v>
      </c>
      <c r="H8" s="68">
        <f t="shared" si="1"/>
        <v>326220.75206631806</v>
      </c>
      <c r="I8" s="68">
        <f t="shared" si="1"/>
        <v>183913.2428383629</v>
      </c>
      <c r="J8" s="68">
        <f t="shared" si="1"/>
        <v>3350454.0766648743</v>
      </c>
      <c r="K8" s="68">
        <f t="shared" si="1"/>
        <v>0</v>
      </c>
      <c r="L8" s="68">
        <f t="shared" ref="L8" si="2">SUM(D8:K8)</f>
        <v>50676313.546822004</v>
      </c>
    </row>
    <row r="10" spans="1:13" x14ac:dyDescent="0.25">
      <c r="A10" s="147" t="s">
        <v>63</v>
      </c>
      <c r="B10" s="148"/>
      <c r="C10" s="149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64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8" t="s">
        <v>65</v>
      </c>
      <c r="B13" s="148"/>
      <c r="C13" s="149"/>
      <c r="D13" s="72">
        <f>D8/(D10*1000)</f>
        <v>4.0694200366544041E-3</v>
      </c>
      <c r="E13" s="72">
        <f>E8/(E10*1000)</f>
        <v>5.0805476144054063E-3</v>
      </c>
      <c r="F13" s="72"/>
      <c r="G13" s="72">
        <f>G8/(G10*1000)</f>
        <v>3.3621347783383443E-4</v>
      </c>
      <c r="H13" s="72"/>
      <c r="I13" s="72"/>
      <c r="J13" s="72">
        <f t="shared" ref="J13" si="4">J8/(J10*1000)</f>
        <v>3.0265187256679978E-2</v>
      </c>
      <c r="K13" s="72">
        <v>0</v>
      </c>
    </row>
    <row r="14" spans="1:13" x14ac:dyDescent="0.25">
      <c r="A14" s="144" t="s">
        <v>66</v>
      </c>
      <c r="B14" s="144"/>
      <c r="C14" s="145"/>
      <c r="D14" s="108"/>
      <c r="E14" s="108"/>
      <c r="F14" s="108">
        <f>F8/F10</f>
        <v>0.14136777780837304</v>
      </c>
      <c r="G14" s="108"/>
      <c r="H14" s="108">
        <f>H8/H10</f>
        <v>0.13374351801485737</v>
      </c>
      <c r="I14" s="108">
        <f>I8/I10</f>
        <v>6.9988704407545302E-2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67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68</v>
      </c>
      <c r="D17" s="108">
        <f>D13</f>
        <v>4.0694200366544041E-3</v>
      </c>
      <c r="E17" s="108">
        <f>E13</f>
        <v>5.0805476144054063E-3</v>
      </c>
      <c r="F17" s="110"/>
      <c r="G17" s="108">
        <f>G13</f>
        <v>3.3621347783383443E-4</v>
      </c>
      <c r="H17" s="110"/>
      <c r="I17" s="110"/>
      <c r="J17" s="108">
        <f t="shared" si="5"/>
        <v>3.0265187256679978E-2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69</v>
      </c>
      <c r="D18" s="110"/>
      <c r="E18" s="110"/>
      <c r="F18" s="110"/>
      <c r="G18" s="108">
        <f>G17*0.99</f>
        <v>3.3285134305549607E-4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70</v>
      </c>
      <c r="D19" s="110"/>
      <c r="E19" s="110"/>
      <c r="F19" s="110"/>
      <c r="G19" s="108">
        <f>G17*0.98</f>
        <v>3.2948920827715776E-4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71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68</v>
      </c>
      <c r="D22" s="108"/>
      <c r="E22" s="108"/>
      <c r="F22" s="108">
        <f>F14</f>
        <v>0.14136777780837304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69</v>
      </c>
      <c r="D23" s="110"/>
      <c r="E23" s="110"/>
      <c r="F23" s="108">
        <f>F22*0.99</f>
        <v>0.1399541000302893</v>
      </c>
      <c r="G23" s="112"/>
      <c r="H23" s="108">
        <f>H14</f>
        <v>0.13374351801485737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70</v>
      </c>
      <c r="D24" s="110"/>
      <c r="E24" s="110"/>
      <c r="F24" s="108">
        <f>F22*0.98</f>
        <v>0.13854042225220556</v>
      </c>
      <c r="G24" s="112"/>
      <c r="H24" s="108"/>
      <c r="I24" s="108">
        <f>I14</f>
        <v>6.9988704407545302E-2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B28" sqref="B28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3" t="s">
        <v>115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77</v>
      </c>
    </row>
    <row r="5" spans="1:9" x14ac:dyDescent="0.25">
      <c r="A5" s="45" t="s">
        <v>67</v>
      </c>
      <c r="B5" s="83" t="s">
        <v>22</v>
      </c>
      <c r="C5" s="83" t="s">
        <v>23</v>
      </c>
      <c r="D5" s="83"/>
      <c r="E5" s="83" t="s">
        <v>25</v>
      </c>
      <c r="F5" s="83"/>
      <c r="G5" s="83"/>
      <c r="H5" s="83" t="s">
        <v>28</v>
      </c>
      <c r="I5" s="83" t="s">
        <v>29</v>
      </c>
    </row>
    <row r="6" spans="1:9" x14ac:dyDescent="0.25">
      <c r="A6" s="45" t="s">
        <v>68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69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70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71</v>
      </c>
      <c r="B10" s="84"/>
      <c r="C10" s="84"/>
      <c r="D10" s="84" t="s">
        <v>24</v>
      </c>
      <c r="E10" s="84"/>
      <c r="F10" s="84" t="s">
        <v>26</v>
      </c>
      <c r="G10" s="84" t="s">
        <v>27</v>
      </c>
      <c r="H10" s="84"/>
      <c r="I10" s="84"/>
    </row>
    <row r="11" spans="1:9" x14ac:dyDescent="0.25">
      <c r="A11" s="45" t="s">
        <v>68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69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70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75</v>
      </c>
    </row>
    <row r="16" spans="1:9" x14ac:dyDescent="0.25">
      <c r="A16" s="45" t="s">
        <v>67</v>
      </c>
      <c r="B16" s="83" t="s">
        <v>22</v>
      </c>
      <c r="C16" s="83" t="s">
        <v>23</v>
      </c>
      <c r="D16" s="83"/>
      <c r="E16" s="83" t="s">
        <v>25</v>
      </c>
      <c r="F16" s="83"/>
      <c r="G16" s="83"/>
      <c r="H16" s="83" t="s">
        <v>28</v>
      </c>
      <c r="I16" s="83" t="s">
        <v>29</v>
      </c>
    </row>
    <row r="17" spans="1:9" x14ac:dyDescent="0.25">
      <c r="A17" s="45" t="s">
        <v>68</v>
      </c>
      <c r="B17" s="84">
        <f>'P-1sb'!D17</f>
        <v>4.0694200366544041E-3</v>
      </c>
      <c r="C17" s="84">
        <f>'P-1sb'!E17</f>
        <v>5.0805476144054063E-3</v>
      </c>
      <c r="D17" s="84"/>
      <c r="E17" s="84">
        <f>'P-1sb'!G17</f>
        <v>3.3621347783383443E-4</v>
      </c>
      <c r="F17" s="84"/>
      <c r="G17" s="84"/>
      <c r="H17" s="84">
        <f>'P-1sb'!J17</f>
        <v>3.0265187256679978E-2</v>
      </c>
      <c r="I17" s="84">
        <f>'P-1sb'!K17</f>
        <v>0</v>
      </c>
    </row>
    <row r="18" spans="1:9" x14ac:dyDescent="0.25">
      <c r="A18" s="45" t="s">
        <v>69</v>
      </c>
      <c r="B18" s="84"/>
      <c r="C18" s="84"/>
      <c r="D18" s="84"/>
      <c r="E18" s="84">
        <f>'P-1sb'!G18</f>
        <v>3.3285134305549607E-4</v>
      </c>
      <c r="F18" s="84"/>
      <c r="G18" s="84"/>
      <c r="H18" s="84"/>
      <c r="I18" s="84"/>
    </row>
    <row r="19" spans="1:9" x14ac:dyDescent="0.25">
      <c r="A19" s="45" t="s">
        <v>70</v>
      </c>
      <c r="B19" s="84"/>
      <c r="C19" s="84"/>
      <c r="D19" s="84"/>
      <c r="E19" s="84">
        <f>'P-1sb'!G19</f>
        <v>3.2948920827715776E-4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71</v>
      </c>
      <c r="B21" s="84"/>
      <c r="C21" s="84"/>
      <c r="D21" s="84" t="s">
        <v>24</v>
      </c>
      <c r="E21" s="84"/>
      <c r="F21" s="84" t="s">
        <v>26</v>
      </c>
      <c r="G21" s="84" t="s">
        <v>27</v>
      </c>
      <c r="H21" s="84"/>
      <c r="I21" s="84"/>
    </row>
    <row r="22" spans="1:9" x14ac:dyDescent="0.25">
      <c r="A22" s="45" t="s">
        <v>68</v>
      </c>
      <c r="B22" s="86"/>
      <c r="C22" s="86"/>
      <c r="D22" s="84">
        <f>'P-1sb'!F22</f>
        <v>0.14136777780837304</v>
      </c>
      <c r="E22" s="86"/>
      <c r="F22" s="86"/>
      <c r="G22" s="86"/>
      <c r="H22" s="86"/>
      <c r="I22" s="86"/>
    </row>
    <row r="23" spans="1:9" x14ac:dyDescent="0.25">
      <c r="A23" s="45" t="s">
        <v>69</v>
      </c>
      <c r="B23" s="86"/>
      <c r="C23" s="86"/>
      <c r="D23" s="84">
        <f>'P-1sb'!F23</f>
        <v>0.1399541000302893</v>
      </c>
      <c r="E23" s="86"/>
      <c r="F23" s="84">
        <f>'P-1sb'!H23</f>
        <v>0.13374351801485737</v>
      </c>
      <c r="G23" s="86"/>
      <c r="H23" s="86"/>
      <c r="I23" s="86"/>
    </row>
    <row r="24" spans="1:9" x14ac:dyDescent="0.25">
      <c r="A24" s="45" t="s">
        <v>70</v>
      </c>
      <c r="B24" s="86"/>
      <c r="C24" s="86"/>
      <c r="D24" s="84">
        <f>'P-1sb'!F24</f>
        <v>0.13854042225220556</v>
      </c>
      <c r="E24" s="86"/>
      <c r="F24" s="86"/>
      <c r="G24" s="84">
        <f>'P-1sb'!I24</f>
        <v>6.9988704407545302E-2</v>
      </c>
      <c r="H24" s="86"/>
      <c r="I24" s="86"/>
    </row>
    <row r="26" spans="1:9" x14ac:dyDescent="0.25">
      <c r="A26" s="82" t="s">
        <v>79</v>
      </c>
    </row>
    <row r="27" spans="1:9" x14ac:dyDescent="0.25">
      <c r="A27" s="45" t="s">
        <v>67</v>
      </c>
      <c r="B27" s="83" t="s">
        <v>22</v>
      </c>
      <c r="C27" s="83" t="s">
        <v>23</v>
      </c>
      <c r="D27" s="83"/>
      <c r="E27" s="83" t="s">
        <v>25</v>
      </c>
      <c r="F27" s="83"/>
      <c r="G27" s="83"/>
      <c r="H27" s="83" t="s">
        <v>28</v>
      </c>
      <c r="I27" s="83" t="s">
        <v>29</v>
      </c>
    </row>
    <row r="28" spans="1:9" x14ac:dyDescent="0.25">
      <c r="A28" s="45" t="s">
        <v>68</v>
      </c>
      <c r="B28" s="84">
        <f>B6+B17</f>
        <v>6.4194211023190905E-3</v>
      </c>
      <c r="C28" s="84">
        <f t="shared" ref="C28:I28" si="0">C6+C17</f>
        <v>6.9581625034290072E-3</v>
      </c>
      <c r="D28" s="84"/>
      <c r="E28" s="84">
        <f t="shared" si="0"/>
        <v>1.7884823053750626E-3</v>
      </c>
      <c r="F28" s="84"/>
      <c r="G28" s="84"/>
      <c r="H28" s="84">
        <f t="shared" si="0"/>
        <v>3.2059647651298609E-2</v>
      </c>
      <c r="I28" s="84">
        <f t="shared" si="0"/>
        <v>0</v>
      </c>
    </row>
    <row r="29" spans="1:9" x14ac:dyDescent="0.25">
      <c r="A29" s="45" t="s">
        <v>69</v>
      </c>
      <c r="B29" s="84"/>
      <c r="C29" s="84"/>
      <c r="D29" s="84"/>
      <c r="E29" s="84">
        <f t="shared" ref="E29" si="1">E7+E18</f>
        <v>1.7705974823213119E-3</v>
      </c>
      <c r="F29" s="84"/>
      <c r="G29" s="84"/>
      <c r="H29" s="84"/>
      <c r="I29" s="84"/>
    </row>
    <row r="30" spans="1:9" x14ac:dyDescent="0.25">
      <c r="A30" s="45" t="s">
        <v>70</v>
      </c>
      <c r="B30" s="84"/>
      <c r="C30" s="84"/>
      <c r="D30" s="84"/>
      <c r="E30" s="84">
        <f t="shared" ref="E30" si="2">E8+E19</f>
        <v>1.7527126592675614E-3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71</v>
      </c>
      <c r="B32" s="84"/>
      <c r="C32" s="84"/>
      <c r="D32" s="84" t="s">
        <v>24</v>
      </c>
      <c r="E32" s="84"/>
      <c r="F32" s="84" t="s">
        <v>26</v>
      </c>
      <c r="G32" s="84" t="s">
        <v>27</v>
      </c>
      <c r="H32" s="84"/>
      <c r="I32" s="84"/>
    </row>
    <row r="33" spans="1:9" x14ac:dyDescent="0.25">
      <c r="A33" s="45" t="s">
        <v>68</v>
      </c>
      <c r="B33" s="86"/>
      <c r="C33" s="86"/>
      <c r="D33" s="84">
        <f t="shared" ref="D33" si="3">D11+D22</f>
        <v>0.75200366977978728</v>
      </c>
      <c r="E33" s="86"/>
      <c r="F33" s="86"/>
      <c r="G33" s="86"/>
      <c r="H33" s="86"/>
      <c r="I33" s="86"/>
    </row>
    <row r="34" spans="1:9" x14ac:dyDescent="0.25">
      <c r="A34" s="45" t="s">
        <v>69</v>
      </c>
      <c r="B34" s="86"/>
      <c r="C34" s="86"/>
      <c r="D34" s="84">
        <f t="shared" ref="D34" si="4">D12+D23</f>
        <v>0.74448363308198939</v>
      </c>
      <c r="E34" s="86"/>
      <c r="F34" s="84">
        <f t="shared" ref="F34" si="5">F12+F23</f>
        <v>0.67506742700079925</v>
      </c>
      <c r="G34" s="86"/>
      <c r="H34" s="86"/>
      <c r="I34" s="86"/>
    </row>
    <row r="35" spans="1:9" x14ac:dyDescent="0.25">
      <c r="A35" s="45" t="s">
        <v>70</v>
      </c>
      <c r="B35" s="86"/>
      <c r="C35" s="86"/>
      <c r="D35" s="84">
        <f t="shared" ref="D35" si="6">D13+D24</f>
        <v>0.7369635963841914</v>
      </c>
      <c r="E35" s="86"/>
      <c r="F35" s="86"/>
      <c r="G35" s="84">
        <f t="shared" ref="G35" si="7">G13+G24</f>
        <v>0.11368589755336511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0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" t="s">
        <v>19</v>
      </c>
    </row>
    <row r="2" spans="1:17" x14ac:dyDescent="0.2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3" t="s">
        <v>2</v>
      </c>
    </row>
    <row r="3" spans="1:17" x14ac:dyDescent="0.2">
      <c r="A3" s="160" t="s">
        <v>12</v>
      </c>
      <c r="B3" s="160"/>
      <c r="C3" s="160"/>
      <c r="D3" s="160"/>
      <c r="E3" s="160"/>
      <c r="F3" s="160"/>
      <c r="G3" s="160"/>
      <c r="H3" s="160"/>
      <c r="I3" s="160"/>
    </row>
    <row r="4" spans="1:17" x14ac:dyDescent="0.2">
      <c r="A4" s="160" t="s">
        <v>13</v>
      </c>
      <c r="B4" s="160"/>
      <c r="C4" s="160"/>
      <c r="D4" s="160"/>
      <c r="E4" s="160"/>
      <c r="F4" s="160"/>
      <c r="G4" s="160"/>
      <c r="H4" s="160"/>
      <c r="I4" s="160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61" t="s">
        <v>108</v>
      </c>
      <c r="B6" s="161"/>
      <c r="C6" s="161"/>
      <c r="D6" s="161"/>
      <c r="E6" s="161"/>
      <c r="F6" s="161"/>
      <c r="G6" s="161"/>
      <c r="H6" s="161"/>
      <c r="I6" s="161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61" t="s">
        <v>109</v>
      </c>
      <c r="B8" s="161"/>
      <c r="C8" s="161"/>
      <c r="D8" s="161"/>
      <c r="E8" s="161"/>
      <c r="F8" s="161"/>
      <c r="G8" s="161"/>
      <c r="H8" s="161"/>
      <c r="I8" s="161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7"/>
      <c r="C15" s="157"/>
      <c r="D15" s="157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97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98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99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8"/>
      <c r="C22" s="158"/>
      <c r="D22" s="158"/>
      <c r="J22" s="27"/>
    </row>
    <row r="23" spans="1:10" x14ac:dyDescent="0.2">
      <c r="A23" s="19" t="s">
        <v>10</v>
      </c>
      <c r="B23" s="16" t="s">
        <v>110</v>
      </c>
      <c r="D23" s="16"/>
      <c r="J23" s="121">
        <f>SUM('2024 Rev Requirement-inputs'!E19:E33)</f>
        <v>33421776.129965998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111</v>
      </c>
      <c r="J25" s="122">
        <f>SUM('2024 Rev Requirement-inputs'!E10:E16)</f>
        <v>53774479.327854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112</v>
      </c>
      <c r="C27" s="20"/>
      <c r="J27" s="28">
        <f>J23+J25</f>
        <v>87196255.457819998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15</v>
      </c>
      <c r="B30" s="16" t="s">
        <v>100</v>
      </c>
      <c r="J30" s="29">
        <f>J27-J20</f>
        <v>50639852.852767996</v>
      </c>
    </row>
    <row r="31" spans="1:10" x14ac:dyDescent="0.2">
      <c r="C31" s="18" t="s">
        <v>16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17</v>
      </c>
      <c r="B34" s="128" t="s">
        <v>101</v>
      </c>
      <c r="C34" s="128"/>
      <c r="D34" s="128"/>
      <c r="E34" s="128"/>
      <c r="F34" s="128"/>
      <c r="G34" s="128"/>
      <c r="H34" s="128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18</v>
      </c>
      <c r="B36" s="4" t="s">
        <v>102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74</v>
      </c>
      <c r="B38" s="129" t="s">
        <v>113</v>
      </c>
      <c r="C38" s="129"/>
      <c r="D38" s="129"/>
      <c r="E38" s="129"/>
      <c r="F38" s="129"/>
      <c r="G38" s="129"/>
      <c r="H38" s="129"/>
      <c r="J38" s="23">
        <f>J30-J36</f>
        <v>50639852.852767996</v>
      </c>
      <c r="L38" s="24"/>
    </row>
    <row r="39" spans="1:12" x14ac:dyDescent="0.2">
      <c r="A39" s="19"/>
      <c r="C39" s="75" t="s">
        <v>78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" sqref="B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73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9" t="s">
        <v>32</v>
      </c>
      <c r="B6" s="140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72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33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34</v>
      </c>
      <c r="B10" s="34" t="s">
        <v>35</v>
      </c>
      <c r="C10" s="44" t="s">
        <v>36</v>
      </c>
      <c r="D10" s="41"/>
      <c r="E10" s="41"/>
      <c r="F10" s="41"/>
      <c r="G10" s="41"/>
      <c r="H10" s="41"/>
      <c r="I10" s="41"/>
    </row>
    <row r="11" spans="1:13" x14ac:dyDescent="0.25">
      <c r="A11" s="45" t="s">
        <v>22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23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24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25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26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27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28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29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62" t="s">
        <v>114</v>
      </c>
      <c r="C21" s="163"/>
      <c r="D21" s="81"/>
      <c r="E21" s="77"/>
      <c r="F21" s="77"/>
    </row>
    <row r="22" spans="1:13" ht="15.75" x14ac:dyDescent="0.25">
      <c r="A22" s="79" t="s">
        <v>76</v>
      </c>
      <c r="B22" s="125">
        <f>'P-1sd'!J38</f>
        <v>50639852.852767996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3C8072BD-E7C9-41F0-AE73-0BBF95D5FC02}"/>
</file>

<file path=customXml/itemProps2.xml><?xml version="1.0" encoding="utf-8"?>
<ds:datastoreItem xmlns:ds="http://schemas.openxmlformats.org/officeDocument/2006/customXml" ds:itemID="{ED8CFD0E-0B25-4448-9962-0B704B395667}"/>
</file>

<file path=customXml/itemProps3.xml><?xml version="1.0" encoding="utf-8"?>
<ds:datastoreItem xmlns:ds="http://schemas.openxmlformats.org/officeDocument/2006/customXml" ds:itemID="{1FC2453A-2144-4912-8A4E-BD91550A2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2024 Rev Requirement-inputs</vt:lpstr>
      <vt:lpstr>P-1sb</vt:lpstr>
      <vt:lpstr>P-1sc</vt:lpstr>
      <vt:lpstr>P-1sd</vt:lpstr>
      <vt:lpstr>2024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2022-04-08T17:15:28Z</dcterms:created>
  <dcterms:modified xsi:type="dcterms:W3CDTF">2022-04-08T17:15:28Z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2022-04-08T17:15:28Z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384624cf-217c-4f4d-bab1-cc84ebca421a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