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4CB0C081-878A-4855-8FB0-A71F8DB7C8B2}" xr6:coauthVersionLast="47" xr6:coauthVersionMax="47" xr10:uidLastSave="{00000000-0000-0000-0000-000000000000}"/>
  <bookViews>
    <workbookView xWindow="6945" yWindow="1125" windowWidth="21600" windowHeight="11385" activeTab="5" xr2:uid="{783200AD-40FC-4FEC-9122-6F61C9AF4906}"/>
  </bookViews>
  <sheets>
    <sheet name="20130040 Demand Allocation" sheetId="13" r:id="rId1"/>
    <sheet name="Settlement Demand Allocation" sheetId="14" r:id="rId2"/>
    <sheet name="P-1sa" sheetId="6" r:id="rId3"/>
    <sheet name="P-1sb" sheetId="7" r:id="rId4"/>
    <sheet name="P-1sc" sheetId="10" r:id="rId5"/>
    <sheet name="P-1sd" sheetId="1" r:id="rId6"/>
    <sheet name="2021 base portion-inputs" sheetId="5" r:id="rId7"/>
    <sheet name="2022 incremental portion-inputs" sheetId="8" r:id="rId8"/>
  </sheets>
  <externalReferences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5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5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4" l="1"/>
  <c r="B24" i="14"/>
  <c r="C23" i="14"/>
  <c r="B23" i="14"/>
  <c r="F20" i="14"/>
  <c r="B20" i="14"/>
  <c r="B19" i="14"/>
  <c r="B18" i="14"/>
  <c r="B17" i="14"/>
  <c r="B16" i="14"/>
  <c r="B15" i="14"/>
  <c r="B14" i="14"/>
  <c r="B13" i="14"/>
  <c r="C24" i="13"/>
  <c r="B24" i="13"/>
  <c r="C23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I17" i="10" l="1"/>
  <c r="I6" i="10"/>
  <c r="I28" i="10" s="1"/>
  <c r="I2" i="10"/>
  <c r="H2" i="10"/>
  <c r="G2" i="10"/>
  <c r="F2" i="10"/>
  <c r="E2" i="10"/>
  <c r="D2" i="10"/>
  <c r="C2" i="10"/>
  <c r="B2" i="10"/>
  <c r="K4" i="7"/>
  <c r="J4" i="7"/>
  <c r="I4" i="7"/>
  <c r="H4" i="7"/>
  <c r="E4" i="7"/>
  <c r="D4" i="7"/>
  <c r="C4" i="7"/>
  <c r="J7" i="8" l="1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G4" i="7" s="1"/>
  <c r="K17" i="7"/>
  <c r="H10" i="7"/>
  <c r="F10" i="7"/>
  <c r="E10" i="7"/>
  <c r="D10" i="7"/>
  <c r="J8" i="7"/>
  <c r="I8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36" i="6"/>
  <c r="D35" i="6"/>
  <c r="K31" i="6"/>
  <c r="K35" i="6" s="1"/>
  <c r="H31" i="6"/>
  <c r="H40" i="6" s="1"/>
  <c r="G31" i="6"/>
  <c r="G35" i="6" s="1"/>
  <c r="D31" i="6"/>
  <c r="H29" i="6"/>
  <c r="G29" i="6"/>
  <c r="I19" i="6"/>
  <c r="H19" i="6"/>
  <c r="E19" i="6"/>
  <c r="D19" i="6"/>
  <c r="C19" i="6"/>
  <c r="K19" i="6" s="1"/>
  <c r="I17" i="6"/>
  <c r="H17" i="6"/>
  <c r="E17" i="6"/>
  <c r="D17" i="6"/>
  <c r="C17" i="6"/>
  <c r="K17" i="6" s="1"/>
  <c r="J16" i="6"/>
  <c r="C16" i="6"/>
  <c r="I16" i="6" s="1"/>
  <c r="I15" i="6"/>
  <c r="H15" i="6"/>
  <c r="E15" i="6"/>
  <c r="D15" i="6"/>
  <c r="C15" i="6"/>
  <c r="K15" i="6" s="1"/>
  <c r="J12" i="6"/>
  <c r="C12" i="6"/>
  <c r="I12" i="6" s="1"/>
  <c r="J7" i="6"/>
  <c r="C7" i="6"/>
  <c r="I7" i="6" s="1"/>
  <c r="I6" i="6"/>
  <c r="H6" i="6"/>
  <c r="E6" i="6"/>
  <c r="D6" i="6"/>
  <c r="C6" i="6"/>
  <c r="K6" i="6" s="1"/>
  <c r="I4" i="6"/>
  <c r="H4" i="6"/>
  <c r="E4" i="6"/>
  <c r="D4" i="6"/>
  <c r="C4" i="6"/>
  <c r="K4" i="6" s="1"/>
  <c r="K2" i="6"/>
  <c r="J2" i="6"/>
  <c r="J31" i="6" s="1"/>
  <c r="J35" i="6" s="1"/>
  <c r="I2" i="6"/>
  <c r="I31" i="6" s="1"/>
  <c r="I40" i="6" s="1"/>
  <c r="H2" i="6"/>
  <c r="G2" i="6"/>
  <c r="F2" i="6"/>
  <c r="F31" i="6" s="1"/>
  <c r="F40" i="6" s="1"/>
  <c r="E2" i="6"/>
  <c r="E31" i="6" s="1"/>
  <c r="E35" i="6" s="1"/>
  <c r="D2" i="6"/>
  <c r="B32" i="5"/>
  <c r="E30" i="5" s="1"/>
  <c r="E31" i="5"/>
  <c r="J25" i="5"/>
  <c r="K29" i="6" s="1"/>
  <c r="I25" i="5"/>
  <c r="J29" i="6" s="1"/>
  <c r="H25" i="5"/>
  <c r="I29" i="6" s="1"/>
  <c r="G25" i="5"/>
  <c r="F25" i="5"/>
  <c r="G10" i="7" s="1"/>
  <c r="E25" i="5"/>
  <c r="F29" i="6" s="1"/>
  <c r="D25" i="5"/>
  <c r="E29" i="6" s="1"/>
  <c r="C25" i="5"/>
  <c r="D29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38" i="1"/>
  <c r="I10" i="7" l="1"/>
  <c r="I14" i="7" s="1"/>
  <c r="I24" i="7" s="1"/>
  <c r="G24" i="10" s="1"/>
  <c r="K10" i="7"/>
  <c r="J10" i="7"/>
  <c r="F8" i="5"/>
  <c r="K8" i="5" s="1"/>
  <c r="J13" i="7"/>
  <c r="J17" i="7" s="1"/>
  <c r="H17" i="10" s="1"/>
  <c r="E7" i="8"/>
  <c r="C8" i="7"/>
  <c r="K8" i="7"/>
  <c r="H8" i="7"/>
  <c r="H14" i="7" s="1"/>
  <c r="H23" i="7" s="1"/>
  <c r="F23" i="10" s="1"/>
  <c r="E8" i="7"/>
  <c r="E13" i="7" s="1"/>
  <c r="E17" i="7" s="1"/>
  <c r="C17" i="10" s="1"/>
  <c r="F12" i="6"/>
  <c r="F16" i="6"/>
  <c r="F7" i="6"/>
  <c r="C13" i="6"/>
  <c r="C8" i="6"/>
  <c r="C18" i="6"/>
  <c r="C14" i="6"/>
  <c r="E32" i="5"/>
  <c r="C5" i="6"/>
  <c r="E9" i="5"/>
  <c r="K9" i="5" s="1"/>
  <c r="K7" i="6"/>
  <c r="K12" i="6"/>
  <c r="K16" i="6"/>
  <c r="F4" i="6"/>
  <c r="J4" i="6"/>
  <c r="F6" i="6"/>
  <c r="J6" i="6"/>
  <c r="D7" i="6"/>
  <c r="H7" i="6"/>
  <c r="D12" i="6"/>
  <c r="H12" i="6"/>
  <c r="F15" i="6"/>
  <c r="J15" i="6"/>
  <c r="D16" i="6"/>
  <c r="H16" i="6"/>
  <c r="F17" i="6"/>
  <c r="L17" i="6" s="1"/>
  <c r="J17" i="6"/>
  <c r="F19" i="6"/>
  <c r="J19" i="6"/>
  <c r="G7" i="6"/>
  <c r="G12" i="6"/>
  <c r="G16" i="6"/>
  <c r="G4" i="6"/>
  <c r="G6" i="6"/>
  <c r="E7" i="6"/>
  <c r="E12" i="6"/>
  <c r="G15" i="6"/>
  <c r="E16" i="6"/>
  <c r="G17" i="6"/>
  <c r="G19" i="6"/>
  <c r="K7" i="8" l="1"/>
  <c r="F4" i="7"/>
  <c r="F8" i="7" s="1"/>
  <c r="F14" i="7" s="1"/>
  <c r="F22" i="7" s="1"/>
  <c r="L19" i="6"/>
  <c r="L6" i="6"/>
  <c r="L15" i="6"/>
  <c r="L4" i="7"/>
  <c r="D8" i="7"/>
  <c r="G8" i="7"/>
  <c r="G13" i="7" s="1"/>
  <c r="G17" i="7" s="1"/>
  <c r="E17" i="10" s="1"/>
  <c r="I18" i="6"/>
  <c r="E18" i="6"/>
  <c r="K18" i="6"/>
  <c r="F18" i="6"/>
  <c r="H18" i="6"/>
  <c r="D18" i="6"/>
  <c r="G18" i="6"/>
  <c r="J18" i="6"/>
  <c r="K8" i="6"/>
  <c r="G8" i="6"/>
  <c r="I8" i="6"/>
  <c r="E8" i="6"/>
  <c r="H8" i="6"/>
  <c r="J8" i="6"/>
  <c r="F8" i="6"/>
  <c r="D8" i="6"/>
  <c r="L16" i="6"/>
  <c r="L12" i="6"/>
  <c r="I5" i="6"/>
  <c r="I23" i="6" s="1"/>
  <c r="I27" i="6" s="1"/>
  <c r="I33" i="6" s="1"/>
  <c r="I43" i="6" s="1"/>
  <c r="G13" i="10" s="1"/>
  <c r="G35" i="10" s="1"/>
  <c r="E5" i="6"/>
  <c r="K5" i="6"/>
  <c r="G5" i="6"/>
  <c r="G23" i="6" s="1"/>
  <c r="G27" i="6" s="1"/>
  <c r="G32" i="6" s="1"/>
  <c r="G36" i="6" s="1"/>
  <c r="E6" i="10" s="1"/>
  <c r="F5" i="6"/>
  <c r="H5" i="6"/>
  <c r="D5" i="6"/>
  <c r="C23" i="6"/>
  <c r="C27" i="6" s="1"/>
  <c r="J5" i="6"/>
  <c r="J23" i="6" s="1"/>
  <c r="J27" i="6" s="1"/>
  <c r="J32" i="6" s="1"/>
  <c r="J36" i="6" s="1"/>
  <c r="H6" i="10" s="1"/>
  <c r="H28" i="10" s="1"/>
  <c r="K13" i="6"/>
  <c r="G13" i="6"/>
  <c r="E13" i="6"/>
  <c r="H13" i="6"/>
  <c r="D13" i="6"/>
  <c r="J13" i="6"/>
  <c r="F13" i="6"/>
  <c r="I13" i="6"/>
  <c r="L7" i="6"/>
  <c r="L4" i="6"/>
  <c r="I14" i="6"/>
  <c r="E14" i="6"/>
  <c r="K14" i="6"/>
  <c r="G14" i="6"/>
  <c r="F14" i="6"/>
  <c r="H14" i="6"/>
  <c r="D14" i="6"/>
  <c r="J14" i="6"/>
  <c r="E28" i="10" l="1"/>
  <c r="D22" i="10"/>
  <c r="F23" i="7"/>
  <c r="D23" i="10" s="1"/>
  <c r="F24" i="7"/>
  <c r="D24" i="10" s="1"/>
  <c r="F23" i="6"/>
  <c r="F27" i="6" s="1"/>
  <c r="F33" i="6" s="1"/>
  <c r="F41" i="6" s="1"/>
  <c r="D11" i="10" s="1"/>
  <c r="D13" i="7"/>
  <c r="D17" i="7" s="1"/>
  <c r="B17" i="10" s="1"/>
  <c r="L8" i="7"/>
  <c r="G19" i="7"/>
  <c r="E19" i="10" s="1"/>
  <c r="G18" i="7"/>
  <c r="E18" i="10" s="1"/>
  <c r="F43" i="6"/>
  <c r="D13" i="10" s="1"/>
  <c r="G38" i="6"/>
  <c r="E8" i="10" s="1"/>
  <c r="G37" i="6"/>
  <c r="E7" i="10" s="1"/>
  <c r="E29" i="10" s="1"/>
  <c r="L18" i="6"/>
  <c r="K23" i="6"/>
  <c r="K27" i="6" s="1"/>
  <c r="L14" i="6"/>
  <c r="L13" i="6"/>
  <c r="L5" i="6"/>
  <c r="D23" i="6"/>
  <c r="H23" i="6"/>
  <c r="H27" i="6" s="1"/>
  <c r="H33" i="6" s="1"/>
  <c r="H42" i="6" s="1"/>
  <c r="F12" i="10" s="1"/>
  <c r="F34" i="10" s="1"/>
  <c r="E23" i="6"/>
  <c r="E27" i="6" s="1"/>
  <c r="E32" i="6" s="1"/>
  <c r="E36" i="6" s="1"/>
  <c r="C6" i="10" s="1"/>
  <c r="C28" i="10" s="1"/>
  <c r="L8" i="6"/>
  <c r="D33" i="10" l="1"/>
  <c r="F42" i="6"/>
  <c r="D12" i="10" s="1"/>
  <c r="D34" i="10" s="1"/>
  <c r="E30" i="10"/>
  <c r="D35" i="10"/>
  <c r="D27" i="6"/>
  <c r="L23" i="6"/>
  <c r="D32" i="6" l="1"/>
  <c r="D36" i="6" s="1"/>
  <c r="B6" i="10" s="1"/>
  <c r="B28" i="10" s="1"/>
  <c r="L27" i="6"/>
  <c r="J27" i="1" l="1"/>
  <c r="J20" i="1"/>
  <c r="J34" i="1" s="1"/>
  <c r="J30" i="1" l="1"/>
</calcChain>
</file>

<file path=xl/sharedStrings.xml><?xml version="1.0" encoding="utf-8"?>
<sst xmlns="http://schemas.openxmlformats.org/spreadsheetml/2006/main" count="268" uniqueCount="110">
  <si>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</si>
  <si>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</si>
  <si>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</si>
  <si>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</si>
  <si>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</si>
  <si>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</si>
  <si>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</si>
  <si>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</si>
  <si>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</si>
  <si>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</si>
  <si>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</si>
  <si>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</si>
  <si>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</si>
  <si>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Projection Period: January through December 2022</t>
  </si>
  <si>
    <t>Utilizing 2021 Settlement Agreement within Docket No. 20210034-EI</t>
  </si>
  <si>
    <t>6.</t>
  </si>
  <si>
    <t>Summary of 2022 SPP Revenue Requirements for Rate Calculation</t>
  </si>
  <si>
    <t>7.</t>
  </si>
  <si>
    <t xml:space="preserve">(Line 6 - Line 3) </t>
  </si>
  <si>
    <t>8.</t>
  </si>
  <si>
    <t>9.</t>
  </si>
  <si>
    <t>Form S-1</t>
  </si>
  <si>
    <t>Total Jurisdictionally Separated Revenue Requirement for 2021  (Base Revenue Requirement)</t>
  </si>
  <si>
    <t xml:space="preserve">Total Jurisdictionally Separated Revenue Requirement for 2022  </t>
  </si>
  <si>
    <t>Jurisdictionally Separated O&amp;M Revenue Requirement for 2021  (Actual/Estimated)(Form E-4)</t>
  </si>
  <si>
    <t>Jurisdictionally Separated Capital Revenue Requirement for 2021  (Actual/Estimated)(Form E-7)</t>
  </si>
  <si>
    <t>Jurisdictionally Separated O&amp;M Revenue Requirement for 2022  (Projected)(Form P-2)</t>
  </si>
  <si>
    <t>Jurisdictionally Separated Capital Revenue Requirement for 2022  (Projected)(Form P-3)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</si>
  <si>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</si>
  <si>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</si>
  <si>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</si>
  <si>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</si>
  <si>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</si>
  <si>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</si>
  <si>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</si>
  <si>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</si>
  <si>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</si>
  <si>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</si>
  <si>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</si>
  <si>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</si>
  <si>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</si>
  <si>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</si>
  <si>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</si>
  <si>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</si>
  <si>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</si>
  <si>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</si>
  <si>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</si>
  <si>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</si>
  <si>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Average 12 CP MW from (Projection Year - 1)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</si>
  <si>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</si>
  <si>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</si>
  <si>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</si>
  <si>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</si>
  <si>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</si>
  <si>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</si>
  <si>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</si>
  <si>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</si>
  <si>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</si>
  <si>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</si>
  <si>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</si>
  <si>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</si>
  <si>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</si>
  <si>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Vegetation Management - planned</t>
  </si>
  <si>
    <t>Transmission Vegetation Management - planned</t>
  </si>
  <si>
    <t>Distribution Infrastructure Inspections</t>
  </si>
  <si>
    <t>Transmission Infrastructure Inspections</t>
  </si>
  <si>
    <t>SPP Planning &amp; Common</t>
  </si>
  <si>
    <t>Docket 20210034-EI, Calculation of 2022 SPPCRC Rates utilizing 2021 base year portion, 2021 Settlement Cost of Service Methodology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</si>
  <si>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</si>
  <si>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</si>
  <si>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</si>
  <si>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</si>
  <si>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</si>
  <si>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</si>
  <si>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</si>
  <si>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</si>
  <si>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</si>
  <si>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</si>
  <si>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</si>
  <si>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</si>
  <si>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</si>
  <si>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</si>
  <si>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</si>
  <si>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</si>
  <si>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2022 Revenue Requirements with 2021 Settlement methodology from Docket No. 20210034-EI</t>
  </si>
  <si>
    <t>Over(Under) Recovery for the Current Period including Interest (Form E-1)</t>
  </si>
  <si>
    <t>Cost Allocation Factor</t>
  </si>
  <si>
    <t>2021 Settlement Cost Allocation Factor</t>
  </si>
  <si>
    <t>10.</t>
  </si>
  <si>
    <t>Incremental Portion</t>
  </si>
  <si>
    <t>Incremental Jurisdictionally Separated Revenue Requirement (without true-up)</t>
  </si>
  <si>
    <t>Base Portion Total Revenue Requirements with existing rate calculation methodology from Docket No. 20130040-EI</t>
  </si>
  <si>
    <t>Incremental Portion Total 2022 Revenue Requirements with 2021 Settlement methodology from Docket No. 20210034-EI</t>
  </si>
  <si>
    <t>Revenue Requirement for Projected Year (Incremental Portion)</t>
  </si>
  <si>
    <t>Docket 20210034-EI, Calculation of Total 2022 SPPCRC Rates utilizing 2021 base year portion and 2022 incremental portion, 2021 Settlement Cost of Service Methodology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</si>
  <si>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</si>
  <si>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</si>
  <si>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</si>
  <si>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</si>
  <si>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</si>
  <si>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</si>
  <si>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JANUARY 2022 THROUGH DECEMBER 2022</t>
  </si>
  <si>
    <t>PROJECTED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</si>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</sst>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37" fontId="0" fillId="0" borderId="0"/>
    <xf numFmtId="44" fontId="6" fillId="0" borderId="0" applyFont="0" applyFill="0" applyBorder="0" applyAlignment="0" applyProtection="0"/>
    <xf numFmtId="37" fontId="3" fillId="0" borderId="0" applyBorder="0" applyProtection="0"/>
    <xf numFmtId="37" fontId="3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37" fontId="3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6">
    <xf numFmtId="37" fontId="0" fillId="0" borderId="0" xfId="0"/>
    <xf numFmtId="37" fontId="3" fillId="0" borderId="0" xfId="0" applyFont="1" applyAlignment="1">
      <alignment horizontal="right" vertical="center"/>
    </xf>
    <xf numFmtId="0" fontId="3" fillId="0" borderId="0" xfId="2" applyNumberFormat="1"/>
    <xf numFmtId="0" fontId="3" fillId="0" borderId="0" xfId="2" applyNumberFormat="1" applyAlignment="1">
      <alignment horizontal="right"/>
    </xf>
    <xf numFmtId="37" fontId="3" fillId="0" borderId="0" xfId="2"/>
    <xf numFmtId="37" fontId="5" fillId="0" borderId="0" xfId="2" applyFont="1" applyAlignment="1" applyProtection="1">
      <alignment horizontal="center"/>
    </xf>
    <xf numFmtId="37" fontId="3" fillId="0" borderId="0" xfId="2" applyAlignment="1" applyProtection="1">
      <alignment horizontal="centerContinuous"/>
    </xf>
    <xf numFmtId="37" fontId="5" fillId="0" borderId="0" xfId="2" applyFont="1" applyAlignment="1" applyProtection="1">
      <alignment horizontal="centerContinuous"/>
    </xf>
    <xf numFmtId="0" fontId="3" fillId="0" borderId="0" xfId="2" applyNumberFormat="1" applyAlignment="1">
      <alignment horizontal="center"/>
    </xf>
    <xf numFmtId="37" fontId="3" fillId="0" borderId="1" xfId="2" applyBorder="1" applyProtection="1"/>
    <xf numFmtId="37" fontId="3" fillId="0" borderId="0" xfId="2" applyBorder="1" applyProtection="1"/>
    <xf numFmtId="37" fontId="3" fillId="0" borderId="0" xfId="2" applyProtection="1"/>
    <xf numFmtId="0" fontId="3" fillId="0" borderId="1" xfId="2" applyNumberFormat="1" applyBorder="1" applyAlignment="1" applyProtection="1">
      <alignment horizontal="center"/>
    </xf>
    <xf numFmtId="37" fontId="3" fillId="0" borderId="0" xfId="2" applyBorder="1"/>
    <xf numFmtId="164" fontId="3" fillId="0" borderId="0" xfId="1" applyNumberFormat="1" applyFont="1"/>
    <xf numFmtId="37" fontId="3" fillId="0" borderId="0" xfId="2" applyAlignment="1">
      <alignment horizontal="right"/>
    </xf>
    <xf numFmtId="37" fontId="3" fillId="0" borderId="0" xfId="3"/>
    <xf numFmtId="164" fontId="3" fillId="0" borderId="0" xfId="1" applyNumberFormat="1" applyFont="1" applyProtection="1"/>
    <xf numFmtId="37" fontId="3" fillId="0" borderId="0" xfId="3" quotePrefix="1" applyAlignment="1" applyProtection="1">
      <alignment horizontal="left" indent="1"/>
    </xf>
    <xf numFmtId="37" fontId="3" fillId="0" borderId="0" xfId="2" quotePrefix="1" applyAlignment="1">
      <alignment horizontal="right"/>
    </xf>
    <xf numFmtId="37" fontId="5" fillId="0" borderId="0" xfId="2" applyFont="1" applyProtection="1"/>
    <xf numFmtId="164" fontId="3" fillId="0" borderId="0" xfId="1" applyNumberFormat="1" applyFont="1" applyFill="1"/>
    <xf numFmtId="37" fontId="3" fillId="0" borderId="0" xfId="3" applyAlignment="1">
      <alignment horizontal="left" indent="1"/>
    </xf>
    <xf numFmtId="164" fontId="3" fillId="0" borderId="1" xfId="1" applyNumberFormat="1" applyFont="1" applyFill="1" applyBorder="1" applyProtection="1"/>
    <xf numFmtId="37" fontId="7" fillId="0" borderId="0" xfId="2" applyFont="1"/>
    <xf numFmtId="37" fontId="3" fillId="0" borderId="0" xfId="2" applyAlignment="1" applyProtection="1">
      <alignment horizontal="center"/>
    </xf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3" fillId="0" borderId="2" xfId="1" applyNumberFormat="1" applyFont="1" applyFill="1" applyBorder="1" applyProtection="1"/>
    <xf numFmtId="37" fontId="3" fillId="0" borderId="0" xfId="2" applyFill="1"/>
    <xf numFmtId="0" fontId="8" fillId="0" borderId="0" xfId="4" applyFont="1"/>
    <xf numFmtId="0" fontId="8" fillId="2" borderId="0" xfId="4" applyFont="1" applyFill="1" applyAlignment="1">
      <alignment horizontal="center"/>
    </xf>
    <xf numFmtId="0" fontId="2" fillId="0" borderId="0" xfId="4"/>
    <xf numFmtId="0" fontId="8" fillId="0" borderId="0" xfId="4" applyFont="1" applyAlignment="1">
      <alignment horizontal="center"/>
    </xf>
    <xf numFmtId="0" fontId="8" fillId="0" borderId="5" xfId="4" applyFont="1" applyBorder="1"/>
    <xf numFmtId="0" fontId="2" fillId="0" borderId="5" xfId="4" applyBorder="1"/>
    <xf numFmtId="165" fontId="9" fillId="2" borderId="5" xfId="5" applyNumberFormat="1" applyFont="1" applyFill="1" applyBorder="1" applyAlignment="1">
      <alignment horizontal="center" vertical="center"/>
    </xf>
    <xf numFmtId="165" fontId="2" fillId="0" borderId="5" xfId="4" applyNumberFormat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165" fontId="2" fillId="2" borderId="5" xfId="4" applyNumberFormat="1" applyFill="1" applyBorder="1" applyAlignment="1">
      <alignment horizontal="center"/>
    </xf>
    <xf numFmtId="165" fontId="2" fillId="0" borderId="0" xfId="4" applyNumberFormat="1" applyAlignment="1">
      <alignment horizontal="center"/>
    </xf>
    <xf numFmtId="165" fontId="8" fillId="0" borderId="5" xfId="4" applyNumberFormat="1" applyFont="1" applyBorder="1" applyAlignment="1">
      <alignment horizontal="center"/>
    </xf>
    <xf numFmtId="165" fontId="2" fillId="0" borderId="0" xfId="4" applyNumberFormat="1"/>
    <xf numFmtId="165" fontId="8" fillId="0" borderId="0" xfId="4" applyNumberFormat="1" applyFont="1" applyAlignment="1">
      <alignment horizontal="center"/>
    </xf>
    <xf numFmtId="0" fontId="8" fillId="0" borderId="0" xfId="4" applyFont="1" applyAlignment="1">
      <alignment horizontal="right"/>
    </xf>
    <xf numFmtId="3" fontId="2" fillId="3" borderId="5" xfId="4" applyNumberFormat="1" applyFill="1" applyBorder="1" applyAlignment="1">
      <alignment horizontal="center"/>
    </xf>
    <xf numFmtId="3" fontId="2" fillId="2" borderId="5" xfId="4" applyNumberFormat="1" applyFill="1" applyBorder="1" applyAlignment="1">
      <alignment horizontal="center"/>
    </xf>
    <xf numFmtId="3" fontId="2" fillId="0" borderId="0" xfId="4" applyNumberFormat="1" applyAlignment="1">
      <alignment horizontal="center"/>
    </xf>
    <xf numFmtId="2" fontId="2" fillId="0" borderId="0" xfId="4" applyNumberFormat="1" applyAlignment="1">
      <alignment horizontal="center"/>
    </xf>
    <xf numFmtId="2" fontId="2" fillId="0" borderId="0" xfId="4" applyNumberFormat="1"/>
    <xf numFmtId="166" fontId="2" fillId="0" borderId="0" xfId="4" applyNumberFormat="1" applyAlignment="1">
      <alignment horizontal="center"/>
    </xf>
    <xf numFmtId="3" fontId="2" fillId="3" borderId="5" xfId="4" applyNumberFormat="1" applyFill="1" applyBorder="1"/>
    <xf numFmtId="2" fontId="2" fillId="0" borderId="0" xfId="4" applyNumberFormat="1" applyAlignment="1">
      <alignment horizontal="left"/>
    </xf>
    <xf numFmtId="3" fontId="2" fillId="0" borderId="5" xfId="4" applyNumberFormat="1" applyBorder="1" applyAlignment="1">
      <alignment horizontal="center" vertical="center"/>
    </xf>
    <xf numFmtId="9" fontId="8" fillId="0" borderId="0" xfId="5" applyFont="1" applyAlignment="1">
      <alignment horizontal="center"/>
    </xf>
    <xf numFmtId="10" fontId="2" fillId="0" borderId="5" xfId="4" applyNumberFormat="1" applyBorder="1" applyAlignment="1">
      <alignment horizontal="center"/>
    </xf>
    <xf numFmtId="168" fontId="2" fillId="0" borderId="5" xfId="4" applyNumberFormat="1" applyBorder="1" applyAlignment="1">
      <alignment horizontal="center"/>
    </xf>
    <xf numFmtId="167" fontId="2" fillId="0" borderId="0" xfId="4" applyNumberFormat="1" applyAlignment="1">
      <alignment horizontal="center"/>
    </xf>
    <xf numFmtId="10" fontId="2" fillId="0" borderId="0" xfId="4" applyNumberFormat="1"/>
    <xf numFmtId="0" fontId="10" fillId="0" borderId="5" xfId="4" applyFont="1" applyBorder="1" applyAlignment="1">
      <alignment horizontal="left"/>
    </xf>
    <xf numFmtId="37" fontId="11" fillId="0" borderId="5" xfId="6" applyFont="1" applyBorder="1" applyAlignment="1">
      <alignment horizontal="right" indent="1"/>
    </xf>
    <xf numFmtId="37" fontId="11" fillId="0" borderId="5" xfId="6" applyFont="1" applyBorder="1" applyAlignment="1">
      <alignment horizontal="left"/>
    </xf>
    <xf numFmtId="169" fontId="2" fillId="0" borderId="0" xfId="4" applyNumberFormat="1"/>
    <xf numFmtId="37" fontId="11" fillId="0" borderId="5" xfId="6" applyFont="1" applyBorder="1" applyAlignment="1">
      <alignment horizontal="right" wrapText="1" indent="1"/>
    </xf>
    <xf numFmtId="0" fontId="10" fillId="0" borderId="0" xfId="4" applyFont="1" applyAlignment="1">
      <alignment horizontal="center"/>
    </xf>
    <xf numFmtId="0" fontId="2" fillId="0" borderId="5" xfId="4" applyBorder="1" applyAlignment="1">
      <alignment horizontal="center"/>
    </xf>
    <xf numFmtId="169" fontId="2" fillId="0" borderId="5" xfId="4" applyNumberFormat="1" applyBorder="1"/>
    <xf numFmtId="170" fontId="2" fillId="0" borderId="5" xfId="4" applyNumberFormat="1" applyBorder="1"/>
    <xf numFmtId="0" fontId="2" fillId="0" borderId="0" xfId="4" applyAlignment="1">
      <alignment horizontal="center"/>
    </xf>
    <xf numFmtId="3" fontId="2" fillId="0" borderId="5" xfId="4" applyNumberFormat="1" applyBorder="1"/>
    <xf numFmtId="0" fontId="8" fillId="0" borderId="5" xfId="4" applyFont="1" applyBorder="1" applyAlignment="1">
      <alignment horizontal="center"/>
    </xf>
    <xf numFmtId="171" fontId="2" fillId="0" borderId="5" xfId="4" applyNumberFormat="1" applyBorder="1"/>
    <xf numFmtId="170" fontId="2" fillId="0" borderId="0" xfId="4" applyNumberFormat="1"/>
    <xf numFmtId="37" fontId="3" fillId="0" borderId="0" xfId="3" quotePrefix="1"/>
    <xf numFmtId="42" fontId="3" fillId="0" borderId="0" xfId="2" applyNumberFormat="1"/>
    <xf numFmtId="0" fontId="2" fillId="0" borderId="0" xfId="4" applyAlignment="1">
      <alignment horizontal="center" vertical="center"/>
    </xf>
    <xf numFmtId="37" fontId="3" fillId="0" borderId="0" xfId="2" quotePrefix="1"/>
    <xf numFmtId="0" fontId="2" fillId="0" borderId="0" xfId="4" applyBorder="1" applyAlignment="1"/>
    <xf numFmtId="0" fontId="8" fillId="0" borderId="0" xfId="4" applyFont="1" applyBorder="1" applyAlignment="1"/>
    <xf numFmtId="0" fontId="2" fillId="0" borderId="3" xfId="4" applyBorder="1"/>
    <xf numFmtId="0" fontId="10" fillId="0" borderId="3" xfId="4" applyFont="1" applyBorder="1" applyAlignment="1">
      <alignment horizontal="left"/>
    </xf>
    <xf numFmtId="169" fontId="2" fillId="0" borderId="0" xfId="4" applyNumberFormat="1" applyFill="1" applyBorder="1" applyAlignment="1"/>
    <xf numFmtId="0" fontId="8" fillId="0" borderId="0" xfId="4" applyFont="1" applyFill="1" applyBorder="1" applyAlignment="1">
      <alignment wrapText="1"/>
    </xf>
    <xf numFmtId="169" fontId="2" fillId="2" borderId="5" xfId="4" applyNumberFormat="1" applyFill="1" applyBorder="1" applyAlignment="1"/>
    <xf numFmtId="0" fontId="8" fillId="0" borderId="0" xfId="4" applyFont="1" applyAlignment="1">
      <alignment horizontal="left"/>
    </xf>
    <xf numFmtId="0" fontId="8" fillId="0" borderId="5" xfId="4" applyFont="1" applyFill="1" applyBorder="1" applyAlignment="1">
      <alignment horizontal="center"/>
    </xf>
    <xf numFmtId="173" fontId="8" fillId="0" borderId="5" xfId="4" applyNumberFormat="1" applyFont="1" applyFill="1" applyBorder="1" applyAlignment="1">
      <alignment horizontal="center"/>
    </xf>
    <xf numFmtId="173" fontId="2" fillId="0" borderId="0" xfId="4" applyNumberFormat="1" applyFill="1"/>
    <xf numFmtId="173" fontId="2" fillId="0" borderId="5" xfId="4" applyNumberFormat="1" applyFill="1" applyBorder="1"/>
    <xf numFmtId="0" fontId="8" fillId="0" borderId="0" xfId="8" applyFont="1" applyAlignment="1">
      <alignment horizontal="center"/>
    </xf>
    <xf numFmtId="165" fontId="9" fillId="0" borderId="0" xfId="9" applyNumberFormat="1" applyFont="1" applyFill="1" applyBorder="1" applyAlignment="1">
      <alignment horizontal="center" vertical="center"/>
    </xf>
    <xf numFmtId="165" fontId="1" fillId="0" borderId="0" xfId="8" applyNumberFormat="1" applyAlignment="1">
      <alignment horizontal="center"/>
    </xf>
    <xf numFmtId="165" fontId="9" fillId="0" borderId="0" xfId="9" applyNumberFormat="1" applyFont="1" applyFill="1" applyBorder="1" applyAlignment="1">
      <alignment horizontal="center"/>
    </xf>
    <xf numFmtId="3" fontId="1" fillId="2" borderId="5" xfId="8" applyNumberFormat="1" applyFill="1" applyBorder="1"/>
    <xf numFmtId="3" fontId="1" fillId="2" borderId="5" xfId="8" applyNumberForma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center"/>
    </xf>
    <xf numFmtId="3" fontId="1" fillId="0" borderId="0" xfId="8" applyNumberFormat="1" applyFill="1" applyBorder="1" applyAlignment="1">
      <alignment horizontal="center"/>
    </xf>
    <xf numFmtId="0" fontId="1" fillId="0" borderId="0" xfId="8"/>
    <xf numFmtId="0" fontId="1" fillId="0" borderId="0" xfId="8" applyAlignment="1">
      <alignment horizontal="center" vertical="center"/>
    </xf>
    <xf numFmtId="3" fontId="8" fillId="0" borderId="0" xfId="8" applyNumberFormat="1" applyFont="1" applyAlignment="1">
      <alignment horizontal="center"/>
    </xf>
    <xf numFmtId="0" fontId="1" fillId="0" borderId="0" xfId="8" applyAlignment="1">
      <alignment horizontal="center"/>
    </xf>
    <xf numFmtId="0" fontId="8" fillId="0" borderId="0" xfId="8" applyFont="1"/>
    <xf numFmtId="165" fontId="1" fillId="0" borderId="0" xfId="8" applyNumberFormat="1"/>
    <xf numFmtId="3" fontId="1" fillId="0" borderId="0" xfId="8" applyNumberFormat="1" applyFill="1" applyBorder="1"/>
    <xf numFmtId="0" fontId="1" fillId="0" borderId="0" xfId="8" applyFill="1" applyBorder="1"/>
    <xf numFmtId="0" fontId="1" fillId="0" borderId="0" xfId="8" applyFill="1" applyBorder="1" applyAlignment="1">
      <alignment horizontal="center"/>
    </xf>
    <xf numFmtId="3" fontId="2" fillId="0" borderId="0" xfId="4" applyNumberFormat="1" applyFill="1" applyBorder="1" applyAlignment="1">
      <alignment horizontal="center"/>
    </xf>
    <xf numFmtId="0" fontId="8" fillId="0" borderId="0" xfId="8" applyFont="1" applyAlignment="1"/>
    <xf numFmtId="175" fontId="9" fillId="0" borderId="0" xfId="9" applyNumberFormat="1" applyFont="1" applyFill="1" applyBorder="1" applyAlignment="1">
      <alignment horizontal="center" vertical="center"/>
    </xf>
    <xf numFmtId="175" fontId="1" fillId="0" borderId="0" xfId="8" applyNumberFormat="1" applyAlignment="1">
      <alignment horizontal="center"/>
    </xf>
    <xf numFmtId="171" fontId="2" fillId="0" borderId="5" xfId="4" applyNumberFormat="1" applyFill="1" applyBorder="1"/>
    <xf numFmtId="0" fontId="2" fillId="0" borderId="0" xfId="4" applyFill="1"/>
    <xf numFmtId="0" fontId="2" fillId="0" borderId="5" xfId="4" applyFill="1" applyBorder="1"/>
    <xf numFmtId="0" fontId="8" fillId="0" borderId="0" xfId="4" applyFont="1" applyFill="1" applyAlignment="1">
      <alignment horizontal="right"/>
    </xf>
    <xf numFmtId="172" fontId="2" fillId="0" borderId="5" xfId="4" applyNumberFormat="1" applyFill="1" applyBorder="1"/>
    <xf numFmtId="170" fontId="2" fillId="0" borderId="0" xfId="4" applyNumberFormat="1" applyFill="1"/>
    <xf numFmtId="174" fontId="1" fillId="0" borderId="0" xfId="8" applyNumberFormat="1" applyAlignment="1">
      <alignment horizontal="center"/>
    </xf>
    <xf numFmtId="0" fontId="8" fillId="0" borderId="0" xfId="8" applyFont="1" applyAlignment="1">
      <alignment horizontal="center"/>
    </xf>
    <xf numFmtId="0" fontId="8" fillId="0" borderId="0" xfId="4" applyFont="1" applyFill="1" applyAlignment="1">
      <alignment horizontal="right"/>
    </xf>
    <xf numFmtId="0" fontId="8" fillId="0" borderId="9" xfId="4" applyFont="1" applyFill="1" applyBorder="1" applyAlignment="1">
      <alignment horizontal="right"/>
    </xf>
    <xf numFmtId="0" fontId="8" fillId="0" borderId="0" xfId="4" applyFont="1" applyAlignment="1">
      <alignment horizontal="center"/>
    </xf>
    <xf numFmtId="0" fontId="8" fillId="0" borderId="5" xfId="4" applyFont="1" applyBorder="1" applyAlignment="1">
      <alignment horizontal="right"/>
    </xf>
    <xf numFmtId="0" fontId="8" fillId="0" borderId="8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8" fillId="0" borderId="9" xfId="4" applyFont="1" applyBorder="1" applyAlignment="1">
      <alignment horizontal="right"/>
    </xf>
    <xf numFmtId="37" fontId="5" fillId="0" borderId="0" xfId="2" applyFont="1" applyAlignment="1">
      <alignment horizontal="left"/>
    </xf>
    <xf numFmtId="37" fontId="5" fillId="0" borderId="0" xfId="2" applyFont="1" applyAlignment="1" applyProtection="1">
      <alignment horizontal="left"/>
    </xf>
    <xf numFmtId="0" fontId="4" fillId="0" borderId="0" xfId="2" applyNumberFormat="1" applyFont="1" applyAlignment="1" applyProtection="1">
      <alignment horizontal="center"/>
    </xf>
    <xf numFmtId="37" fontId="3" fillId="0" borderId="0" xfId="2" applyAlignment="1" applyProtection="1">
      <alignment horizontal="center"/>
    </xf>
    <xf numFmtId="37" fontId="5" fillId="0" borderId="0" xfId="2" applyFont="1" applyAlignment="1" applyProtection="1">
      <alignment horizontal="center"/>
    </xf>
    <xf numFmtId="0" fontId="2" fillId="0" borderId="8" xfId="4" applyBorder="1" applyAlignment="1">
      <alignment horizontal="center"/>
    </xf>
    <xf numFmtId="0" fontId="2" fillId="0" borderId="0" xfId="4" applyAlignment="1">
      <alignment horizontal="center"/>
    </xf>
    <xf numFmtId="169" fontId="2" fillId="2" borderId="5" xfId="4" applyNumberFormat="1" applyFill="1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7" xfId="4" applyBorder="1" applyAlignment="1">
      <alignment horizontal="center"/>
    </xf>
    <xf numFmtId="167" fontId="2" fillId="0" borderId="5" xfId="4" applyNumberForma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2" fillId="0" borderId="5" xfId="4" applyBorder="1" applyAlignment="1">
      <alignment horizontal="center"/>
    </xf>
    <xf numFmtId="165" fontId="2" fillId="2" borderId="5" xfId="4" applyNumberFormat="1" applyFill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2" fillId="0" borderId="0" xfId="4" applyAlignment="1">
      <alignment horizontal="center" vertical="center"/>
    </xf>
    <xf numFmtId="0" fontId="8" fillId="4" borderId="0" xfId="4" applyFont="1" applyFill="1" applyAlignment="1">
      <alignment horizontal="center"/>
    </xf>
    <xf numFmtId="0" fontId="8" fillId="2" borderId="3" xfId="4" applyFont="1" applyFill="1" applyBorder="1" applyAlignment="1">
      <alignment horizontal="center" wrapText="1"/>
    </xf>
    <xf numFmtId="0" fontId="8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  <cell r="B30">
            <v>0.92576322</v>
          </cell>
        </row>
        <row r="31">
          <cell r="A31" t="str">
            <v>FERC Jurisdictional Factor</v>
          </cell>
          <cell r="B31">
            <v>7.4236780000000002E-2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60" zoomScaleNormal="100" workbookViewId="0">
      <selection activeCell="F30" sqref="F30"/>
    </sheetView>
  </sheetViews>
  <sheetFormatPr defaultRowHeight="15" x14ac:dyDescent="0.25"/>
  <cols>
    <col min="1" max="1" width="8.88671875" style="98"/>
    <col min="2" max="2" width="19.109375" style="98" customWidth="1"/>
    <col min="3" max="4" width="12.6640625" style="98" customWidth="1"/>
    <col min="5" max="5" width="3.5546875" style="98" customWidth="1"/>
    <col min="6" max="7" width="12.6640625" style="98" customWidth="1"/>
    <col min="8" max="16384" width="8.88671875" style="98"/>
  </cols>
  <sheetData>
    <row r="3" spans="2:7" x14ac:dyDescent="0.25">
      <c r="D3" s="99" t="s">
        <v>98</v>
      </c>
    </row>
    <row r="4" spans="2:7" x14ac:dyDescent="0.25">
      <c r="D4" s="99" t="s">
        <v>99</v>
      </c>
    </row>
    <row r="5" spans="2:7" x14ac:dyDescent="0.25">
      <c r="D5" s="99" t="s">
        <v>100</v>
      </c>
    </row>
    <row r="6" spans="2:7" x14ac:dyDescent="0.25">
      <c r="D6" s="99" t="s">
        <v>101</v>
      </c>
    </row>
    <row r="7" spans="2:7" x14ac:dyDescent="0.25">
      <c r="D7" s="99" t="s">
        <v>102</v>
      </c>
    </row>
    <row r="8" spans="2:7" x14ac:dyDescent="0.25">
      <c r="D8" s="101" t="s">
        <v>108</v>
      </c>
      <c r="F8" s="99"/>
    </row>
    <row r="9" spans="2:7" x14ac:dyDescent="0.25">
      <c r="C9" s="117"/>
      <c r="D9" s="117"/>
      <c r="F9" s="99"/>
    </row>
    <row r="10" spans="2:7" x14ac:dyDescent="0.25">
      <c r="C10" s="118" t="s">
        <v>103</v>
      </c>
      <c r="D10" s="118"/>
      <c r="F10" s="118" t="s">
        <v>104</v>
      </c>
      <c r="G10" s="118"/>
    </row>
    <row r="11" spans="2:7" x14ac:dyDescent="0.25">
      <c r="C11" s="100" t="s">
        <v>43</v>
      </c>
      <c r="D11" s="90" t="s">
        <v>44</v>
      </c>
      <c r="F11" s="90" t="s">
        <v>105</v>
      </c>
      <c r="G11" s="90" t="s">
        <v>106</v>
      </c>
    </row>
    <row r="12" spans="2:7" x14ac:dyDescent="0.25">
      <c r="C12" s="100"/>
      <c r="D12" s="90"/>
    </row>
    <row r="13" spans="2:7" x14ac:dyDescent="0.25">
      <c r="B13" s="98" t="str">
        <f>[3]Inputs!A13</f>
        <v>RS (Tier 1, Tier 2, RSVP)</v>
      </c>
      <c r="C13" s="104">
        <v>9728164.6219999995</v>
      </c>
      <c r="D13" s="105"/>
      <c r="F13" s="92">
        <f>[3]Inputs!C8</f>
        <v>0.63075073347225774</v>
      </c>
      <c r="G13" s="92">
        <f>[3]Inputs!C9</f>
        <v>0.59206624903815608</v>
      </c>
    </row>
    <row r="14" spans="2:7" x14ac:dyDescent="0.25">
      <c r="B14" s="98" t="str">
        <f>[3]Inputs!A14</f>
        <v>GS &amp; CS</v>
      </c>
      <c r="C14" s="104">
        <v>953392.38500000001</v>
      </c>
      <c r="D14" s="105"/>
      <c r="F14" s="92">
        <f>[3]Inputs!D8</f>
        <v>4.8672684850350853E-2</v>
      </c>
      <c r="G14" s="92">
        <f>[3]Inputs!D9</f>
        <v>5.0399377955007131E-2</v>
      </c>
    </row>
    <row r="15" spans="2:7" x14ac:dyDescent="0.25">
      <c r="B15" s="98" t="str">
        <f>[3]Inputs!A15</f>
        <v>GSD, SBD</v>
      </c>
      <c r="C15" s="97"/>
      <c r="D15" s="97">
        <v>15876487.529999999</v>
      </c>
      <c r="F15" s="92">
        <f>[3]Inputs!E8</f>
        <v>0.26412542324340266</v>
      </c>
      <c r="G15" s="92">
        <f>[3]Inputs!E9</f>
        <v>0.28381010000348755</v>
      </c>
    </row>
    <row r="16" spans="2:7" x14ac:dyDescent="0.25">
      <c r="B16" s="98" t="str">
        <f>[3]Inputs!A16</f>
        <v>GSD Optional</v>
      </c>
      <c r="C16" s="104">
        <v>415088.27899999998</v>
      </c>
      <c r="D16" s="106"/>
      <c r="F16" s="92">
        <f>[3]Inputs!F8</f>
        <v>1.4233883051185673E-2</v>
      </c>
      <c r="G16" s="92">
        <f>[3]Inputs!F9</f>
        <v>1.5294702503788064E-2</v>
      </c>
    </row>
    <row r="17" spans="2:7" x14ac:dyDescent="0.25">
      <c r="B17" s="98" t="str">
        <f>[3]Inputs!A17</f>
        <v>GSLDPR, SBLDPR</v>
      </c>
      <c r="C17" s="97"/>
      <c r="D17" s="107">
        <v>2439151.87</v>
      </c>
      <c r="F17" s="92">
        <f>[3]Inputs!G8</f>
        <v>3.5892643238092832E-2</v>
      </c>
      <c r="G17" s="92">
        <f>[3]Inputs!G9</f>
        <v>3.7219807483242183E-2</v>
      </c>
    </row>
    <row r="18" spans="2:7" x14ac:dyDescent="0.25">
      <c r="B18" s="98" t="str">
        <f>[3]Inputs!A18</f>
        <v>GSLDSU, SBLDSU</v>
      </c>
      <c r="C18" s="97"/>
      <c r="D18" s="107">
        <v>2627756.0699999998</v>
      </c>
      <c r="F18" s="92">
        <f>[3]Inputs!H8</f>
        <v>0</v>
      </c>
      <c r="G18" s="92">
        <f>[3]Inputs!H9</f>
        <v>2.0816948526783563E-2</v>
      </c>
    </row>
    <row r="19" spans="2:7" x14ac:dyDescent="0.25">
      <c r="B19" s="98" t="str">
        <f>[3]Inputs!A19</f>
        <v>LS1, LS2</v>
      </c>
      <c r="C19" s="104">
        <v>110703.23299999999</v>
      </c>
      <c r="D19" s="105"/>
      <c r="F19" s="92">
        <f>[3]Inputs!I8</f>
        <v>6.3246321447102301E-3</v>
      </c>
      <c r="G19" s="92">
        <f>[3]Inputs!I9</f>
        <v>3.9281448953547478E-4</v>
      </c>
    </row>
    <row r="20" spans="2:7" x14ac:dyDescent="0.25">
      <c r="B20" s="98" t="str">
        <f>[3]Inputs!A20</f>
        <v>LTG-FAC</v>
      </c>
      <c r="C20" s="104">
        <v>0</v>
      </c>
      <c r="D20" s="105"/>
      <c r="F20" s="92">
        <f>[3]Inputs!J8</f>
        <v>0</v>
      </c>
      <c r="G20" s="92">
        <f>[3]Inputs!J9</f>
        <v>0</v>
      </c>
    </row>
    <row r="22" spans="2:7" x14ac:dyDescent="0.25">
      <c r="B22" s="102" t="s">
        <v>107</v>
      </c>
    </row>
    <row r="23" spans="2:7" x14ac:dyDescent="0.25">
      <c r="B23" s="98" t="str">
        <f>[3]Inputs!A30</f>
        <v>FPSC Jurisdictional Factor</v>
      </c>
      <c r="C23" s="103">
        <f>[3]Inputs!B30</f>
        <v>0.92576322</v>
      </c>
    </row>
    <row r="24" spans="2:7" x14ac:dyDescent="0.25">
      <c r="B24" s="98" t="str">
        <f>[3]Inputs!A31</f>
        <v>FERC Jurisdictional Factor</v>
      </c>
      <c r="C24" s="103">
        <f>[3]Inputs!B31</f>
        <v>7.4236780000000002E-2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60" zoomScaleNormal="100" workbookViewId="0">
      <selection activeCell="H21" sqref="H21"/>
    </sheetView>
  </sheetViews>
  <sheetFormatPr defaultRowHeight="15" x14ac:dyDescent="0.25"/>
  <cols>
    <col min="1" max="1" width="8.88671875" style="98"/>
    <col min="2" max="2" width="19.109375" style="98" customWidth="1"/>
    <col min="3" max="4" width="12.6640625" style="98" customWidth="1"/>
    <col min="5" max="5" width="3.5546875" style="98" customWidth="1"/>
    <col min="6" max="7" width="12.6640625" style="98" customWidth="1"/>
    <col min="8" max="16384" width="8.88671875" style="98"/>
  </cols>
  <sheetData>
    <row r="3" spans="2:18" x14ac:dyDescent="0.25">
      <c r="D3" s="99" t="s">
        <v>98</v>
      </c>
    </row>
    <row r="4" spans="2:18" x14ac:dyDescent="0.25">
      <c r="D4" s="99" t="s">
        <v>99</v>
      </c>
    </row>
    <row r="5" spans="2:18" x14ac:dyDescent="0.25">
      <c r="D5" s="99" t="s">
        <v>100</v>
      </c>
    </row>
    <row r="6" spans="2:18" x14ac:dyDescent="0.25">
      <c r="D6" s="99" t="s">
        <v>101</v>
      </c>
    </row>
    <row r="7" spans="2:18" x14ac:dyDescent="0.25">
      <c r="D7" s="99" t="s">
        <v>102</v>
      </c>
    </row>
    <row r="8" spans="2:18" x14ac:dyDescent="0.25">
      <c r="D8" s="101" t="s">
        <v>109</v>
      </c>
      <c r="F8" s="99"/>
    </row>
    <row r="9" spans="2:18" x14ac:dyDescent="0.25">
      <c r="C9" s="117"/>
      <c r="D9" s="117"/>
      <c r="F9" s="99"/>
    </row>
    <row r="10" spans="2:18" x14ac:dyDescent="0.25">
      <c r="C10" s="118" t="s">
        <v>103</v>
      </c>
      <c r="D10" s="118"/>
      <c r="F10" s="108" t="s">
        <v>104</v>
      </c>
      <c r="G10" s="108"/>
    </row>
    <row r="11" spans="2:18" x14ac:dyDescent="0.25">
      <c r="C11" s="100" t="s">
        <v>43</v>
      </c>
      <c r="D11" s="90" t="s">
        <v>44</v>
      </c>
      <c r="F11" s="90"/>
      <c r="G11" s="90"/>
    </row>
    <row r="12" spans="2:18" x14ac:dyDescent="0.25">
      <c r="C12" s="100"/>
      <c r="D12" s="90"/>
    </row>
    <row r="13" spans="2:18" x14ac:dyDescent="0.25">
      <c r="B13" s="98" t="str">
        <f>[3]Inputs!A13</f>
        <v>RS (Tier 1, Tier 2, RSVP)</v>
      </c>
      <c r="C13" s="104">
        <v>9728164.6219999995</v>
      </c>
      <c r="D13" s="105"/>
      <c r="F13" s="109">
        <v>0.7811931307130755</v>
      </c>
      <c r="G13" s="91"/>
      <c r="I13" s="91"/>
      <c r="J13" s="91"/>
      <c r="K13" s="91"/>
      <c r="L13" s="92"/>
      <c r="M13" s="92"/>
      <c r="N13" s="93"/>
      <c r="O13" s="93"/>
      <c r="P13" s="92"/>
      <c r="Q13" s="92"/>
      <c r="R13" s="93">
        <v>6.61147949045119E-2</v>
      </c>
    </row>
    <row r="14" spans="2:18" x14ac:dyDescent="0.25">
      <c r="B14" s="98" t="str">
        <f>[3]Inputs!A14</f>
        <v>GS &amp; CS</v>
      </c>
      <c r="C14" s="104">
        <v>953392.38500000001</v>
      </c>
      <c r="D14" s="105"/>
      <c r="F14" s="109">
        <v>9.5582236910912624E-2</v>
      </c>
      <c r="G14" s="92"/>
    </row>
    <row r="15" spans="2:18" x14ac:dyDescent="0.25">
      <c r="B15" s="98" t="str">
        <f>[3]Inputs!A15</f>
        <v>GSD, SBD</v>
      </c>
      <c r="C15" s="97"/>
      <c r="D15" s="97">
        <v>15876487.529999999</v>
      </c>
      <c r="F15" s="110">
        <v>4.4289423475938151E-2</v>
      </c>
      <c r="G15" s="92"/>
    </row>
    <row r="16" spans="2:18" x14ac:dyDescent="0.25">
      <c r="B16" s="98" t="str">
        <f>[3]Inputs!A16</f>
        <v>GSD Optional</v>
      </c>
      <c r="C16" s="104">
        <v>415088.27899999998</v>
      </c>
      <c r="D16" s="106"/>
      <c r="F16" s="110">
        <v>2.7538965399591551E-3</v>
      </c>
      <c r="G16" s="92"/>
    </row>
    <row r="17" spans="2:7" x14ac:dyDescent="0.25">
      <c r="B17" s="98" t="str">
        <f>[3]Inputs!A17</f>
        <v>GSLDPR, SBLDPR</v>
      </c>
      <c r="C17" s="97"/>
      <c r="D17" s="107">
        <v>2439151.87</v>
      </c>
      <c r="F17" s="110">
        <v>6.4373418118685551E-3</v>
      </c>
      <c r="G17" s="92"/>
    </row>
    <row r="18" spans="2:7" x14ac:dyDescent="0.25">
      <c r="B18" s="98" t="str">
        <f>[3]Inputs!A18</f>
        <v>GSLDSU, SBLDSU</v>
      </c>
      <c r="C18" s="97"/>
      <c r="D18" s="107">
        <v>2627756.0699999998</v>
      </c>
      <c r="F18" s="110">
        <v>3.6291756437341811E-3</v>
      </c>
      <c r="G18" s="92"/>
    </row>
    <row r="19" spans="2:7" x14ac:dyDescent="0.25">
      <c r="B19" s="98" t="str">
        <f>[3]Inputs!A19</f>
        <v>LS1, LS2</v>
      </c>
      <c r="C19" s="104">
        <v>110703.23299999999</v>
      </c>
      <c r="D19" s="105"/>
      <c r="F19" s="110">
        <v>6.61147949045119E-2</v>
      </c>
      <c r="G19" s="92"/>
    </row>
    <row r="20" spans="2:7" x14ac:dyDescent="0.25">
      <c r="B20" s="98" t="str">
        <f>[3]Inputs!A20</f>
        <v>LTG-FAC</v>
      </c>
      <c r="C20" s="104">
        <v>0</v>
      </c>
      <c r="D20" s="105"/>
      <c r="F20" s="110">
        <f>[3]Inputs!J8</f>
        <v>0</v>
      </c>
      <c r="G20" s="92"/>
    </row>
    <row r="22" spans="2:7" x14ac:dyDescent="0.25">
      <c r="B22" s="102" t="s">
        <v>107</v>
      </c>
    </row>
    <row r="23" spans="2:7" x14ac:dyDescent="0.25">
      <c r="B23" s="98" t="str">
        <f>[3]Inputs!A30</f>
        <v>FPSC Jurisdictional Factor</v>
      </c>
      <c r="C23" s="103">
        <f>[3]Inputs!B30</f>
        <v>0.92576322</v>
      </c>
    </row>
    <row r="24" spans="2:7" x14ac:dyDescent="0.25">
      <c r="B24" s="98" t="str">
        <f>[3]Inputs!A31</f>
        <v>FERC Jurisdictional Factor</v>
      </c>
      <c r="C24" s="103">
        <f>[3]Inputs!B31</f>
        <v>7.4236780000000002E-2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5"/>
  <sheetViews>
    <sheetView view="pageBreakPreview" zoomScale="60" zoomScaleNormal="100" workbookViewId="0">
      <selection activeCell="F51" sqref="F51"/>
    </sheetView>
  </sheetViews>
  <sheetFormatPr defaultRowHeight="15" x14ac:dyDescent="0.25"/>
  <cols>
    <col min="1" max="1" width="42" style="33" customWidth="1"/>
    <col min="2" max="2" width="9.33203125" style="33" bestFit="1" customWidth="1"/>
    <col min="3" max="3" width="22.33203125" style="33" bestFit="1" customWidth="1"/>
    <col min="4" max="4" width="16.88671875" style="33" bestFit="1" customWidth="1"/>
    <col min="5" max="5" width="10.6640625" style="33" customWidth="1"/>
    <col min="6" max="6" width="14.5546875" style="33" customWidth="1"/>
    <col min="7" max="7" width="12.8867187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2.4414062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x14ac:dyDescent="0.25">
      <c r="D1" s="121" t="s">
        <v>67</v>
      </c>
      <c r="E1" s="121"/>
      <c r="F1" s="121"/>
      <c r="G1" s="121"/>
      <c r="H1" s="121"/>
      <c r="I1" s="121"/>
      <c r="J1" s="121"/>
      <c r="K1" s="121"/>
    </row>
    <row r="2" spans="1:12" ht="15.75" x14ac:dyDescent="0.25">
      <c r="A2" s="65" t="s">
        <v>68</v>
      </c>
      <c r="B2" s="65" t="s">
        <v>69</v>
      </c>
      <c r="C2" s="31" t="s">
        <v>70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53</v>
      </c>
    </row>
    <row r="3" spans="1:12" ht="15.75" x14ac:dyDescent="0.25">
      <c r="A3" s="60" t="s">
        <v>55</v>
      </c>
    </row>
    <row r="4" spans="1:12" ht="15.75" x14ac:dyDescent="0.25">
      <c r="A4" s="61" t="s">
        <v>56</v>
      </c>
      <c r="B4" s="66" t="s">
        <v>71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57</v>
      </c>
      <c r="B5" s="66" t="s">
        <v>72</v>
      </c>
      <c r="C5" s="67">
        <f>'2021 base portion-inputs'!B37*'2021 base portion-inputs'!E30</f>
        <v>1095306.5703475799</v>
      </c>
      <c r="D5" s="68">
        <f>IF(B5="Dist",'2021 base portion-inputs'!$C$8,'2021 base portion-inputs'!$C$9)*C5</f>
        <v>648494.05265253887</v>
      </c>
      <c r="E5" s="68">
        <f>IF(B5="Dist",'2021 base portion-inputs'!$D$8,'2021 base portion-inputs'!$D$9)*C5</f>
        <v>55202.769815550288</v>
      </c>
      <c r="F5" s="68">
        <f>IF(B5="Dist",'2021 base portion-inputs'!$E$8,'2021 base portion-inputs'!$E$9)*C5</f>
        <v>308433.0855449693</v>
      </c>
      <c r="G5" s="68">
        <f>IF(B5="Dist",'2021 base portion-inputs'!$F$8,'2021 base portion-inputs'!$F$9)*C5</f>
        <v>19178.36986376499</v>
      </c>
      <c r="H5" s="68">
        <f>IF(B5="Dist",'2021 base portion-inputs'!$G$8,'2021 base portion-inputs'!$G$9)*C5</f>
        <v>40767.099683467182</v>
      </c>
      <c r="I5" s="68">
        <f>IF(B5="Dist",'2021 base portion-inputs'!$H$8,'2021 base portion-inputs'!$H$9)*C5</f>
        <v>22800.940495973409</v>
      </c>
      <c r="J5" s="68">
        <f>IF(B5="Dist",'2021 base portion-inputs'!$I$8,'2021 base portion-inputs'!$I$9)*C5</f>
        <v>430.25229131593619</v>
      </c>
      <c r="K5" s="36">
        <f>IF(B5="Dist",'2021 base portion-inputs'!$J$4,'2021 base portion-inputs'!$J$5)*C5</f>
        <v>0</v>
      </c>
      <c r="L5" s="68">
        <f t="shared" ref="L5:L8" si="0">SUM(D5:K5)</f>
        <v>1095306.5703475799</v>
      </c>
    </row>
    <row r="6" spans="1:12" ht="15.75" x14ac:dyDescent="0.25">
      <c r="A6" s="61" t="s">
        <v>58</v>
      </c>
      <c r="B6" s="66" t="s">
        <v>71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59</v>
      </c>
      <c r="B7" s="66" t="s">
        <v>71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60</v>
      </c>
      <c r="B8" s="66" t="s">
        <v>72</v>
      </c>
      <c r="C8" s="67">
        <f>'2021 base portion-inputs'!B40*'2021 base portion-inputs'!E30</f>
        <v>28987.497944639999</v>
      </c>
      <c r="D8" s="68">
        <f>IF(B8="Dist",'2021 base portion-inputs'!$C$8,'2021 base portion-inputs'!$C$9)*C8</f>
        <v>17162.519177084265</v>
      </c>
      <c r="E8" s="68">
        <f>IF(B8="Dist",'2021 base portion-inputs'!$D$8,'2021 base portion-inputs'!$D$9)*C8</f>
        <v>1460.9518648819037</v>
      </c>
      <c r="F8" s="68">
        <f>IF(B8="Dist",'2021 base portion-inputs'!$E$8,'2021 base portion-inputs'!$E$9)*C8</f>
        <v>8162.7406201503618</v>
      </c>
      <c r="G8" s="68">
        <f>IF(B8="Dist",'2021 base portion-inputs'!$F$8,'2021 base portion-inputs'!$F$9)*C8</f>
        <v>507.55922776124311</v>
      </c>
      <c r="H8" s="68">
        <f>IF(B8="Dist",'2021 base portion-inputs'!$G$8,'2021 base portion-inputs'!$G$9)*C8</f>
        <v>1078.9090929203792</v>
      </c>
      <c r="I8" s="68">
        <f>IF(B8="Dist",'2021 base portion-inputs'!$H$8,'2021 base portion-inputs'!$H$9)*C8</f>
        <v>603.43125263381523</v>
      </c>
      <c r="J8" s="68">
        <f>IF(B8="Dist",'2021 base portion-inputs'!$I$8,'2021 base portion-inputs'!$I$9)*C8</f>
        <v>11.386709208034386</v>
      </c>
      <c r="K8" s="36">
        <f>IF(B8="Dist",'2021 base portion-inputs'!$J$4,'2021 base portion-inputs'!$J$5)*C8</f>
        <v>0</v>
      </c>
      <c r="L8" s="68">
        <f t="shared" si="0"/>
        <v>28987.497944639996</v>
      </c>
    </row>
    <row r="9" spans="1:12" ht="15.75" x14ac:dyDescent="0.25">
      <c r="A9" s="61"/>
      <c r="B9" s="6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61</v>
      </c>
      <c r="B11" s="69"/>
    </row>
    <row r="12" spans="1:12" ht="15.75" x14ac:dyDescent="0.25">
      <c r="A12" s="61" t="s">
        <v>62</v>
      </c>
      <c r="B12" s="66" t="s">
        <v>71</v>
      </c>
      <c r="C12" s="67">
        <f>'2021 base portion-inputs'!B43</f>
        <v>19793075</v>
      </c>
      <c r="D12" s="68">
        <f>IF(B12="Dist",'2021 base portion-inputs'!$C$8,'2021 base portion-inputs'!$C$9)*C12</f>
        <v>12484496.573921409</v>
      </c>
      <c r="E12" s="68">
        <f>IF(B12="Dist",'2021 base portion-inputs'!$D$8,'2021 base portion-inputs'!$D$9)*C12</f>
        <v>963382.10169435816</v>
      </c>
      <c r="F12" s="68">
        <f>IF(B12="Dist",'2021 base portion-inputs'!$E$8,'2021 base portion-inputs'!$E$9)*C12</f>
        <v>5187055.5049702404</v>
      </c>
      <c r="G12" s="68">
        <f>IF(B12="Dist",'2021 base portion-inputs'!$F$8,'2021 base portion-inputs'!$F$9)*C12</f>
        <v>322531.12146651838</v>
      </c>
      <c r="H12" s="68">
        <f>IF(B12="Dist",'2021 base portion-inputs'!$G$8,'2021 base portion-inputs'!$G$9)*C12</f>
        <v>710425.77955981425</v>
      </c>
      <c r="I12" s="68">
        <f>IF(B12="Dist",'2021 base portion-inputs'!$H$8,'2021 base portion-inputs'!$H$9)*C12</f>
        <v>0</v>
      </c>
      <c r="J12" s="68">
        <f>IF(B12="Dist",'2021 base portion-inputs'!$I$8,'2021 base portion-inputs'!$I$9)*C12</f>
        <v>125183.91838766044</v>
      </c>
      <c r="K12" s="36">
        <f>IF(B12="Dist",'2021 base portion-inputs'!$J$4,'2021 base portion-inputs'!$J$5)*C12</f>
        <v>0</v>
      </c>
      <c r="L12" s="68">
        <f t="shared" ref="L12:L19" si="1">SUM(D12:K12)</f>
        <v>19793074.999999996</v>
      </c>
    </row>
    <row r="13" spans="1:12" ht="15.75" x14ac:dyDescent="0.25">
      <c r="A13" s="64" t="s">
        <v>63</v>
      </c>
      <c r="B13" s="66" t="s">
        <v>72</v>
      </c>
      <c r="C13" s="67">
        <f>'2021 base portion-inputs'!B44*'2021 base portion-inputs'!E30</f>
        <v>3467177.6691761999</v>
      </c>
      <c r="D13" s="68">
        <f>IF(B13="Dist",'2021 base portion-inputs'!$C$8,'2021 base portion-inputs'!$C$9)*C13</f>
        <v>2052798.8773380094</v>
      </c>
      <c r="E13" s="68">
        <f>IF(B13="Dist",'2021 base portion-inputs'!$D$8,'2021 base portion-inputs'!$D$9)*C13</f>
        <v>174743.59778597197</v>
      </c>
      <c r="F13" s="68">
        <f>IF(B13="Dist",'2021 base portion-inputs'!$E$8,'2021 base portion-inputs'!$E$9)*C13</f>
        <v>976340.62972640956</v>
      </c>
      <c r="G13" s="68">
        <f>IF(B13="Dist",'2021 base portion-inputs'!$F$8,'2021 base portion-inputs'!$F$9)*C13</f>
        <v>60708.8622701739</v>
      </c>
      <c r="H13" s="68">
        <f>IF(B13="Dist",'2021 base portion-inputs'!$G$8,'2021 base portion-inputs'!$G$9)*C13</f>
        <v>129047.68535693451</v>
      </c>
      <c r="I13" s="68">
        <f>IF(B13="Dist",'2021 base portion-inputs'!$H$8,'2021 base portion-inputs'!$H$9)*C13</f>
        <v>72176.059072454358</v>
      </c>
      <c r="J13" s="68">
        <f>IF(B13="Dist",'2021 base portion-inputs'!$I$8,'2021 base portion-inputs'!$I$9)*C13</f>
        <v>1361.9576262462463</v>
      </c>
      <c r="K13" s="36">
        <f>IF(B13="Dist",'2021 base portion-inputs'!$J$4,'2021 base portion-inputs'!$J$5)*C13</f>
        <v>0</v>
      </c>
      <c r="L13" s="68">
        <f t="shared" si="1"/>
        <v>3467177.6691762004</v>
      </c>
    </row>
    <row r="14" spans="1:12" ht="15.75" x14ac:dyDescent="0.25">
      <c r="A14" s="64" t="s">
        <v>57</v>
      </c>
      <c r="B14" s="66" t="s">
        <v>72</v>
      </c>
      <c r="C14" s="67">
        <f>'2021 base portion-inputs'!B45*'2021 base portion-inputs'!E30</f>
        <v>382259.66845986003</v>
      </c>
      <c r="D14" s="68">
        <f>IF(B14="Dist",'2021 base portion-inputs'!$C$8,'2021 base portion-inputs'!$C$9)*C14</f>
        <v>226323.04806359846</v>
      </c>
      <c r="E14" s="68">
        <f>IF(B14="Dist",'2021 base portion-inputs'!$D$8,'2021 base portion-inputs'!$D$9)*C14</f>
        <v>19265.649507664206</v>
      </c>
      <c r="F14" s="68">
        <f>IF(B14="Dist",'2021 base portion-inputs'!$E$8,'2021 base portion-inputs'!$E$9)*C14</f>
        <v>107642.49226137412</v>
      </c>
      <c r="G14" s="68">
        <f>IF(B14="Dist",'2021 base portion-inputs'!$F$8,'2021 base portion-inputs'!$F$9)*C14</f>
        <v>6693.2103798089611</v>
      </c>
      <c r="H14" s="68">
        <f>IF(B14="Dist",'2021 base portion-inputs'!$G$8,'2021 base portion-inputs'!$G$9)*C14</f>
        <v>14227.631268683974</v>
      </c>
      <c r="I14" s="68">
        <f>IF(B14="Dist",'2021 base portion-inputs'!$H$8,'2021 base portion-inputs'!$H$9)*C14</f>
        <v>7957.479842194256</v>
      </c>
      <c r="J14" s="68">
        <f>IF(B14="Dist",'2021 base portion-inputs'!$I$8,'2021 base portion-inputs'!$I$9)*C14</f>
        <v>150.15713653605974</v>
      </c>
      <c r="K14" s="36">
        <f>IF(B14="Dist",'2021 base portion-inputs'!$J$4,'2021 base portion-inputs'!$J$5)*C14</f>
        <v>0</v>
      </c>
      <c r="L14" s="68">
        <f t="shared" si="1"/>
        <v>382259.66845986008</v>
      </c>
    </row>
    <row r="15" spans="1:12" ht="15.75" x14ac:dyDescent="0.25">
      <c r="A15" s="61" t="s">
        <v>58</v>
      </c>
      <c r="B15" s="66" t="s">
        <v>71</v>
      </c>
      <c r="C15" s="67">
        <f>'2021 base portion-inputs'!B46</f>
        <v>250000</v>
      </c>
      <c r="D15" s="68">
        <f>IF(B15="Dist",'2021 base portion-inputs'!$C$8,'2021 base portion-inputs'!$C$9)*C15</f>
        <v>157687.68336806443</v>
      </c>
      <c r="E15" s="68">
        <f>IF(B15="Dist",'2021 base portion-inputs'!$D$8,'2021 base portion-inputs'!$D$9)*C15</f>
        <v>12168.171212587713</v>
      </c>
      <c r="F15" s="68">
        <f>IF(B15="Dist",'2021 base portion-inputs'!$E$8,'2021 base portion-inputs'!$E$9)*C15</f>
        <v>65516.039131997437</v>
      </c>
      <c r="G15" s="68">
        <f>IF(B15="Dist",'2021 base portion-inputs'!$F$8,'2021 base portion-inputs'!$F$9)*C15</f>
        <v>4073.787441649647</v>
      </c>
      <c r="H15" s="68">
        <f>IF(B15="Dist",'2021 base portion-inputs'!$G$8,'2021 base portion-inputs'!$G$9)*C15</f>
        <v>8973.1608095232077</v>
      </c>
      <c r="I15" s="68">
        <f>IF(B15="Dist",'2021 base portion-inputs'!$H$8,'2021 base portion-inputs'!$H$9)*C15</f>
        <v>0</v>
      </c>
      <c r="J15" s="68">
        <f>IF(B15="Dist",'2021 base portion-inputs'!$I$8,'2021 base portion-inputs'!$I$9)*C15</f>
        <v>1581.1580361775575</v>
      </c>
      <c r="K15" s="36">
        <f>IF(B15="Dist",'2021 base portion-inputs'!$J$4,'2021 base portion-inputs'!$J$5)*C15</f>
        <v>0</v>
      </c>
      <c r="L15" s="68">
        <f t="shared" si="1"/>
        <v>250000</v>
      </c>
    </row>
    <row r="16" spans="1:12" ht="15.75" x14ac:dyDescent="0.25">
      <c r="A16" s="64" t="s">
        <v>59</v>
      </c>
      <c r="B16" s="66" t="s">
        <v>71</v>
      </c>
      <c r="C16" s="67">
        <f>'2021 base portion-inputs'!B47</f>
        <v>465592</v>
      </c>
      <c r="D16" s="68">
        <f>IF(B16="Dist",'2021 base portion-inputs'!$C$8,'2021 base portion-inputs'!$C$9)*C16</f>
        <v>293672.49549881543</v>
      </c>
      <c r="E16" s="68">
        <f>IF(B16="Dist",'2021 base portion-inputs'!$D$8,'2021 base portion-inputs'!$D$9)*C16</f>
        <v>22661.612684844553</v>
      </c>
      <c r="F16" s="68">
        <f>IF(B16="Dist",'2021 base portion-inputs'!$E$8,'2021 base portion-inputs'!$E$9)*C16</f>
        <v>122014.9747661798</v>
      </c>
      <c r="G16" s="68">
        <f>IF(B16="Dist",'2021 base portion-inputs'!$F$8,'2021 base portion-inputs'!$F$9)*C16</f>
        <v>7586.8913701301699</v>
      </c>
      <c r="H16" s="68">
        <f>IF(B16="Dist",'2021 base portion-inputs'!$G$8,'2021 base portion-inputs'!$G$9)*C16</f>
        <v>16711.327550510119</v>
      </c>
      <c r="I16" s="68">
        <f>IF(B16="Dist",'2021 base portion-inputs'!$H$8,'2021 base portion-inputs'!$H$9)*C16</f>
        <v>0</v>
      </c>
      <c r="J16" s="68">
        <f>IF(B16="Dist",'2021 base portion-inputs'!$I$8,'2021 base portion-inputs'!$I$9)*C16</f>
        <v>2944.6981295199253</v>
      </c>
      <c r="K16" s="36">
        <f>IF(B16="Dist",'2021 base portion-inputs'!$J$4,'2021 base portion-inputs'!$J$5)*C16</f>
        <v>0</v>
      </c>
      <c r="L16" s="68">
        <f t="shared" si="1"/>
        <v>465592</v>
      </c>
    </row>
    <row r="17" spans="1:12" ht="15.75" x14ac:dyDescent="0.25">
      <c r="A17" s="64" t="s">
        <v>64</v>
      </c>
      <c r="B17" s="66" t="s">
        <v>71</v>
      </c>
      <c r="C17" s="67">
        <f>'2021 base portion-inputs'!B48</f>
        <v>593036</v>
      </c>
      <c r="D17" s="68">
        <f>IF(B17="Dist",'2021 base portion-inputs'!$C$8,'2021 base portion-inputs'!$C$9)*C17</f>
        <v>374057.89197545382</v>
      </c>
      <c r="E17" s="68">
        <f>IF(B17="Dist",'2021 base portion-inputs'!$D$8,'2021 base portion-inputs'!$D$9)*C17</f>
        <v>28864.654332912669</v>
      </c>
      <c r="F17" s="68">
        <f>IF(B17="Dist",'2021 base portion-inputs'!$E$8,'2021 base portion-inputs'!$E$9)*C17</f>
        <v>155413.47913073294</v>
      </c>
      <c r="G17" s="68">
        <f>IF(B17="Dist",'2021 base portion-inputs'!$F$8,'2021 base portion-inputs'!$F$9)*C17</f>
        <v>9663.6104369845598</v>
      </c>
      <c r="H17" s="68">
        <f>IF(B17="Dist",'2021 base portion-inputs'!$G$8,'2021 base portion-inputs'!$G$9)*C17</f>
        <v>21285.629575345622</v>
      </c>
      <c r="I17" s="68">
        <f>IF(B17="Dist",'2021 base portion-inputs'!$H$8,'2021 base portion-inputs'!$H$9)*C17</f>
        <v>0</v>
      </c>
      <c r="J17" s="68">
        <f>IF(B17="Dist",'2021 base portion-inputs'!$I$8,'2021 base portion-inputs'!$I$9)*C17</f>
        <v>3750.7345485703759</v>
      </c>
      <c r="K17" s="36">
        <f>IF(B17="Dist",'2021 base portion-inputs'!$J$4,'2021 base portion-inputs'!$J$5)*C17</f>
        <v>0</v>
      </c>
      <c r="L17" s="68">
        <f t="shared" si="1"/>
        <v>593036</v>
      </c>
    </row>
    <row r="18" spans="1:12" ht="15.75" x14ac:dyDescent="0.25">
      <c r="A18" s="64" t="s">
        <v>65</v>
      </c>
      <c r="B18" s="66" t="s">
        <v>72</v>
      </c>
      <c r="C18" s="67">
        <f>'2021 base portion-inputs'!B49*'2021 base portion-inputs'!E30</f>
        <v>538266.5090046</v>
      </c>
      <c r="D18" s="68">
        <f>IF(B18="Dist",'2021 base portion-inputs'!$C$8,'2021 base portion-inputs'!$C$9)*C18</f>
        <v>318689.43296921637</v>
      </c>
      <c r="E18" s="68">
        <f>IF(B18="Dist",'2021 base portion-inputs'!$D$8,'2021 base portion-inputs'!$D$9)*C18</f>
        <v>27128.297227845083</v>
      </c>
      <c r="F18" s="68">
        <f>IF(B18="Dist",'2021 base portion-inputs'!$E$8,'2021 base portion-inputs'!$E$9)*C18</f>
        <v>151573.27155001357</v>
      </c>
      <c r="G18" s="68">
        <f>IF(B18="Dist",'2021 base portion-inputs'!$F$8,'2021 base portion-inputs'!$F$9)*C18</f>
        <v>9424.8263220880035</v>
      </c>
      <c r="H18" s="68">
        <f>IF(B18="Dist",'2021 base portion-inputs'!$G$8,'2021 base portion-inputs'!$G$9)*C18</f>
        <v>20034.175839828058</v>
      </c>
      <c r="I18" s="68">
        <f>IF(B18="Dist",'2021 base portion-inputs'!$H$8,'2021 base portion-inputs'!$H$9)*C18</f>
        <v>11205.06621164024</v>
      </c>
      <c r="J18" s="68">
        <f>IF(B18="Dist",'2021 base portion-inputs'!$I$8,'2021 base portion-inputs'!$I$9)*C18</f>
        <v>211.438883968684</v>
      </c>
      <c r="K18" s="36">
        <f>IF(B18="Dist",'2021 base portion-inputs'!$J$4,'2021 base portion-inputs'!$J$5)*C18</f>
        <v>0</v>
      </c>
      <c r="L18" s="68">
        <f t="shared" si="1"/>
        <v>538266.5090046</v>
      </c>
    </row>
    <row r="19" spans="1:12" ht="15.75" x14ac:dyDescent="0.25">
      <c r="A19" s="64" t="s">
        <v>66</v>
      </c>
      <c r="B19" s="66" t="s">
        <v>71</v>
      </c>
      <c r="C19" s="67">
        <f>'2021 base portion-inputs'!B50</f>
        <v>1134769</v>
      </c>
      <c r="D19" s="68">
        <f>IF(B19="Dist",'2021 base portion-inputs'!$C$8,'2021 base portion-inputs'!$C$9)*C19</f>
        <v>715756.37907158048</v>
      </c>
      <c r="E19" s="68">
        <f>IF(B19="Dist",'2021 base portion-inputs'!$D$8,'2021 base portion-inputs'!$D$9)*C19</f>
        <v>55232.253914947789</v>
      </c>
      <c r="F19" s="68">
        <f>IF(B19="Dist",'2021 base portion-inputs'!$E$8,'2021 base portion-inputs'!$E$9)*C19</f>
        <v>297382.28083911043</v>
      </c>
      <c r="G19" s="68">
        <f>IF(B19="Dist",'2021 base portion-inputs'!$F$8,'2021 base portion-inputs'!$F$9)*C19</f>
        <v>18491.230805493313</v>
      </c>
      <c r="H19" s="68">
        <f>IF(B19="Dist",'2021 base portion-inputs'!$G$8,'2021 base portion-inputs'!$G$9)*C19</f>
        <v>40729.858874647362</v>
      </c>
      <c r="I19" s="68">
        <f>IF(B19="Dist",'2021 base portion-inputs'!$H$8,'2021 base portion-inputs'!$H$9)*C19</f>
        <v>0</v>
      </c>
      <c r="J19" s="68">
        <f>IF(B19="Dist",'2021 base portion-inputs'!$I$8,'2021 base portion-inputs'!$I$9)*C19</f>
        <v>7176.9964942206834</v>
      </c>
      <c r="K19" s="36">
        <f>IF(B19="Dist",'2021 base portion-inputs'!$J$4,'2021 base portion-inputs'!$J$5)*C19</f>
        <v>0</v>
      </c>
      <c r="L19" s="68">
        <f t="shared" si="1"/>
        <v>1134769</v>
      </c>
    </row>
    <row r="20" spans="1:12" ht="15.75" x14ac:dyDescent="0.25">
      <c r="A20" s="64"/>
      <c r="B20" s="6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15.75" x14ac:dyDescent="0.25">
      <c r="A21" s="64"/>
      <c r="B21" s="6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3" spans="1:12" x14ac:dyDescent="0.25">
      <c r="A23" s="122" t="s">
        <v>53</v>
      </c>
      <c r="B23" s="122"/>
      <c r="C23" s="68">
        <f>SUM(C4:C10)+SUM(C12:C21)</f>
        <v>32950971.914932877</v>
      </c>
      <c r="D23" s="68">
        <f t="shared" ref="D23:K23" si="2">SUM(D4:D10)+SUM(D12:D21)</f>
        <v>20570620.906426657</v>
      </c>
      <c r="E23" s="68">
        <f t="shared" si="2"/>
        <v>1613329.8003208844</v>
      </c>
      <c r="F23" s="68">
        <f t="shared" si="2"/>
        <v>8742923.7970063575</v>
      </c>
      <c r="G23" s="68">
        <f t="shared" si="2"/>
        <v>543635.01883540186</v>
      </c>
      <c r="H23" s="68">
        <f t="shared" si="2"/>
        <v>1190012.8058431393</v>
      </c>
      <c r="I23" s="68">
        <f t="shared" si="2"/>
        <v>114742.97687489608</v>
      </c>
      <c r="J23" s="68">
        <f t="shared" si="2"/>
        <v>175706.60962554323</v>
      </c>
      <c r="K23" s="68">
        <f t="shared" si="2"/>
        <v>0</v>
      </c>
      <c r="L23" s="68">
        <f t="shared" ref="L23" si="3">SUM(D23:K23)</f>
        <v>32950971.914932884</v>
      </c>
    </row>
    <row r="25" spans="1:12" x14ac:dyDescent="0.25">
      <c r="A25" s="122" t="s">
        <v>73</v>
      </c>
      <c r="B25" s="122"/>
      <c r="C25" s="36">
        <v>1.0007200000000001</v>
      </c>
      <c r="D25" s="36">
        <v>1.0007200000000001</v>
      </c>
      <c r="E25" s="36">
        <v>1.0007200000000001</v>
      </c>
      <c r="F25" s="36">
        <v>1.0007200000000001</v>
      </c>
      <c r="G25" s="36">
        <v>1.0007200000000001</v>
      </c>
      <c r="H25" s="36">
        <v>1.0007200000000001</v>
      </c>
      <c r="I25" s="36">
        <v>1.0007200000000001</v>
      </c>
      <c r="J25" s="36">
        <v>1.0007200000000001</v>
      </c>
      <c r="K25" s="36">
        <v>1.0007200000000001</v>
      </c>
    </row>
    <row r="27" spans="1:12" x14ac:dyDescent="0.25">
      <c r="A27" s="122" t="s">
        <v>74</v>
      </c>
      <c r="B27" s="122"/>
      <c r="C27" s="68">
        <f>C23*C25</f>
        <v>32974696.614711631</v>
      </c>
      <c r="D27" s="68">
        <f t="shared" ref="D27:K27" si="4">D23*D25</f>
        <v>20585431.753479287</v>
      </c>
      <c r="E27" s="68">
        <f t="shared" si="4"/>
        <v>1614491.3977771155</v>
      </c>
      <c r="F27" s="68">
        <f t="shared" si="4"/>
        <v>8749218.7021402027</v>
      </c>
      <c r="G27" s="68">
        <f t="shared" si="4"/>
        <v>544026.43604896334</v>
      </c>
      <c r="H27" s="68">
        <f t="shared" si="4"/>
        <v>1190869.6150633465</v>
      </c>
      <c r="I27" s="68">
        <f t="shared" si="4"/>
        <v>114825.59181824602</v>
      </c>
      <c r="J27" s="68">
        <f t="shared" si="4"/>
        <v>175833.11838447364</v>
      </c>
      <c r="K27" s="68">
        <f t="shared" si="4"/>
        <v>0</v>
      </c>
      <c r="L27" s="68">
        <f t="shared" ref="L27" si="5">SUM(D27:K27)</f>
        <v>32974696.614711631</v>
      </c>
    </row>
    <row r="29" spans="1:12" x14ac:dyDescent="0.25">
      <c r="A29" s="123" t="s">
        <v>75</v>
      </c>
      <c r="B29" s="124"/>
      <c r="C29" s="125"/>
      <c r="D29" s="70">
        <f>'2021 base portion-inputs'!C25</f>
        <v>9728164.6219999995</v>
      </c>
      <c r="E29" s="70">
        <f>'2021 base portion-inputs'!D25</f>
        <v>953392.38500000001</v>
      </c>
      <c r="F29" s="70">
        <f>'2021 base portion-inputs'!E25</f>
        <v>15876487.529999999</v>
      </c>
      <c r="G29" s="70">
        <f>'2021 base portion-inputs'!F25</f>
        <v>415088.27899999998</v>
      </c>
      <c r="H29" s="70">
        <f>'2021 base portion-inputs'!G25</f>
        <v>2439151.87</v>
      </c>
      <c r="I29" s="70">
        <f>'2021 base portion-inputs'!H25</f>
        <v>2627756.0699999998</v>
      </c>
      <c r="J29" s="70">
        <f>'2021 base portion-inputs'!I25</f>
        <v>110703.23299999999</v>
      </c>
      <c r="K29" s="70">
        <f>'2021 base portion-inputs'!J25</f>
        <v>0</v>
      </c>
    </row>
    <row r="31" spans="1:12" x14ac:dyDescent="0.25">
      <c r="C31" s="45" t="s">
        <v>76</v>
      </c>
      <c r="D31" s="71" t="str">
        <f>D2</f>
        <v>RS (Tier 1, Tier 2, RSVP)</v>
      </c>
      <c r="E31" s="71" t="str">
        <f t="shared" ref="E31:K31" si="6">E2</f>
        <v>GS &amp; CS</v>
      </c>
      <c r="F31" s="71" t="str">
        <f t="shared" si="6"/>
        <v>GSD, SBD</v>
      </c>
      <c r="G31" s="71" t="str">
        <f t="shared" si="6"/>
        <v>GSD Optional</v>
      </c>
      <c r="H31" s="71" t="str">
        <f t="shared" si="6"/>
        <v>GSLDPR, SBLDPR</v>
      </c>
      <c r="I31" s="71" t="str">
        <f t="shared" si="6"/>
        <v>GSLDSU, SBLDSU</v>
      </c>
      <c r="J31" s="71" t="str">
        <f t="shared" si="6"/>
        <v>LS1, LS2</v>
      </c>
      <c r="K31" s="71" t="str">
        <f t="shared" si="6"/>
        <v>LTG-FAC</v>
      </c>
    </row>
    <row r="32" spans="1:12" x14ac:dyDescent="0.25">
      <c r="A32" s="119" t="s">
        <v>77</v>
      </c>
      <c r="B32" s="119"/>
      <c r="C32" s="120"/>
      <c r="D32" s="111">
        <f>D27/(D29*1000)</f>
        <v>2.1160653168765101E-3</v>
      </c>
      <c r="E32" s="111">
        <f>E27/(E29*1000)</f>
        <v>1.6934175510297531E-3</v>
      </c>
      <c r="F32" s="111"/>
      <c r="G32" s="111">
        <f>G27/(G29*1000)</f>
        <v>1.3106282773379958E-3</v>
      </c>
      <c r="H32" s="111"/>
      <c r="I32" s="111"/>
      <c r="J32" s="111">
        <f t="shared" ref="J32" si="7">J27/(J29*1000)</f>
        <v>1.5883286659249928E-3</v>
      </c>
      <c r="K32" s="111">
        <v>0</v>
      </c>
      <c r="L32" s="112"/>
    </row>
    <row r="33" spans="1:12" x14ac:dyDescent="0.25">
      <c r="A33" s="119" t="s">
        <v>78</v>
      </c>
      <c r="B33" s="119"/>
      <c r="C33" s="120"/>
      <c r="D33" s="111"/>
      <c r="E33" s="111"/>
      <c r="F33" s="111">
        <f>F27/F29</f>
        <v>0.55108024905431985</v>
      </c>
      <c r="G33" s="111"/>
      <c r="H33" s="111">
        <f>H27/H29</f>
        <v>0.48823102395151247</v>
      </c>
      <c r="I33" s="111">
        <f>I27/I29</f>
        <v>4.369720353010012E-2</v>
      </c>
      <c r="J33" s="111"/>
      <c r="K33" s="113"/>
      <c r="L33" s="112"/>
    </row>
    <row r="34" spans="1:12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2" x14ac:dyDescent="0.25">
      <c r="A35" s="112"/>
      <c r="B35" s="112"/>
      <c r="C35" s="114" t="s">
        <v>79</v>
      </c>
      <c r="D35" s="86" t="str">
        <f t="shared" ref="D35:K36" si="8">D31</f>
        <v>RS (Tier 1, Tier 2, RSVP)</v>
      </c>
      <c r="E35" s="86" t="str">
        <f t="shared" si="8"/>
        <v>GS &amp; CS</v>
      </c>
      <c r="F35" s="86"/>
      <c r="G35" s="86" t="str">
        <f t="shared" si="8"/>
        <v>GSD Optional</v>
      </c>
      <c r="H35" s="86"/>
      <c r="I35" s="86"/>
      <c r="J35" s="86" t="str">
        <f t="shared" si="8"/>
        <v>LS1, LS2</v>
      </c>
      <c r="K35" s="86" t="str">
        <f t="shared" si="8"/>
        <v>LTG-FAC</v>
      </c>
      <c r="L35" s="112"/>
    </row>
    <row r="36" spans="1:12" x14ac:dyDescent="0.25">
      <c r="A36" s="112"/>
      <c r="B36" s="112"/>
      <c r="C36" s="114" t="s">
        <v>80</v>
      </c>
      <c r="D36" s="111">
        <f>D32</f>
        <v>2.1160653168765101E-3</v>
      </c>
      <c r="E36" s="111">
        <f>E32</f>
        <v>1.6934175510297531E-3</v>
      </c>
      <c r="F36" s="113"/>
      <c r="G36" s="111">
        <f>G32</f>
        <v>1.3106282773379958E-3</v>
      </c>
      <c r="H36" s="113"/>
      <c r="I36" s="113"/>
      <c r="J36" s="111">
        <f t="shared" si="8"/>
        <v>1.5883286659249928E-3</v>
      </c>
      <c r="K36" s="111">
        <f t="shared" si="8"/>
        <v>0</v>
      </c>
      <c r="L36" s="112"/>
    </row>
    <row r="37" spans="1:12" x14ac:dyDescent="0.25">
      <c r="A37" s="112"/>
      <c r="B37" s="112"/>
      <c r="C37" s="114" t="s">
        <v>81</v>
      </c>
      <c r="D37" s="113"/>
      <c r="E37" s="113"/>
      <c r="F37" s="113"/>
      <c r="G37" s="111">
        <f>G36*0.99</f>
        <v>1.2975219945646158E-3</v>
      </c>
      <c r="H37" s="113"/>
      <c r="I37" s="113"/>
      <c r="J37" s="113"/>
      <c r="K37" s="113"/>
      <c r="L37" s="112"/>
    </row>
    <row r="38" spans="1:12" x14ac:dyDescent="0.25">
      <c r="A38" s="112"/>
      <c r="B38" s="112"/>
      <c r="C38" s="114" t="s">
        <v>82</v>
      </c>
      <c r="D38" s="113"/>
      <c r="E38" s="113"/>
      <c r="F38" s="113"/>
      <c r="G38" s="111">
        <f>G36*0.98</f>
        <v>1.2844157117912359E-3</v>
      </c>
      <c r="H38" s="113"/>
      <c r="I38" s="113"/>
      <c r="J38" s="113"/>
      <c r="K38" s="113"/>
      <c r="L38" s="112"/>
    </row>
    <row r="39" spans="1:12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12" x14ac:dyDescent="0.25">
      <c r="A40" s="112"/>
      <c r="B40" s="112"/>
      <c r="C40" s="114" t="s">
        <v>83</v>
      </c>
      <c r="D40" s="86"/>
      <c r="E40" s="86"/>
      <c r="F40" s="86" t="str">
        <f>F31</f>
        <v>GSD, SBD</v>
      </c>
      <c r="G40" s="86"/>
      <c r="H40" s="86" t="str">
        <f t="shared" ref="H40:I40" si="9">H31</f>
        <v>GSLDPR, SBLDPR</v>
      </c>
      <c r="I40" s="86" t="str">
        <f t="shared" si="9"/>
        <v>GSLDSU, SBLDSU</v>
      </c>
      <c r="J40" s="86"/>
      <c r="K40" s="86"/>
      <c r="L40" s="112"/>
    </row>
    <row r="41" spans="1:12" x14ac:dyDescent="0.25">
      <c r="A41" s="112"/>
      <c r="B41" s="112"/>
      <c r="C41" s="114" t="s">
        <v>80</v>
      </c>
      <c r="D41" s="111"/>
      <c r="E41" s="111"/>
      <c r="F41" s="111">
        <f>F33</f>
        <v>0.55108024905431985</v>
      </c>
      <c r="G41" s="111"/>
      <c r="H41" s="111"/>
      <c r="I41" s="111"/>
      <c r="J41" s="111"/>
      <c r="K41" s="111"/>
      <c r="L41" s="112"/>
    </row>
    <row r="42" spans="1:12" x14ac:dyDescent="0.25">
      <c r="A42" s="112"/>
      <c r="B42" s="112"/>
      <c r="C42" s="114" t="s">
        <v>81</v>
      </c>
      <c r="D42" s="113"/>
      <c r="E42" s="113"/>
      <c r="F42" s="111">
        <f>F41*0.99</f>
        <v>0.54556944656377659</v>
      </c>
      <c r="G42" s="115"/>
      <c r="H42" s="111">
        <f>H33</f>
        <v>0.48823102395151247</v>
      </c>
      <c r="I42" s="111"/>
      <c r="J42" s="113"/>
      <c r="K42" s="113"/>
      <c r="L42" s="112"/>
    </row>
    <row r="43" spans="1:12" x14ac:dyDescent="0.25">
      <c r="A43" s="112"/>
      <c r="B43" s="112"/>
      <c r="C43" s="114" t="s">
        <v>82</v>
      </c>
      <c r="D43" s="113"/>
      <c r="E43" s="113"/>
      <c r="F43" s="111">
        <f>F41*0.98</f>
        <v>0.54005864407323345</v>
      </c>
      <c r="G43" s="115"/>
      <c r="H43" s="111"/>
      <c r="I43" s="111">
        <f>I33</f>
        <v>4.369720353010012E-2</v>
      </c>
      <c r="J43" s="113"/>
      <c r="K43" s="113"/>
      <c r="L43" s="112"/>
    </row>
    <row r="44" spans="1:12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1:12" x14ac:dyDescent="0.25">
      <c r="A45" s="112"/>
      <c r="B45" s="112"/>
      <c r="C45" s="112"/>
      <c r="D45" s="116"/>
      <c r="E45" s="112"/>
      <c r="F45" s="112"/>
      <c r="G45" s="112"/>
      <c r="H45" s="112"/>
      <c r="I45" s="112"/>
      <c r="J45" s="112"/>
      <c r="K45" s="112"/>
      <c r="L45" s="112"/>
    </row>
  </sheetData>
  <mergeCells count="7">
    <mergeCell ref="A33:C33"/>
    <mergeCell ref="D1:K1"/>
    <mergeCell ref="A23:B23"/>
    <mergeCell ref="A25:B25"/>
    <mergeCell ref="A27:B27"/>
    <mergeCell ref="A29:C29"/>
    <mergeCell ref="A32:C32"/>
  </mergeCells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R12" sqref="R12"/>
    </sheetView>
  </sheetViews>
  <sheetFormatPr defaultRowHeight="15" x14ac:dyDescent="0.25"/>
  <cols>
    <col min="1" max="1" width="42" style="33" customWidth="1"/>
    <col min="2" max="2" width="9.33203125" style="33" bestFit="1" customWidth="1"/>
    <col min="3" max="3" width="22.33203125" style="33" bestFit="1" customWidth="1"/>
    <col min="4" max="4" width="16.88671875" style="33" bestFit="1" customWidth="1"/>
    <col min="5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1.664062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x14ac:dyDescent="0.25">
      <c r="D1" s="121" t="s">
        <v>67</v>
      </c>
      <c r="E1" s="121"/>
      <c r="F1" s="121"/>
      <c r="G1" s="121"/>
      <c r="H1" s="121"/>
      <c r="I1" s="121"/>
      <c r="J1" s="121"/>
      <c r="K1" s="121"/>
    </row>
    <row r="2" spans="1:13" ht="15.75" x14ac:dyDescent="0.25">
      <c r="A2" s="65" t="s">
        <v>68</v>
      </c>
      <c r="B2" s="65" t="s">
        <v>69</v>
      </c>
      <c r="C2" s="31" t="s">
        <v>70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53</v>
      </c>
    </row>
    <row r="3" spans="1:13" ht="15.75" x14ac:dyDescent="0.25">
      <c r="A3" s="60" t="s">
        <v>55</v>
      </c>
    </row>
    <row r="4" spans="1:13" x14ac:dyDescent="0.25">
      <c r="A4" s="122" t="s">
        <v>53</v>
      </c>
      <c r="B4" s="122"/>
      <c r="C4" s="68">
        <f>'2022 incremental portion-inputs'!B22</f>
        <v>14805541</v>
      </c>
      <c r="D4" s="68">
        <f>$C$4*'2022 incremental portion-inputs'!C7</f>
        <v>11565986.925690798</v>
      </c>
      <c r="E4" s="68">
        <f>$C$4*'2022 incremental portion-inputs'!D7</f>
        <v>1415146.7274562302</v>
      </c>
      <c r="F4" s="68">
        <f>$C$4*'2022 incremental portion-inputs'!E7</f>
        <v>655728.59777641576</v>
      </c>
      <c r="G4" s="68">
        <f>$C$4*'2022 incremental portion-inputs'!F7</f>
        <v>40773.205495071765</v>
      </c>
      <c r="H4" s="68">
        <f>$C$4*'2022 incremental portion-inputs'!G7</f>
        <v>95308.32812663418</v>
      </c>
      <c r="I4" s="68">
        <f>$C$4*'2022 incremental portion-inputs'!H7</f>
        <v>53731.908789507812</v>
      </c>
      <c r="J4" s="68">
        <f>$C$4*'2022 incremental portion-inputs'!I7</f>
        <v>978865.30666534207</v>
      </c>
      <c r="K4" s="68">
        <f>$C$4*'2022 incremental portion-inputs'!J7</f>
        <v>0</v>
      </c>
      <c r="L4" s="68">
        <f t="shared" ref="L4" si="0">SUM(D4:K4)</f>
        <v>14805541</v>
      </c>
    </row>
    <row r="6" spans="1:13" x14ac:dyDescent="0.25">
      <c r="A6" s="122" t="s">
        <v>73</v>
      </c>
      <c r="B6" s="122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22" t="s">
        <v>74</v>
      </c>
      <c r="B8" s="122"/>
      <c r="C8" s="68">
        <f>C4*C6</f>
        <v>14816200.98952</v>
      </c>
      <c r="D8" s="68">
        <f t="shared" ref="D8:K8" si="1">D4*D6</f>
        <v>11574314.436277296</v>
      </c>
      <c r="E8" s="68">
        <f t="shared" si="1"/>
        <v>1416165.6330999988</v>
      </c>
      <c r="F8" s="68">
        <f t="shared" si="1"/>
        <v>656200.72236681485</v>
      </c>
      <c r="G8" s="68">
        <f t="shared" si="1"/>
        <v>40802.562203028217</v>
      </c>
      <c r="H8" s="68">
        <f t="shared" si="1"/>
        <v>95376.950122885362</v>
      </c>
      <c r="I8" s="68">
        <f t="shared" si="1"/>
        <v>53770.59576383626</v>
      </c>
      <c r="J8" s="68">
        <f t="shared" si="1"/>
        <v>979570.08968614112</v>
      </c>
      <c r="K8" s="68">
        <f t="shared" si="1"/>
        <v>0</v>
      </c>
      <c r="L8" s="68">
        <f t="shared" ref="L8" si="2">SUM(D8:K8)</f>
        <v>14816200.98952</v>
      </c>
    </row>
    <row r="10" spans="1:13" x14ac:dyDescent="0.25">
      <c r="A10" s="123" t="s">
        <v>75</v>
      </c>
      <c r="B10" s="124"/>
      <c r="C10" s="125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76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24" t="s">
        <v>77</v>
      </c>
      <c r="B13" s="124"/>
      <c r="C13" s="125"/>
      <c r="D13" s="72">
        <f>D8/(D10*1000)</f>
        <v>1.1897737020303168E-3</v>
      </c>
      <c r="E13" s="72">
        <f>E8/(E10*1000)</f>
        <v>1.4853964174467355E-3</v>
      </c>
      <c r="F13" s="72"/>
      <c r="G13" s="72">
        <f>G8/(G10*1000)</f>
        <v>9.8298516887363653E-5</v>
      </c>
      <c r="H13" s="72"/>
      <c r="I13" s="72"/>
      <c r="J13" s="72">
        <f t="shared" ref="J13" si="4">J8/(J10*1000)</f>
        <v>8.8486132079461585E-3</v>
      </c>
      <c r="K13" s="72">
        <v>0</v>
      </c>
    </row>
    <row r="14" spans="1:13" x14ac:dyDescent="0.25">
      <c r="A14" s="119" t="s">
        <v>78</v>
      </c>
      <c r="B14" s="119"/>
      <c r="C14" s="120"/>
      <c r="D14" s="111"/>
      <c r="E14" s="111"/>
      <c r="F14" s="111">
        <f>F8/F10</f>
        <v>4.1331605692182652E-2</v>
      </c>
      <c r="G14" s="111"/>
      <c r="H14" s="111">
        <f>H8/H10</f>
        <v>3.9102505791443545E-2</v>
      </c>
      <c r="I14" s="111">
        <f>I8/I10</f>
        <v>2.0462552204792837E-2</v>
      </c>
      <c r="J14" s="111"/>
      <c r="K14" s="113"/>
      <c r="L14" s="112"/>
      <c r="M14" s="112"/>
    </row>
    <row r="15" spans="1:13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</row>
    <row r="16" spans="1:13" x14ac:dyDescent="0.25">
      <c r="A16" s="112"/>
      <c r="B16" s="112"/>
      <c r="C16" s="114" t="s">
        <v>79</v>
      </c>
      <c r="D16" s="86" t="str">
        <f t="shared" ref="D16:K17" si="5">D12</f>
        <v>RS (Tier 1, Tier 2, RSVP)</v>
      </c>
      <c r="E16" s="86" t="str">
        <f t="shared" si="5"/>
        <v>GS &amp; CS</v>
      </c>
      <c r="F16" s="86"/>
      <c r="G16" s="86" t="str">
        <f t="shared" si="5"/>
        <v>GSD Optional</v>
      </c>
      <c r="H16" s="86"/>
      <c r="I16" s="86"/>
      <c r="J16" s="86" t="str">
        <f t="shared" si="5"/>
        <v>LS1, LS2</v>
      </c>
      <c r="K16" s="86" t="str">
        <f t="shared" si="5"/>
        <v>LTG-FAC</v>
      </c>
      <c r="L16" s="112"/>
      <c r="M16" s="112"/>
    </row>
    <row r="17" spans="1:13" x14ac:dyDescent="0.25">
      <c r="A17" s="112"/>
      <c r="B17" s="112"/>
      <c r="C17" s="114" t="s">
        <v>80</v>
      </c>
      <c r="D17" s="111">
        <f>D13</f>
        <v>1.1897737020303168E-3</v>
      </c>
      <c r="E17" s="111">
        <f>E13</f>
        <v>1.4853964174467355E-3</v>
      </c>
      <c r="F17" s="113"/>
      <c r="G17" s="111">
        <f>G13</f>
        <v>9.8298516887363653E-5</v>
      </c>
      <c r="H17" s="113"/>
      <c r="I17" s="113"/>
      <c r="J17" s="111">
        <f t="shared" si="5"/>
        <v>8.8486132079461585E-3</v>
      </c>
      <c r="K17" s="111">
        <f t="shared" si="5"/>
        <v>0</v>
      </c>
      <c r="L17" s="112"/>
      <c r="M17" s="112"/>
    </row>
    <row r="18" spans="1:13" x14ac:dyDescent="0.25">
      <c r="A18" s="112"/>
      <c r="B18" s="112"/>
      <c r="C18" s="114" t="s">
        <v>81</v>
      </c>
      <c r="D18" s="113"/>
      <c r="E18" s="113"/>
      <c r="F18" s="113"/>
      <c r="G18" s="111">
        <f>G17*0.99</f>
        <v>9.7315531718490011E-5</v>
      </c>
      <c r="H18" s="113"/>
      <c r="I18" s="113"/>
      <c r="J18" s="113"/>
      <c r="K18" s="113"/>
      <c r="L18" s="112"/>
      <c r="M18" s="112"/>
    </row>
    <row r="19" spans="1:13" x14ac:dyDescent="0.25">
      <c r="A19" s="112"/>
      <c r="B19" s="112"/>
      <c r="C19" s="114" t="s">
        <v>82</v>
      </c>
      <c r="D19" s="113"/>
      <c r="E19" s="113"/>
      <c r="F19" s="113"/>
      <c r="G19" s="111">
        <f>G17*0.98</f>
        <v>9.6332546549616382E-5</v>
      </c>
      <c r="H19" s="113"/>
      <c r="I19" s="113"/>
      <c r="J19" s="113"/>
      <c r="K19" s="113"/>
      <c r="L19" s="112"/>
      <c r="M19" s="112"/>
    </row>
    <row r="20" spans="1:13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  <row r="21" spans="1:13" x14ac:dyDescent="0.25">
      <c r="A21" s="112"/>
      <c r="B21" s="112"/>
      <c r="C21" s="114" t="s">
        <v>83</v>
      </c>
      <c r="D21" s="86"/>
      <c r="E21" s="86"/>
      <c r="F21" s="86" t="str">
        <f>F12</f>
        <v>GSD, SBD</v>
      </c>
      <c r="G21" s="86"/>
      <c r="H21" s="86" t="str">
        <f t="shared" ref="H21:I21" si="6">H12</f>
        <v>GSLDPR, SBLDPR</v>
      </c>
      <c r="I21" s="86" t="str">
        <f t="shared" si="6"/>
        <v>GSLDSU, SBLDSU</v>
      </c>
      <c r="J21" s="86"/>
      <c r="K21" s="86"/>
      <c r="L21" s="112"/>
      <c r="M21" s="112"/>
    </row>
    <row r="22" spans="1:13" x14ac:dyDescent="0.25">
      <c r="A22" s="112"/>
      <c r="B22" s="112"/>
      <c r="C22" s="114" t="s">
        <v>80</v>
      </c>
      <c r="D22" s="111"/>
      <c r="E22" s="111"/>
      <c r="F22" s="111">
        <f>F14</f>
        <v>4.1331605692182652E-2</v>
      </c>
      <c r="G22" s="111"/>
      <c r="H22" s="111"/>
      <c r="I22" s="111"/>
      <c r="J22" s="111"/>
      <c r="K22" s="111"/>
      <c r="L22" s="112"/>
      <c r="M22" s="112"/>
    </row>
    <row r="23" spans="1:13" x14ac:dyDescent="0.25">
      <c r="A23" s="112"/>
      <c r="B23" s="112"/>
      <c r="C23" s="114" t="s">
        <v>81</v>
      </c>
      <c r="D23" s="113"/>
      <c r="E23" s="113"/>
      <c r="F23" s="111">
        <f>F22*0.99</f>
        <v>4.0918289635260827E-2</v>
      </c>
      <c r="G23" s="115"/>
      <c r="H23" s="111">
        <f>H14</f>
        <v>3.9102505791443545E-2</v>
      </c>
      <c r="I23" s="111"/>
      <c r="J23" s="113"/>
      <c r="K23" s="113"/>
      <c r="L23" s="112"/>
      <c r="M23" s="112"/>
    </row>
    <row r="24" spans="1:13" x14ac:dyDescent="0.25">
      <c r="A24" s="112"/>
      <c r="B24" s="112"/>
      <c r="C24" s="114" t="s">
        <v>82</v>
      </c>
      <c r="D24" s="113"/>
      <c r="E24" s="113"/>
      <c r="F24" s="111">
        <f>F22*0.98</f>
        <v>4.0504973578339001E-2</v>
      </c>
      <c r="G24" s="115"/>
      <c r="H24" s="111"/>
      <c r="I24" s="111">
        <f>I14</f>
        <v>2.0462552204792837E-2</v>
      </c>
      <c r="J24" s="113"/>
      <c r="K24" s="113"/>
      <c r="L24" s="112"/>
      <c r="M24" s="112"/>
    </row>
    <row r="25" spans="1:13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</row>
    <row r="26" spans="1:13" x14ac:dyDescent="0.25">
      <c r="D26" s="73"/>
    </row>
  </sheetData>
  <mergeCells count="7">
    <mergeCell ref="A14:C14"/>
    <mergeCell ref="D1:K1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J35"/>
  <sheetViews>
    <sheetView view="pageBreakPreview" zoomScale="60" zoomScaleNormal="100" workbookViewId="0">
      <selection activeCell="B27" sqref="B27:I35"/>
    </sheetView>
  </sheetViews>
  <sheetFormatPr defaultRowHeight="15" x14ac:dyDescent="0.25"/>
  <cols>
    <col min="1" max="1" width="27.109375" style="33" customWidth="1"/>
    <col min="2" max="9" width="16.77734375" style="33" customWidth="1"/>
    <col min="10" max="10" width="11.6640625" style="33" customWidth="1"/>
    <col min="11" max="11" width="10.44140625" style="33" customWidth="1"/>
    <col min="12" max="12" width="8.88671875" style="33"/>
    <col min="13" max="13" width="8.109375" style="33" customWidth="1"/>
    <col min="14" max="14" width="8.6640625" style="33" customWidth="1"/>
    <col min="15" max="15" width="8.21875" style="33" customWidth="1"/>
    <col min="16" max="16" width="8.88671875" style="33"/>
    <col min="17" max="17" width="7.77734375" style="33" customWidth="1"/>
    <col min="18" max="18" width="8.6640625" style="33" customWidth="1"/>
    <col min="19" max="16384" width="8.88671875" style="33"/>
  </cols>
  <sheetData>
    <row r="1" spans="1:10" x14ac:dyDescent="0.25">
      <c r="B1" s="121" t="s">
        <v>94</v>
      </c>
      <c r="C1" s="121"/>
      <c r="D1" s="121"/>
      <c r="E1" s="121"/>
      <c r="F1" s="121"/>
      <c r="G1" s="121"/>
      <c r="H1" s="121"/>
      <c r="I1" s="121"/>
    </row>
    <row r="2" spans="1:10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  <c r="J2" s="34" t="s">
        <v>53</v>
      </c>
    </row>
    <row r="4" spans="1:10" x14ac:dyDescent="0.25">
      <c r="A4" s="85" t="s">
        <v>95</v>
      </c>
    </row>
    <row r="5" spans="1:10" x14ac:dyDescent="0.25">
      <c r="A5" s="45" t="s">
        <v>79</v>
      </c>
      <c r="B5" s="86" t="s">
        <v>30</v>
      </c>
      <c r="C5" s="86" t="s">
        <v>31</v>
      </c>
      <c r="D5" s="86"/>
      <c r="E5" s="86" t="s">
        <v>33</v>
      </c>
      <c r="F5" s="86"/>
      <c r="G5" s="86"/>
      <c r="H5" s="86" t="s">
        <v>36</v>
      </c>
      <c r="I5" s="86" t="s">
        <v>37</v>
      </c>
    </row>
    <row r="6" spans="1:10" x14ac:dyDescent="0.25">
      <c r="A6" s="45" t="s">
        <v>80</v>
      </c>
      <c r="B6" s="87">
        <f>'P-1sa'!D36</f>
        <v>2.1160653168765101E-3</v>
      </c>
      <c r="C6" s="87">
        <f>'P-1sa'!E36</f>
        <v>1.6934175510297531E-3</v>
      </c>
      <c r="D6" s="87"/>
      <c r="E6" s="87">
        <f>'P-1sa'!G36</f>
        <v>1.3106282773379958E-3</v>
      </c>
      <c r="F6" s="87"/>
      <c r="G6" s="87"/>
      <c r="H6" s="87">
        <f>'P-1sa'!J36</f>
        <v>1.5883286659249928E-3</v>
      </c>
      <c r="I6" s="87">
        <f>'P-1sa'!K36</f>
        <v>0</v>
      </c>
    </row>
    <row r="7" spans="1:10" x14ac:dyDescent="0.25">
      <c r="A7" s="45" t="s">
        <v>81</v>
      </c>
      <c r="B7" s="87"/>
      <c r="C7" s="87"/>
      <c r="D7" s="87"/>
      <c r="E7" s="87">
        <f>'P-1sa'!G37</f>
        <v>1.2975219945646158E-3</v>
      </c>
      <c r="F7" s="87"/>
      <c r="G7" s="87"/>
      <c r="H7" s="87"/>
      <c r="I7" s="87"/>
    </row>
    <row r="8" spans="1:10" x14ac:dyDescent="0.25">
      <c r="A8" s="45" t="s">
        <v>82</v>
      </c>
      <c r="B8" s="87"/>
      <c r="C8" s="87"/>
      <c r="D8" s="87"/>
      <c r="E8" s="87">
        <f>'P-1sa'!G38</f>
        <v>1.2844157117912359E-3</v>
      </c>
      <c r="F8" s="87"/>
      <c r="G8" s="87"/>
      <c r="H8" s="87"/>
      <c r="I8" s="87"/>
    </row>
    <row r="9" spans="1:10" x14ac:dyDescent="0.25">
      <c r="B9" s="88"/>
      <c r="C9" s="88"/>
      <c r="D9" s="88"/>
      <c r="E9" s="88"/>
      <c r="F9" s="88"/>
      <c r="G9" s="88"/>
      <c r="H9" s="88"/>
      <c r="I9" s="88"/>
    </row>
    <row r="10" spans="1:10" x14ac:dyDescent="0.25">
      <c r="A10" s="45" t="s">
        <v>83</v>
      </c>
      <c r="B10" s="87"/>
      <c r="C10" s="87"/>
      <c r="D10" s="87" t="s">
        <v>32</v>
      </c>
      <c r="E10" s="87"/>
      <c r="F10" s="87" t="s">
        <v>34</v>
      </c>
      <c r="G10" s="87" t="s">
        <v>35</v>
      </c>
      <c r="H10" s="87"/>
      <c r="I10" s="87"/>
    </row>
    <row r="11" spans="1:10" x14ac:dyDescent="0.25">
      <c r="A11" s="45" t="s">
        <v>80</v>
      </c>
      <c r="B11" s="89"/>
      <c r="C11" s="89"/>
      <c r="D11" s="87">
        <f>'P-1sa'!F41</f>
        <v>0.55108024905431985</v>
      </c>
      <c r="E11" s="89"/>
      <c r="F11" s="89"/>
      <c r="G11" s="89"/>
      <c r="H11" s="89"/>
      <c r="I11" s="89"/>
    </row>
    <row r="12" spans="1:10" x14ac:dyDescent="0.25">
      <c r="A12" s="45" t="s">
        <v>81</v>
      </c>
      <c r="B12" s="89"/>
      <c r="C12" s="89"/>
      <c r="D12" s="87">
        <f>'P-1sa'!F42</f>
        <v>0.54556944656377659</v>
      </c>
      <c r="E12" s="89"/>
      <c r="F12" s="87">
        <f>'P-1sa'!H42</f>
        <v>0.48823102395151247</v>
      </c>
      <c r="G12" s="89"/>
      <c r="H12" s="89"/>
      <c r="I12" s="89"/>
    </row>
    <row r="13" spans="1:10" x14ac:dyDescent="0.25">
      <c r="A13" s="45" t="s">
        <v>82</v>
      </c>
      <c r="B13" s="89"/>
      <c r="C13" s="89"/>
      <c r="D13" s="87">
        <f>'P-1sa'!F43</f>
        <v>0.54005864407323345</v>
      </c>
      <c r="E13" s="89"/>
      <c r="F13" s="89"/>
      <c r="G13" s="87">
        <f>'P-1sa'!I43</f>
        <v>4.369720353010012E-2</v>
      </c>
      <c r="H13" s="89"/>
      <c r="I13" s="89"/>
    </row>
    <row r="15" spans="1:10" x14ac:dyDescent="0.25">
      <c r="A15" s="85" t="s">
        <v>89</v>
      </c>
    </row>
    <row r="16" spans="1:10" x14ac:dyDescent="0.25">
      <c r="A16" s="45" t="s">
        <v>79</v>
      </c>
      <c r="B16" s="86" t="s">
        <v>30</v>
      </c>
      <c r="C16" s="86" t="s">
        <v>31</v>
      </c>
      <c r="D16" s="86"/>
      <c r="E16" s="86" t="s">
        <v>33</v>
      </c>
      <c r="F16" s="86"/>
      <c r="G16" s="86"/>
      <c r="H16" s="86" t="s">
        <v>36</v>
      </c>
      <c r="I16" s="86" t="s">
        <v>37</v>
      </c>
    </row>
    <row r="17" spans="1:9" x14ac:dyDescent="0.25">
      <c r="A17" s="45" t="s">
        <v>80</v>
      </c>
      <c r="B17" s="87">
        <f>'P-1sb'!D17</f>
        <v>1.1897737020303168E-3</v>
      </c>
      <c r="C17" s="87">
        <f>'P-1sb'!E17</f>
        <v>1.4853964174467355E-3</v>
      </c>
      <c r="D17" s="87"/>
      <c r="E17" s="87">
        <f>'P-1sb'!G17</f>
        <v>9.8298516887363653E-5</v>
      </c>
      <c r="F17" s="87"/>
      <c r="G17" s="87"/>
      <c r="H17" s="87">
        <f>'P-1sb'!J17</f>
        <v>8.8486132079461585E-3</v>
      </c>
      <c r="I17" s="87">
        <f>'P-1sb'!K17</f>
        <v>0</v>
      </c>
    </row>
    <row r="18" spans="1:9" x14ac:dyDescent="0.25">
      <c r="A18" s="45" t="s">
        <v>81</v>
      </c>
      <c r="B18" s="87"/>
      <c r="C18" s="87"/>
      <c r="D18" s="87"/>
      <c r="E18" s="87">
        <f>'P-1sb'!G18</f>
        <v>9.7315531718490011E-5</v>
      </c>
      <c r="F18" s="87"/>
      <c r="G18" s="87"/>
      <c r="H18" s="87"/>
      <c r="I18" s="87"/>
    </row>
    <row r="19" spans="1:9" x14ac:dyDescent="0.25">
      <c r="A19" s="45" t="s">
        <v>82</v>
      </c>
      <c r="B19" s="87"/>
      <c r="C19" s="87"/>
      <c r="D19" s="87"/>
      <c r="E19" s="87">
        <f>'P-1sb'!G19</f>
        <v>9.6332546549616382E-5</v>
      </c>
      <c r="F19" s="87"/>
      <c r="G19" s="87"/>
      <c r="H19" s="87"/>
      <c r="I19" s="87"/>
    </row>
    <row r="20" spans="1:9" x14ac:dyDescent="0.25">
      <c r="B20" s="88"/>
      <c r="C20" s="88"/>
      <c r="D20" s="88"/>
      <c r="E20" s="88"/>
      <c r="F20" s="88"/>
      <c r="G20" s="88"/>
      <c r="H20" s="88"/>
      <c r="I20" s="88"/>
    </row>
    <row r="21" spans="1:9" x14ac:dyDescent="0.25">
      <c r="A21" s="45" t="s">
        <v>83</v>
      </c>
      <c r="B21" s="87"/>
      <c r="C21" s="87"/>
      <c r="D21" s="87" t="s">
        <v>32</v>
      </c>
      <c r="E21" s="87"/>
      <c r="F21" s="87" t="s">
        <v>34</v>
      </c>
      <c r="G21" s="87" t="s">
        <v>35</v>
      </c>
      <c r="H21" s="87"/>
      <c r="I21" s="87"/>
    </row>
    <row r="22" spans="1:9" x14ac:dyDescent="0.25">
      <c r="A22" s="45" t="s">
        <v>80</v>
      </c>
      <c r="B22" s="89"/>
      <c r="C22" s="89"/>
      <c r="D22" s="87">
        <f>'P-1sb'!F22</f>
        <v>4.1331605692182652E-2</v>
      </c>
      <c r="E22" s="89"/>
      <c r="F22" s="89"/>
      <c r="G22" s="89"/>
      <c r="H22" s="89"/>
      <c r="I22" s="89"/>
    </row>
    <row r="23" spans="1:9" x14ac:dyDescent="0.25">
      <c r="A23" s="45" t="s">
        <v>81</v>
      </c>
      <c r="B23" s="89"/>
      <c r="C23" s="89"/>
      <c r="D23" s="87">
        <f>'P-1sb'!F23</f>
        <v>4.0918289635260827E-2</v>
      </c>
      <c r="E23" s="89"/>
      <c r="F23" s="87">
        <f>'P-1sb'!H23</f>
        <v>3.9102505791443545E-2</v>
      </c>
      <c r="G23" s="89"/>
      <c r="H23" s="89"/>
      <c r="I23" s="89"/>
    </row>
    <row r="24" spans="1:9" x14ac:dyDescent="0.25">
      <c r="A24" s="45" t="s">
        <v>82</v>
      </c>
      <c r="B24" s="89"/>
      <c r="C24" s="89"/>
      <c r="D24" s="87">
        <f>'P-1sb'!F24</f>
        <v>4.0504973578339001E-2</v>
      </c>
      <c r="E24" s="89"/>
      <c r="F24" s="89"/>
      <c r="G24" s="87">
        <f>'P-1sb'!I24</f>
        <v>2.0462552204792837E-2</v>
      </c>
      <c r="H24" s="89"/>
      <c r="I24" s="89"/>
    </row>
    <row r="26" spans="1:9" x14ac:dyDescent="0.25">
      <c r="A26" s="85" t="s">
        <v>97</v>
      </c>
    </row>
    <row r="27" spans="1:9" x14ac:dyDescent="0.25">
      <c r="A27" s="45" t="s">
        <v>79</v>
      </c>
      <c r="B27" s="86" t="s">
        <v>30</v>
      </c>
      <c r="C27" s="86" t="s">
        <v>31</v>
      </c>
      <c r="D27" s="86"/>
      <c r="E27" s="86" t="s">
        <v>33</v>
      </c>
      <c r="F27" s="86"/>
      <c r="G27" s="86"/>
      <c r="H27" s="86" t="s">
        <v>36</v>
      </c>
      <c r="I27" s="86" t="s">
        <v>37</v>
      </c>
    </row>
    <row r="28" spans="1:9" x14ac:dyDescent="0.25">
      <c r="A28" s="45" t="s">
        <v>80</v>
      </c>
      <c r="B28" s="87">
        <f>B6+B17</f>
        <v>3.3058390189068271E-3</v>
      </c>
      <c r="C28" s="87">
        <f t="shared" ref="C28:I28" si="0">C6+C17</f>
        <v>3.1788139684764886E-3</v>
      </c>
      <c r="D28" s="87"/>
      <c r="E28" s="87">
        <f t="shared" si="0"/>
        <v>1.4089267942253593E-3</v>
      </c>
      <c r="F28" s="87"/>
      <c r="G28" s="87"/>
      <c r="H28" s="87">
        <f t="shared" si="0"/>
        <v>1.0436941873871151E-2</v>
      </c>
      <c r="I28" s="87">
        <f t="shared" si="0"/>
        <v>0</v>
      </c>
    </row>
    <row r="29" spans="1:9" x14ac:dyDescent="0.25">
      <c r="A29" s="45" t="s">
        <v>81</v>
      </c>
      <c r="B29" s="87"/>
      <c r="C29" s="87"/>
      <c r="D29" s="87"/>
      <c r="E29" s="87">
        <f t="shared" ref="E29" si="1">E7+E18</f>
        <v>1.3948375262831058E-3</v>
      </c>
      <c r="F29" s="87"/>
      <c r="G29" s="87"/>
      <c r="H29" s="87"/>
      <c r="I29" s="87"/>
    </row>
    <row r="30" spans="1:9" x14ac:dyDescent="0.25">
      <c r="A30" s="45" t="s">
        <v>82</v>
      </c>
      <c r="B30" s="87"/>
      <c r="C30" s="87"/>
      <c r="D30" s="87"/>
      <c r="E30" s="87">
        <f t="shared" ref="E30" si="2">E8+E19</f>
        <v>1.3807482583408522E-3</v>
      </c>
      <c r="F30" s="87"/>
      <c r="G30" s="87"/>
      <c r="H30" s="87"/>
      <c r="I30" s="87"/>
    </row>
    <row r="31" spans="1:9" x14ac:dyDescent="0.25">
      <c r="B31" s="88"/>
      <c r="C31" s="88"/>
      <c r="D31" s="88"/>
      <c r="E31" s="88"/>
      <c r="F31" s="88"/>
      <c r="G31" s="88"/>
      <c r="H31" s="88"/>
      <c r="I31" s="88"/>
    </row>
    <row r="32" spans="1:9" x14ac:dyDescent="0.25">
      <c r="A32" s="45" t="s">
        <v>83</v>
      </c>
      <c r="B32" s="87"/>
      <c r="C32" s="87"/>
      <c r="D32" s="87" t="s">
        <v>32</v>
      </c>
      <c r="E32" s="87"/>
      <c r="F32" s="87" t="s">
        <v>34</v>
      </c>
      <c r="G32" s="87" t="s">
        <v>35</v>
      </c>
      <c r="H32" s="87"/>
      <c r="I32" s="87"/>
    </row>
    <row r="33" spans="1:9" x14ac:dyDescent="0.25">
      <c r="A33" s="45" t="s">
        <v>80</v>
      </c>
      <c r="B33" s="89"/>
      <c r="C33" s="89"/>
      <c r="D33" s="87">
        <f t="shared" ref="D33" si="3">D11+D22</f>
        <v>0.59241185474650249</v>
      </c>
      <c r="E33" s="89"/>
      <c r="F33" s="89"/>
      <c r="G33" s="89"/>
      <c r="H33" s="89"/>
      <c r="I33" s="89"/>
    </row>
    <row r="34" spans="1:9" x14ac:dyDescent="0.25">
      <c r="A34" s="45" t="s">
        <v>81</v>
      </c>
      <c r="B34" s="89"/>
      <c r="C34" s="89"/>
      <c r="D34" s="87">
        <f t="shared" ref="D34" si="4">D12+D23</f>
        <v>0.58648773619903738</v>
      </c>
      <c r="E34" s="89"/>
      <c r="F34" s="87">
        <f t="shared" ref="F34" si="5">F12+F23</f>
        <v>0.527333529742956</v>
      </c>
      <c r="G34" s="89"/>
      <c r="H34" s="89"/>
      <c r="I34" s="89"/>
    </row>
    <row r="35" spans="1:9" x14ac:dyDescent="0.25">
      <c r="A35" s="45" t="s">
        <v>82</v>
      </c>
      <c r="B35" s="89"/>
      <c r="C35" s="89"/>
      <c r="D35" s="87">
        <f t="shared" ref="D35" si="6">D13+D24</f>
        <v>0.58056361765157249</v>
      </c>
      <c r="E35" s="89"/>
      <c r="F35" s="89"/>
      <c r="G35" s="87">
        <f t="shared" ref="G35" si="7">G13+G24</f>
        <v>6.4159755734892965E-2</v>
      </c>
      <c r="H35" s="89"/>
      <c r="I35" s="89"/>
    </row>
  </sheetData>
  <mergeCells count="1">
    <mergeCell ref="B1:I1"/>
  </mergeCells>
  <pageMargins left="0.7" right="0.7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tabSelected="1" defaultGridColor="0" view="pageBreakPreview" topLeftCell="A28" colorId="22" zoomScaleNormal="80" zoomScaleSheetLayoutView="100" workbookViewId="0">
      <selection activeCell="E42" sqref="E42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4.2187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" t="s">
        <v>21</v>
      </c>
    </row>
    <row r="2" spans="1:17" x14ac:dyDescent="0.2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3" t="s">
        <v>2</v>
      </c>
    </row>
    <row r="3" spans="1:17" x14ac:dyDescent="0.2">
      <c r="A3" s="129" t="s">
        <v>12</v>
      </c>
      <c r="B3" s="129"/>
      <c r="C3" s="129"/>
      <c r="D3" s="129"/>
      <c r="E3" s="129"/>
      <c r="F3" s="129"/>
      <c r="G3" s="129"/>
      <c r="H3" s="129"/>
      <c r="I3" s="129"/>
    </row>
    <row r="4" spans="1:17" x14ac:dyDescent="0.2">
      <c r="A4" s="129" t="s">
        <v>14</v>
      </c>
      <c r="B4" s="129"/>
      <c r="C4" s="129"/>
      <c r="D4" s="129"/>
      <c r="E4" s="129"/>
      <c r="F4" s="129"/>
      <c r="G4" s="129"/>
      <c r="H4" s="129"/>
      <c r="I4" s="129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30" t="s">
        <v>13</v>
      </c>
      <c r="B6" s="130"/>
      <c r="C6" s="130"/>
      <c r="D6" s="130"/>
      <c r="E6" s="130"/>
      <c r="F6" s="130"/>
      <c r="G6" s="130"/>
      <c r="H6" s="130"/>
      <c r="I6" s="130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30" t="s">
        <v>16</v>
      </c>
      <c r="B8" s="130"/>
      <c r="C8" s="130"/>
      <c r="D8" s="130"/>
      <c r="E8" s="130"/>
      <c r="F8" s="130"/>
      <c r="G8" s="130"/>
      <c r="H8" s="130"/>
      <c r="I8" s="130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26"/>
      <c r="C15" s="126"/>
      <c r="D15" s="126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24</v>
      </c>
      <c r="D16" s="16"/>
      <c r="J16" s="17">
        <v>26624179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25</v>
      </c>
      <c r="J18" s="26">
        <v>6326796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22</v>
      </c>
      <c r="C20" s="20"/>
      <c r="J20" s="28">
        <f>J16+J18</f>
        <v>32950975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27"/>
      <c r="C22" s="127"/>
      <c r="D22" s="127"/>
      <c r="J22" s="27"/>
    </row>
    <row r="23" spans="1:10" x14ac:dyDescent="0.2">
      <c r="A23" s="19" t="s">
        <v>10</v>
      </c>
      <c r="B23" s="16" t="s">
        <v>26</v>
      </c>
      <c r="D23" s="16"/>
      <c r="J23" s="17">
        <v>27739040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27</v>
      </c>
      <c r="J25" s="26">
        <v>20592311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15</v>
      </c>
      <c r="B27" s="11" t="s">
        <v>23</v>
      </c>
      <c r="C27" s="20"/>
      <c r="J27" s="28">
        <f>J23+J25</f>
        <v>48331351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17</v>
      </c>
      <c r="B30" s="16" t="s">
        <v>90</v>
      </c>
      <c r="J30" s="29">
        <f>J27-J20</f>
        <v>15380376</v>
      </c>
    </row>
    <row r="31" spans="1:10" x14ac:dyDescent="0.2">
      <c r="C31" s="18" t="s">
        <v>18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19</v>
      </c>
      <c r="B34" s="16" t="s">
        <v>91</v>
      </c>
      <c r="J34" s="23">
        <f>J20</f>
        <v>32950975</v>
      </c>
    </row>
    <row r="35" spans="1:12" x14ac:dyDescent="0.2">
      <c r="C35" s="22"/>
    </row>
    <row r="36" spans="1:12" x14ac:dyDescent="0.2">
      <c r="A36" s="19" t="s">
        <v>20</v>
      </c>
      <c r="B36" s="4" t="s">
        <v>85</v>
      </c>
      <c r="C36" s="22"/>
      <c r="J36" s="75">
        <v>574835</v>
      </c>
    </row>
    <row r="37" spans="1:12" x14ac:dyDescent="0.2">
      <c r="C37" s="22"/>
    </row>
    <row r="38" spans="1:12" ht="15.75" thickBot="1" x14ac:dyDescent="0.25">
      <c r="A38" s="19" t="s">
        <v>88</v>
      </c>
      <c r="B38" s="74" t="s">
        <v>92</v>
      </c>
      <c r="J38" s="23">
        <f>J30-J36</f>
        <v>14805541</v>
      </c>
      <c r="L38" s="24"/>
    </row>
    <row r="39" spans="1:12" x14ac:dyDescent="0.2">
      <c r="A39" s="19"/>
      <c r="C39" s="77" t="s">
        <v>96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55"/>
  <sheetViews>
    <sheetView topLeftCell="A10" workbookViewId="0">
      <selection activeCell="F50" sqref="F50"/>
    </sheetView>
  </sheetViews>
  <sheetFormatPr defaultRowHeight="15" x14ac:dyDescent="0.25"/>
  <cols>
    <col min="1" max="1" width="38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28</v>
      </c>
      <c r="B1" s="32">
        <v>2022</v>
      </c>
    </row>
    <row r="3" spans="1:13" x14ac:dyDescent="0.25">
      <c r="A3" s="140" t="s">
        <v>29</v>
      </c>
      <c r="B3" s="141"/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</row>
    <row r="4" spans="1:13" x14ac:dyDescent="0.25">
      <c r="A4" s="35" t="s">
        <v>38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39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40" t="s">
        <v>40</v>
      </c>
      <c r="B7" s="141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38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2" t="s">
        <v>41</v>
      </c>
    </row>
    <row r="9" spans="1:13" x14ac:dyDescent="0.25">
      <c r="A9" s="35" t="s">
        <v>39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2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42</v>
      </c>
      <c r="B12" s="34" t="s">
        <v>43</v>
      </c>
      <c r="C12" s="44" t="s">
        <v>44</v>
      </c>
      <c r="D12" s="41"/>
      <c r="E12" s="41"/>
      <c r="F12" s="41"/>
      <c r="G12" s="41"/>
      <c r="H12" s="41"/>
      <c r="I12" s="41"/>
    </row>
    <row r="13" spans="1:13" x14ac:dyDescent="0.25">
      <c r="A13" s="45" t="s">
        <v>30</v>
      </c>
      <c r="B13" s="94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31</v>
      </c>
      <c r="B14" s="94">
        <v>953392.38500000001</v>
      </c>
      <c r="C14" s="46"/>
      <c r="D14" s="41"/>
      <c r="E14" s="96"/>
      <c r="F14" s="41"/>
      <c r="G14" s="41"/>
      <c r="H14" s="41"/>
      <c r="I14" s="41"/>
    </row>
    <row r="15" spans="1:13" x14ac:dyDescent="0.25">
      <c r="A15" s="45" t="s">
        <v>32</v>
      </c>
      <c r="B15" s="94">
        <v>6675591.2819999997</v>
      </c>
      <c r="C15" s="95">
        <v>15876487.529999999</v>
      </c>
      <c r="D15" s="48"/>
      <c r="E15" s="97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33</v>
      </c>
      <c r="B16" s="94">
        <v>415088.27899999998</v>
      </c>
      <c r="C16" s="46"/>
      <c r="D16" s="41"/>
      <c r="E16" s="97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34</v>
      </c>
      <c r="B17" s="52"/>
      <c r="C17" s="47">
        <v>2439151.87</v>
      </c>
      <c r="D17" s="41"/>
      <c r="E17" s="97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35</v>
      </c>
      <c r="B18" s="52"/>
      <c r="C18" s="47">
        <v>2627756.0699999998</v>
      </c>
      <c r="D18" s="41"/>
      <c r="E18" s="97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36</v>
      </c>
      <c r="B19" s="94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37</v>
      </c>
      <c r="B20" s="94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45</v>
      </c>
      <c r="D24" s="38" t="s">
        <v>43</v>
      </c>
      <c r="E24" s="38" t="s">
        <v>44</v>
      </c>
      <c r="F24" s="38" t="s">
        <v>43</v>
      </c>
      <c r="G24" s="38" t="s">
        <v>44</v>
      </c>
      <c r="H24" s="38" t="s">
        <v>44</v>
      </c>
      <c r="I24" s="38" t="s">
        <v>43</v>
      </c>
      <c r="J24" s="38" t="s">
        <v>43</v>
      </c>
    </row>
    <row r="25" spans="1:13" x14ac:dyDescent="0.25">
      <c r="A25" s="31" t="s">
        <v>46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47</v>
      </c>
      <c r="B29" s="143" t="s">
        <v>48</v>
      </c>
      <c r="C29" s="143"/>
      <c r="D29" s="143"/>
      <c r="E29" s="55" t="s">
        <v>49</v>
      </c>
    </row>
    <row r="30" spans="1:13" x14ac:dyDescent="0.25">
      <c r="A30" s="45" t="s">
        <v>50</v>
      </c>
      <c r="B30" s="139">
        <v>0.92576322</v>
      </c>
      <c r="C30" s="139"/>
      <c r="D30" s="139"/>
      <c r="E30" s="56">
        <f>B30/B32</f>
        <v>0.92576322</v>
      </c>
    </row>
    <row r="31" spans="1:13" x14ac:dyDescent="0.25">
      <c r="A31" s="45" t="s">
        <v>51</v>
      </c>
      <c r="B31" s="139">
        <v>7.4236780000000002E-2</v>
      </c>
      <c r="C31" s="139"/>
      <c r="D31" s="139"/>
      <c r="E31" s="56">
        <f>B31/B32</f>
        <v>7.4236780000000002E-2</v>
      </c>
      <c r="G31" s="33" t="s">
        <v>52</v>
      </c>
    </row>
    <row r="32" spans="1:13" x14ac:dyDescent="0.25">
      <c r="A32" s="45" t="s">
        <v>53</v>
      </c>
      <c r="B32" s="136">
        <f>SUM(B30:B31)</f>
        <v>1</v>
      </c>
      <c r="C32" s="136"/>
      <c r="D32" s="136"/>
      <c r="E32" s="57">
        <f>SUM(E30:E31)</f>
        <v>1</v>
      </c>
      <c r="F32" s="33" t="s">
        <v>41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7" t="s">
        <v>54</v>
      </c>
      <c r="C34" s="137"/>
      <c r="D34" s="137"/>
    </row>
    <row r="35" spans="1:6" ht="15.75" x14ac:dyDescent="0.25">
      <c r="A35" s="60" t="s">
        <v>55</v>
      </c>
      <c r="B35" s="138"/>
      <c r="C35" s="138"/>
      <c r="D35" s="138"/>
    </row>
    <row r="36" spans="1:6" ht="15.75" x14ac:dyDescent="0.25">
      <c r="A36" s="61" t="s">
        <v>56</v>
      </c>
      <c r="B36" s="133">
        <v>4094306</v>
      </c>
      <c r="C36" s="133"/>
      <c r="D36" s="133"/>
    </row>
    <row r="37" spans="1:6" ht="15.75" x14ac:dyDescent="0.25">
      <c r="A37" s="61" t="s">
        <v>57</v>
      </c>
      <c r="B37" s="133">
        <v>1183139</v>
      </c>
      <c r="C37" s="133"/>
      <c r="D37" s="133"/>
    </row>
    <row r="38" spans="1:6" ht="15.75" x14ac:dyDescent="0.25">
      <c r="A38" s="61" t="s">
        <v>58</v>
      </c>
      <c r="B38" s="133">
        <v>0</v>
      </c>
      <c r="C38" s="133"/>
      <c r="D38" s="133"/>
    </row>
    <row r="39" spans="1:6" ht="15.75" x14ac:dyDescent="0.25">
      <c r="A39" s="61" t="s">
        <v>59</v>
      </c>
      <c r="B39" s="133">
        <v>1108196</v>
      </c>
      <c r="C39" s="133"/>
      <c r="D39" s="133"/>
    </row>
    <row r="40" spans="1:6" ht="15.75" x14ac:dyDescent="0.25">
      <c r="A40" s="61" t="s">
        <v>60</v>
      </c>
      <c r="B40" s="133">
        <v>31312</v>
      </c>
      <c r="C40" s="133"/>
      <c r="D40" s="133"/>
    </row>
    <row r="41" spans="1:6" ht="15.75" x14ac:dyDescent="0.25">
      <c r="A41" s="61"/>
    </row>
    <row r="42" spans="1:6" ht="15.75" x14ac:dyDescent="0.25">
      <c r="A42" s="62" t="s">
        <v>61</v>
      </c>
      <c r="B42" s="137" t="s">
        <v>54</v>
      </c>
      <c r="C42" s="137"/>
      <c r="D42" s="137"/>
    </row>
    <row r="43" spans="1:6" ht="15.75" customHeight="1" x14ac:dyDescent="0.25">
      <c r="A43" s="61" t="s">
        <v>62</v>
      </c>
      <c r="B43" s="133">
        <v>19793075</v>
      </c>
      <c r="C43" s="133"/>
      <c r="D43" s="133"/>
      <c r="F43" s="63"/>
    </row>
    <row r="44" spans="1:6" ht="15.75" customHeight="1" x14ac:dyDescent="0.25">
      <c r="A44" s="64" t="s">
        <v>63</v>
      </c>
      <c r="B44" s="133">
        <v>3745210</v>
      </c>
      <c r="C44" s="133"/>
      <c r="D44" s="133"/>
      <c r="F44" s="63"/>
    </row>
    <row r="45" spans="1:6" ht="15.75" customHeight="1" x14ac:dyDescent="0.25">
      <c r="A45" s="64" t="s">
        <v>57</v>
      </c>
      <c r="B45" s="133">
        <v>412913</v>
      </c>
      <c r="C45" s="133"/>
      <c r="D45" s="133"/>
    </row>
    <row r="46" spans="1:6" ht="15.75" customHeight="1" x14ac:dyDescent="0.25">
      <c r="A46" s="61" t="s">
        <v>58</v>
      </c>
      <c r="B46" s="133">
        <v>250000</v>
      </c>
      <c r="C46" s="133"/>
      <c r="D46" s="133"/>
      <c r="F46" s="63"/>
    </row>
    <row r="47" spans="1:6" ht="15.75" customHeight="1" x14ac:dyDescent="0.25">
      <c r="A47" s="64" t="s">
        <v>59</v>
      </c>
      <c r="B47" s="133">
        <v>465592</v>
      </c>
      <c r="C47" s="133"/>
      <c r="D47" s="133"/>
    </row>
    <row r="48" spans="1:6" ht="15.75" customHeight="1" x14ac:dyDescent="0.25">
      <c r="A48" s="64" t="s">
        <v>64</v>
      </c>
      <c r="B48" s="133">
        <v>593036</v>
      </c>
      <c r="C48" s="133"/>
      <c r="D48" s="133"/>
    </row>
    <row r="49" spans="1:4" ht="15.75" customHeight="1" x14ac:dyDescent="0.25">
      <c r="A49" s="64" t="s">
        <v>65</v>
      </c>
      <c r="B49" s="133">
        <v>581430</v>
      </c>
      <c r="C49" s="133"/>
      <c r="D49" s="133"/>
    </row>
    <row r="50" spans="1:4" ht="15.75" customHeight="1" x14ac:dyDescent="0.25">
      <c r="A50" s="64" t="s">
        <v>66</v>
      </c>
      <c r="B50" s="133">
        <v>1134769</v>
      </c>
      <c r="C50" s="133"/>
      <c r="D50" s="133"/>
    </row>
    <row r="51" spans="1:4" ht="15.75" customHeight="1" x14ac:dyDescent="0.25">
      <c r="A51" s="64"/>
      <c r="B51" s="134"/>
      <c r="C51" s="135"/>
      <c r="D51" s="135"/>
    </row>
    <row r="52" spans="1:4" ht="15.75" customHeight="1" x14ac:dyDescent="0.25">
      <c r="A52" s="64"/>
      <c r="B52" s="131"/>
      <c r="C52" s="132"/>
      <c r="D52" s="132"/>
    </row>
    <row r="53" spans="1:4" ht="15.75" customHeight="1" x14ac:dyDescent="0.25"/>
    <row r="54" spans="1:4" ht="15.75" customHeight="1" x14ac:dyDescent="0.25"/>
    <row r="55" spans="1:4" ht="15.75" customHeight="1" x14ac:dyDescent="0.25"/>
  </sheetData>
  <mergeCells count="25">
    <mergeCell ref="B31:D31"/>
    <mergeCell ref="A3:B3"/>
    <mergeCell ref="A7:B7"/>
    <mergeCell ref="L8:L9"/>
    <mergeCell ref="B29:D29"/>
    <mergeCell ref="B30:D30"/>
    <mergeCell ref="B45:D45"/>
    <mergeCell ref="B32:D32"/>
    <mergeCell ref="B34:D34"/>
    <mergeCell ref="B35:D35"/>
    <mergeCell ref="B36:D36"/>
    <mergeCell ref="B37:D37"/>
    <mergeCell ref="B38:D38"/>
    <mergeCell ref="B39:D39"/>
    <mergeCell ref="B40:D40"/>
    <mergeCell ref="B42:D42"/>
    <mergeCell ref="B43:D43"/>
    <mergeCell ref="B44:D44"/>
    <mergeCell ref="B52:D52"/>
    <mergeCell ref="B46:D46"/>
    <mergeCell ref="B47:D47"/>
    <mergeCell ref="B48:D48"/>
    <mergeCell ref="B49:D49"/>
    <mergeCell ref="B50:D50"/>
    <mergeCell ref="B51:D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17" sqref="B17:B18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28</v>
      </c>
      <c r="B1" s="32">
        <v>2022</v>
      </c>
    </row>
    <row r="3" spans="1:13" x14ac:dyDescent="0.25">
      <c r="A3" s="140" t="s">
        <v>29</v>
      </c>
      <c r="B3" s="141"/>
      <c r="C3" s="34" t="s">
        <v>30</v>
      </c>
      <c r="D3" s="34" t="s">
        <v>31</v>
      </c>
      <c r="E3" s="34" t="s">
        <v>32</v>
      </c>
      <c r="F3" s="34" t="s">
        <v>33</v>
      </c>
      <c r="G3" s="34" t="s">
        <v>34</v>
      </c>
      <c r="H3" s="34" t="s">
        <v>35</v>
      </c>
      <c r="I3" s="34" t="s">
        <v>36</v>
      </c>
      <c r="J3" s="34" t="s">
        <v>37</v>
      </c>
    </row>
    <row r="4" spans="1:13" x14ac:dyDescent="0.25">
      <c r="A4" s="35" t="s">
        <v>87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40" t="s">
        <v>40</v>
      </c>
      <c r="B6" s="141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86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6" t="s">
        <v>41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42</v>
      </c>
      <c r="B10" s="34" t="s">
        <v>43</v>
      </c>
      <c r="C10" s="44" t="s">
        <v>44</v>
      </c>
      <c r="D10" s="41"/>
      <c r="E10" s="41"/>
      <c r="F10" s="41"/>
      <c r="G10" s="41"/>
      <c r="H10" s="41"/>
      <c r="I10" s="41"/>
    </row>
    <row r="11" spans="1:13" x14ac:dyDescent="0.25">
      <c r="A11" s="45" t="s">
        <v>30</v>
      </c>
      <c r="B11" s="94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31</v>
      </c>
      <c r="B12" s="94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32</v>
      </c>
      <c r="B13" s="94">
        <v>6675591.2819999997</v>
      </c>
      <c r="C13" s="95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33</v>
      </c>
      <c r="B14" s="94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34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35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36</v>
      </c>
      <c r="B17" s="94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37</v>
      </c>
      <c r="B18" s="94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80"/>
      <c r="B21" s="144" t="s">
        <v>84</v>
      </c>
      <c r="C21" s="145"/>
      <c r="D21" s="83"/>
      <c r="E21" s="79"/>
      <c r="F21" s="79"/>
    </row>
    <row r="22" spans="1:13" ht="15.75" x14ac:dyDescent="0.25">
      <c r="A22" s="81" t="s">
        <v>93</v>
      </c>
      <c r="B22" s="84">
        <v>14805541</v>
      </c>
      <c r="C22" s="82"/>
      <c r="D22" s="82"/>
      <c r="E22" s="78"/>
      <c r="F22" s="78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D7C3EBF5-94B6-403D-8BC8-C40ADB35ED9F}"/>
</file>

<file path=customXml/itemProps2.xml><?xml version="1.0" encoding="utf-8"?>
<ds:datastoreItem xmlns:ds="http://schemas.openxmlformats.org/officeDocument/2006/customXml" ds:itemID="{62A18ECF-2E4C-4F47-B974-25BF96BB0E7B}"/>
</file>

<file path=customXml/itemProps3.xml><?xml version="1.0" encoding="utf-8"?>
<ds:datastoreItem xmlns:ds="http://schemas.openxmlformats.org/officeDocument/2006/customXml" ds:itemID="{2FECF646-2181-47D9-BA6A-4808F1264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20130040 Demand Allocation</vt:lpstr>
      <vt:lpstr>Settlement Demand Allocation</vt:lpstr>
      <vt:lpstr>P-1sa</vt:lpstr>
      <vt:lpstr>P-1sb</vt:lpstr>
      <vt:lpstr>P-1sc</vt:lpstr>
      <vt:lpstr>P-1sd</vt:lpstr>
      <vt:lpstr>2021 base portion-inputs</vt:lpstr>
      <vt:lpstr>2022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2022-04-08T17:15:36Z</dcterms:created>
  <dcterms:modified xsi:type="dcterms:W3CDTF">2022-04-08T17:15:36Z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2022-04-08T17:15:36Z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839639aa-85e3-410c-aa89-f6ca4029b502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